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La Poste\49 - LBP (Indivision Remoué - La Poste n° 26)\"/>
    </mc:Choice>
  </mc:AlternateContent>
  <bookViews>
    <workbookView xWindow="0" yWindow="0" windowWidth="20490" windowHeight="71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0" i="1" l="1"/>
  <c r="B279" i="1"/>
  <c r="B276" i="1"/>
  <c r="B278" i="1"/>
  <c r="B277" i="1"/>
  <c r="B226" i="1"/>
  <c r="B227" i="1"/>
  <c r="D133" i="1"/>
  <c r="B133" i="1"/>
  <c r="D132" i="1"/>
  <c r="B132" i="1"/>
  <c r="B131" i="1"/>
  <c r="D130" i="1"/>
  <c r="B130" i="1"/>
  <c r="B129" i="1"/>
  <c r="D128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7" i="1"/>
  <c r="D116" i="1"/>
  <c r="B116" i="1"/>
  <c r="B115" i="1"/>
  <c r="B114" i="1"/>
  <c r="B237" i="1"/>
  <c r="D236" i="1"/>
  <c r="B236" i="1"/>
  <c r="B235" i="1"/>
  <c r="D234" i="1"/>
  <c r="B234" i="1"/>
  <c r="B233" i="1"/>
  <c r="D232" i="1"/>
  <c r="B232" i="1"/>
  <c r="B231" i="1"/>
  <c r="D230" i="1"/>
  <c r="B230" i="1"/>
  <c r="B229" i="1"/>
  <c r="D228" i="1"/>
  <c r="B228" i="1"/>
  <c r="D226" i="1"/>
  <c r="B225" i="1"/>
  <c r="D224" i="1"/>
  <c r="B224" i="1"/>
  <c r="B223" i="1"/>
  <c r="D222" i="1"/>
  <c r="B222" i="1"/>
  <c r="B221" i="1"/>
  <c r="D220" i="1"/>
  <c r="B220" i="1"/>
  <c r="B219" i="1"/>
  <c r="B218" i="1"/>
  <c r="D237" i="1"/>
  <c r="B75" i="1"/>
  <c r="B74" i="1"/>
  <c r="B72" i="1"/>
  <c r="D72" i="1"/>
  <c r="D70" i="1"/>
  <c r="B70" i="1"/>
  <c r="D68" i="1"/>
  <c r="B68" i="1"/>
  <c r="D66" i="1"/>
  <c r="B66" i="1"/>
  <c r="D75" i="1"/>
  <c r="D64" i="1"/>
  <c r="B64" i="1"/>
  <c r="B288" i="1"/>
  <c r="B287" i="1"/>
  <c r="D286" i="1"/>
  <c r="B286" i="1"/>
  <c r="B285" i="1"/>
  <c r="D284" i="1"/>
  <c r="B284" i="1"/>
  <c r="B283" i="1"/>
  <c r="D282" i="1"/>
  <c r="B282" i="1"/>
  <c r="B281" i="1"/>
  <c r="D280" i="1"/>
  <c r="D278" i="1"/>
  <c r="D276" i="1"/>
  <c r="B275" i="1"/>
  <c r="D274" i="1"/>
  <c r="B274" i="1"/>
  <c r="B273" i="1"/>
  <c r="B272" i="1"/>
  <c r="B271" i="1"/>
  <c r="D288" i="1"/>
  <c r="B270" i="1"/>
  <c r="B158" i="1"/>
  <c r="D158" i="1" s="1"/>
  <c r="B157" i="1"/>
  <c r="B156" i="1"/>
  <c r="B155" i="1"/>
  <c r="B154" i="1"/>
  <c r="B153" i="1"/>
  <c r="B152" i="1"/>
  <c r="B151" i="1"/>
  <c r="B150" i="1"/>
  <c r="D155" i="1"/>
  <c r="D153" i="1"/>
  <c r="D151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249" i="1"/>
  <c r="D254" i="1"/>
  <c r="B199" i="1"/>
  <c r="D198" i="1"/>
  <c r="B198" i="1"/>
  <c r="B197" i="1"/>
  <c r="D196" i="1"/>
  <c r="B196" i="1"/>
  <c r="B195" i="1"/>
  <c r="D194" i="1"/>
  <c r="B194" i="1"/>
  <c r="B193" i="1"/>
  <c r="B43" i="1"/>
  <c r="D42" i="1"/>
  <c r="B42" i="1"/>
  <c r="B41" i="1"/>
  <c r="D40" i="1"/>
  <c r="B40" i="1"/>
  <c r="B39" i="1"/>
  <c r="D38" i="1"/>
  <c r="B38" i="1"/>
  <c r="B37" i="1"/>
  <c r="B95" i="1"/>
  <c r="D94" i="1"/>
  <c r="B94" i="1"/>
  <c r="B93" i="1"/>
  <c r="D92" i="1"/>
  <c r="B92" i="1"/>
  <c r="B91" i="1"/>
  <c r="D90" i="1"/>
  <c r="B90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X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HG18" i="2"/>
  <c r="EV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HH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B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C28" i="2"/>
  <c r="HG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HH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B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G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HI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H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HH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HI130" i="2"/>
  <c r="HG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HG140" i="2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G146" i="2"/>
  <c r="EA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HG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HI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HJ154" i="2"/>
  <c r="DI154" i="2"/>
  <c r="EA155" i="2"/>
  <c r="AC154" i="2"/>
  <c r="HH155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B156" i="2"/>
  <c r="HI156" i="2"/>
  <c r="FS156" i="2"/>
  <c r="EX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G157" i="2"/>
  <c r="HH157" i="2"/>
  <c r="CN156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H160" i="2"/>
  <c r="HI160" i="2"/>
  <c r="DG160" i="2"/>
  <c r="EY159" i="2"/>
  <c r="H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HG161" i="2"/>
  <c r="HH161" i="2"/>
  <c r="EB161" i="2"/>
  <c r="EX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HG162" i="2"/>
  <c r="HH162" i="2"/>
  <c r="EY161" i="2"/>
  <c r="EW162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HI163" i="2"/>
  <c r="EY162" i="2"/>
  <c r="EV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HH164" i="2"/>
  <c r="HG164" i="2"/>
  <c r="DI163" i="2"/>
  <c r="EY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HH167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H168" i="2"/>
  <c r="HI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EY168" i="2"/>
  <c r="EA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Y171" i="2"/>
  <c r="EA172" i="2"/>
  <c r="HG172" i="2"/>
  <c r="HI172" i="2"/>
  <c r="EW172" i="2"/>
  <c r="EV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J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HI175" i="2"/>
  <c r="FS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H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W178" i="2"/>
  <c r="EA178" i="2"/>
  <c r="EB178" i="2"/>
  <c r="HG178" i="2"/>
  <c r="FS178" i="2"/>
  <c r="ED177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HG179" i="2"/>
  <c r="DF179" i="2"/>
  <c r="HI179" i="2"/>
  <c r="EV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A185" i="2"/>
  <c r="HH185" i="2"/>
  <c r="HG185" i="2"/>
  <c r="EW185" i="2"/>
  <c r="EV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HH186" i="2"/>
  <c r="EW186" i="2"/>
  <c r="ED185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H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J189" i="2"/>
  <c r="EY189" i="2"/>
  <c r="EB190" i="2"/>
  <c r="HG190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HH192" i="2"/>
  <c r="HG192" i="2"/>
  <c r="EW192" i="2"/>
  <c r="EB192" i="2"/>
  <c r="HI192" i="2"/>
  <c r="EV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B193" i="2"/>
  <c r="FQ193" i="2"/>
  <c r="EY192" i="2"/>
  <c r="HI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FQ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FQ195" i="2"/>
  <c r="DH195" i="2"/>
  <c r="HG195" i="2"/>
  <c r="HI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FS197" i="2"/>
  <c r="EW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HH199" i="2"/>
  <c r="HG199" i="2"/>
  <c r="FS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J200" i="2"/>
  <c r="HH201" i="2"/>
  <c r="HG201" i="2"/>
  <c r="FS201" i="2"/>
  <c r="EB201" i="2"/>
  <c r="EA201" i="2"/>
  <c r="ED201" i="2" s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R202" i="2" l="1"/>
  <c r="FS202" i="2"/>
  <c r="HH202" i="2"/>
  <c r="HG202" i="2"/>
  <c r="HI202" i="2"/>
  <c r="EW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47" i="2" a="1"/>
  <c r="GT147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D14" i="2" a="1"/>
  <c r="FD14" i="2" s="1"/>
  <c r="FD64" i="2" a="1"/>
  <c r="FD64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1" i="2" a="1"/>
  <c r="GT191" i="2" s="1"/>
  <c r="GT190" i="2" a="1"/>
  <c r="GT19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GT107" i="2" l="1" a="1"/>
  <c r="GT107" i="2" s="1"/>
  <c r="GT174" i="2" a="1"/>
  <c r="GT174" i="2" s="1"/>
  <c r="GT198" i="2" a="1"/>
  <c r="GT198" i="2" s="1"/>
  <c r="GT38" i="2" a="1"/>
  <c r="GT38" i="2" s="1"/>
  <c r="GT33" i="2" a="1"/>
  <c r="GT33" i="2" s="1"/>
  <c r="GT126" i="2" a="1"/>
  <c r="GT126" i="2" s="1"/>
  <c r="GT121" i="2" a="1"/>
  <c r="GT121" i="2" s="1"/>
  <c r="GT15" i="2" a="1"/>
  <c r="GT15" i="2" s="1"/>
  <c r="GT74" i="2" a="1"/>
  <c r="GT74" i="2" s="1"/>
  <c r="GT138" i="2" a="1"/>
  <c r="GT138" i="2" s="1"/>
  <c r="GT178" i="2" a="1"/>
  <c r="GT178" i="2" s="1"/>
  <c r="GT189" i="2" a="1"/>
  <c r="GT189" i="2" s="1"/>
  <c r="GT152" i="2" a="1"/>
  <c r="GT152" i="2" s="1"/>
  <c r="GT68" i="2" a="1"/>
  <c r="GT68" i="2" s="1"/>
  <c r="GT181" i="2" a="1"/>
  <c r="GT181" i="2" s="1"/>
  <c r="GT11" i="2" a="1"/>
  <c r="GT11" i="2" s="1"/>
  <c r="GT102" i="2" a="1"/>
  <c r="GT102" i="2" s="1"/>
  <c r="BX107" i="2" a="1"/>
  <c r="BX107" i="2" s="1"/>
  <c r="FD48" i="2" a="1"/>
  <c r="FD48" i="2" s="1"/>
  <c r="FD131" i="2" a="1"/>
  <c r="FD131" i="2" s="1"/>
  <c r="FD189" i="2" a="1"/>
  <c r="FD189" i="2" s="1"/>
  <c r="FD60" i="2" a="1"/>
  <c r="FD60" i="2" s="1"/>
  <c r="FD21" i="2" a="1"/>
  <c r="FD21" i="2" s="1"/>
  <c r="FD44" i="2" a="1"/>
  <c r="FD44" i="2" s="1"/>
  <c r="FD188" i="2" a="1"/>
  <c r="FD188" i="2" s="1"/>
  <c r="FD144" i="2" a="1"/>
  <c r="FD144" i="2" s="1"/>
  <c r="FS203" i="2"/>
  <c r="FR203" i="2"/>
  <c r="AH166" i="2" a="1"/>
  <c r="AH166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AH19" i="2" a="1"/>
  <c r="AH19" i="2" s="1"/>
  <c r="AH90" i="2" a="1"/>
  <c r="AH90" i="2" s="1"/>
  <c r="GT184" i="2" a="1"/>
  <c r="GT184" i="2" s="1"/>
  <c r="GT115" i="2" a="1"/>
  <c r="GT115" i="2" s="1"/>
  <c r="GT133" i="2" a="1"/>
  <c r="GT133" i="2" s="1"/>
  <c r="GT51" i="2" a="1"/>
  <c r="GT51" i="2" s="1"/>
  <c r="GT122" i="2" a="1"/>
  <c r="GT122" i="2" s="1"/>
  <c r="HH203" i="2"/>
  <c r="HG203" i="2"/>
  <c r="CS116" i="2" a="1"/>
  <c r="CS116" i="2" s="1"/>
  <c r="CS38" i="2" a="1"/>
  <c r="CS38" i="2" s="1"/>
  <c r="CS105" i="2" a="1"/>
  <c r="CS105" i="2" s="1"/>
  <c r="CS114" i="2" a="1"/>
  <c r="CS114" i="2" s="1"/>
  <c r="CS161" i="2" a="1"/>
  <c r="CS161" i="2" s="1"/>
  <c r="CS137" i="2" a="1"/>
  <c r="CS137" i="2" s="1"/>
  <c r="CS129" i="2" a="1"/>
  <c r="CS129" i="2" s="1"/>
  <c r="CS52" i="2" a="1"/>
  <c r="CS52" i="2" s="1"/>
  <c r="CS120" i="2" a="1"/>
  <c r="CS120" i="2" s="1"/>
  <c r="CS77" i="2" a="1"/>
  <c r="CS77" i="2" s="1"/>
  <c r="FY80" i="2" a="1"/>
  <c r="FY80" i="2" s="1"/>
  <c r="FY30" i="2" a="1"/>
  <c r="FY30" i="2" s="1"/>
  <c r="FY121" i="2" a="1"/>
  <c r="FY121" i="2" s="1"/>
  <c r="FY42" i="2" a="1"/>
  <c r="FY42" i="2" s="1"/>
  <c r="FY82" i="2" a="1"/>
  <c r="FY82" i="2" s="1"/>
  <c r="FY86" i="2" a="1"/>
  <c r="FY86" i="2" s="1"/>
  <c r="FY34" i="2" a="1"/>
  <c r="FY34" i="2" s="1"/>
  <c r="FY142" i="2" a="1"/>
  <c r="FY142" i="2" s="1"/>
  <c r="FY72" i="2" a="1"/>
  <c r="FY72" i="2" s="1"/>
  <c r="FY146" i="2" a="1"/>
  <c r="FY146" i="2" s="1"/>
  <c r="FY78" i="2" a="1"/>
  <c r="FY78" i="2" s="1"/>
  <c r="FY69" i="2" a="1"/>
  <c r="FY69" i="2" s="1"/>
  <c r="FY104" i="2" a="1"/>
  <c r="FY104" i="2" s="1"/>
  <c r="FY173" i="2" a="1"/>
  <c r="FY173" i="2" s="1"/>
  <c r="FY149" i="2" a="1"/>
  <c r="FY149" i="2" s="1"/>
  <c r="FY190" i="2" a="1"/>
  <c r="FY190" i="2" s="1"/>
  <c r="FY186" i="2" a="1"/>
  <c r="FY186" i="2" s="1"/>
  <c r="FY66" i="2" a="1"/>
  <c r="FY66" i="2" s="1"/>
  <c r="FY165" i="2" a="1"/>
  <c r="FY165" i="2" s="1"/>
  <c r="FY174" i="2" a="1"/>
  <c r="FY174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35" i="2" a="1"/>
  <c r="FY35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32" i="2" a="1"/>
  <c r="FY32" i="2" s="1"/>
  <c r="FY178" i="2" a="1"/>
  <c r="FY178" i="2" s="1"/>
  <c r="FY116" i="2" a="1"/>
  <c r="FY116" i="2" s="1"/>
  <c r="FY143" i="2" a="1"/>
  <c r="FY143" i="2" s="1"/>
  <c r="FY71" i="2" a="1"/>
  <c r="FY71" i="2" s="1"/>
  <c r="FY54" i="2" a="1"/>
  <c r="FY54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50" i="2" a="1"/>
  <c r="FY50" i="2" s="1"/>
  <c r="FY167" i="2" a="1"/>
  <c r="FY167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169" i="2" a="1"/>
  <c r="FY169" i="2" s="1"/>
  <c r="FY188" i="2" a="1"/>
  <c r="FY188" i="2" s="1"/>
  <c r="FY73" i="2" a="1"/>
  <c r="FY73" i="2" s="1"/>
  <c r="FY153" i="2" a="1"/>
  <c r="FY153" i="2" s="1"/>
  <c r="FY29" i="2" a="1"/>
  <c r="FY29" i="2" s="1"/>
  <c r="FY140" i="2" a="1"/>
  <c r="FY140" i="2" s="1"/>
  <c r="FY57" i="2" a="1"/>
  <c r="FY57" i="2" s="1"/>
  <c r="FY109" i="2" a="1"/>
  <c r="FY109" i="2" s="1"/>
  <c r="FY79" i="2" a="1"/>
  <c r="FY79" i="2" s="1"/>
  <c r="FY47" i="2" a="1"/>
  <c r="FY47" i="2" s="1"/>
  <c r="FY22" i="2" a="1"/>
  <c r="FY22" i="2" s="1"/>
  <c r="FY90" i="2" a="1"/>
  <c r="FY9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Y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J100" i="2" l="1"/>
  <c r="FJ156" i="2"/>
  <c r="FJ125" i="2"/>
  <c r="FJ119" i="2"/>
  <c r="FJ182" i="2"/>
  <c r="FJ40" i="2"/>
  <c r="FJ35" i="2"/>
  <c r="FJ160" i="2"/>
  <c r="FJ79" i="2"/>
  <c r="FJ203" i="2"/>
  <c r="FJ134" i="2"/>
  <c r="FJ191" i="2"/>
  <c r="FJ146" i="2"/>
  <c r="FJ16" i="2"/>
  <c r="FJ149" i="2"/>
  <c r="FJ189" i="2"/>
  <c r="FJ9" i="2"/>
  <c r="FJ106" i="2"/>
  <c r="FJ163" i="2"/>
  <c r="FJ54" i="2"/>
  <c r="FJ188" i="2"/>
  <c r="FJ12" i="2"/>
  <c r="FJ185" i="2"/>
  <c r="FJ161" i="2"/>
  <c r="FJ34" i="2"/>
  <c r="FJ26" i="2"/>
  <c r="FJ48" i="2"/>
  <c r="FJ192" i="2"/>
  <c r="FJ130" i="2"/>
  <c r="FJ168" i="2"/>
  <c r="FJ136" i="2"/>
  <c r="FJ153" i="2"/>
  <c r="FJ30" i="2"/>
  <c r="FJ112" i="2"/>
  <c r="FJ17" i="2"/>
  <c r="FJ44" i="2"/>
  <c r="FJ196" i="2"/>
  <c r="FJ143" i="2"/>
  <c r="FJ20" i="2"/>
  <c r="FJ85" i="2"/>
  <c r="FJ157" i="2"/>
  <c r="FJ27" i="2"/>
  <c r="FJ90" i="2"/>
  <c r="FJ59" i="2"/>
  <c r="FJ53" i="2"/>
  <c r="FJ121" i="2"/>
  <c r="FJ138" i="2"/>
  <c r="FJ114" i="2"/>
  <c r="FJ172" i="2"/>
  <c r="FJ13" i="2"/>
  <c r="FJ84" i="2"/>
  <c r="FJ68" i="2"/>
  <c r="FJ111" i="2"/>
  <c r="FJ10" i="2"/>
  <c r="FJ4" i="2"/>
  <c r="FJ179" i="2"/>
  <c r="FJ132" i="2"/>
  <c r="FJ88" i="2"/>
  <c r="FJ95" i="2"/>
  <c r="FJ181" i="2"/>
  <c r="FJ105" i="2"/>
  <c r="FJ145" i="2"/>
  <c r="FJ94" i="2"/>
  <c r="FJ103" i="2"/>
  <c r="FJ176" i="2"/>
  <c r="FJ63" i="2"/>
  <c r="FJ38" i="2"/>
  <c r="FJ150" i="2"/>
  <c r="FJ116" i="2"/>
  <c r="FJ3" i="2"/>
  <c r="C13" i="4" s="1"/>
  <c r="E13" i="4" s="1"/>
  <c r="F13" i="4" s="1"/>
  <c r="G13" i="4" s="1"/>
  <c r="L13" i="4" s="1"/>
  <c r="FJ175" i="2"/>
  <c r="FJ78" i="2"/>
  <c r="FJ45" i="2"/>
  <c r="FJ177" i="2"/>
  <c r="FJ67" i="2"/>
  <c r="FJ186" i="2"/>
  <c r="FJ158" i="2"/>
  <c r="FJ200" i="2"/>
  <c r="FJ173" i="2"/>
  <c r="FJ19" i="2"/>
  <c r="FJ71" i="2"/>
  <c r="FJ178" i="2"/>
  <c r="FJ93" i="2"/>
  <c r="FJ46" i="2"/>
  <c r="FJ58" i="2"/>
  <c r="FJ118" i="2"/>
  <c r="FJ147" i="2"/>
  <c r="FJ165" i="2"/>
  <c r="FJ39" i="2"/>
  <c r="FJ52" i="2"/>
  <c r="FJ66" i="2"/>
  <c r="FJ64" i="2"/>
  <c r="FJ108" i="2"/>
  <c r="FJ124" i="2"/>
  <c r="FJ201" i="2"/>
  <c r="FJ133" i="2"/>
  <c r="FJ37" i="2"/>
  <c r="FJ127" i="2"/>
  <c r="FJ110" i="2"/>
  <c r="FJ109" i="2"/>
  <c r="FJ81" i="2"/>
  <c r="FJ164" i="2"/>
  <c r="FJ5" i="2"/>
  <c r="FJ50" i="2"/>
  <c r="FJ83" i="2"/>
  <c r="FJ77" i="2"/>
  <c r="FJ33" i="2"/>
  <c r="FJ43" i="2"/>
  <c r="FJ91" i="2"/>
  <c r="FJ92" i="2"/>
  <c r="FJ155" i="2"/>
  <c r="FJ126" i="2"/>
  <c r="FJ55" i="2"/>
  <c r="FJ36" i="2"/>
  <c r="FJ190" i="2"/>
  <c r="FJ171" i="2"/>
  <c r="FJ62" i="2"/>
  <c r="FJ6" i="2"/>
  <c r="FJ104" i="2"/>
  <c r="FJ56" i="2"/>
  <c r="FJ170" i="2"/>
  <c r="FJ14" i="2"/>
  <c r="FJ184" i="2"/>
  <c r="FJ47" i="2"/>
  <c r="FJ76" i="2"/>
  <c r="FJ87" i="2"/>
  <c r="FJ8" i="2"/>
  <c r="FJ194" i="2"/>
  <c r="FJ98" i="2"/>
  <c r="FJ60" i="2"/>
  <c r="FJ82" i="2"/>
  <c r="FJ102" i="2"/>
  <c r="FJ11" i="2"/>
  <c r="FJ148" i="2"/>
  <c r="FJ169" i="2"/>
  <c r="FJ162" i="2"/>
  <c r="FJ72" i="2"/>
  <c r="FJ129" i="2"/>
  <c r="FJ197" i="2"/>
  <c r="FJ151" i="2"/>
  <c r="FJ97" i="2"/>
  <c r="FJ24" i="2"/>
  <c r="FJ99" i="2"/>
  <c r="FJ115" i="2"/>
  <c r="FJ131" i="2"/>
  <c r="FJ140" i="2"/>
  <c r="FJ128" i="2"/>
  <c r="FJ174" i="2"/>
  <c r="FJ31" i="2"/>
  <c r="FJ15" i="2"/>
  <c r="FJ199" i="2"/>
  <c r="FJ73" i="2"/>
  <c r="FJ117" i="2"/>
  <c r="FJ70" i="2"/>
  <c r="FJ195" i="2"/>
  <c r="FJ137" i="2"/>
  <c r="FJ41" i="2"/>
  <c r="FJ154" i="2"/>
  <c r="FJ89" i="2"/>
  <c r="FJ167" i="2"/>
  <c r="FJ198" i="2"/>
  <c r="FJ65" i="2"/>
  <c r="FJ202" i="2"/>
  <c r="FJ193" i="2"/>
  <c r="FJ166" i="2"/>
  <c r="FJ49" i="2"/>
  <c r="FJ142" i="2"/>
  <c r="FJ139" i="2"/>
  <c r="FJ180" i="2"/>
  <c r="FJ42" i="2"/>
  <c r="FJ32" i="2"/>
  <c r="FJ96" i="2"/>
  <c r="FJ69" i="2"/>
  <c r="FJ80" i="2"/>
  <c r="FJ144" i="2"/>
  <c r="FJ57" i="2"/>
  <c r="FJ120" i="2"/>
  <c r="FJ28" i="2"/>
  <c r="FJ18" i="2"/>
  <c r="FJ86" i="2"/>
  <c r="FJ122" i="2"/>
  <c r="FJ25" i="2"/>
  <c r="FJ7" i="2"/>
  <c r="FJ183" i="2"/>
  <c r="FJ21" i="2"/>
  <c r="FJ187" i="2"/>
  <c r="FJ29" i="2"/>
  <c r="FJ107" i="2"/>
  <c r="FJ123" i="2"/>
  <c r="FJ101" i="2"/>
  <c r="FJ61" i="2"/>
  <c r="FJ75" i="2"/>
  <c r="FJ152" i="2"/>
  <c r="FJ22" i="2"/>
  <c r="FJ159" i="2"/>
  <c r="FJ135" i="2"/>
  <c r="FJ74" i="2"/>
  <c r="FJ23" i="2"/>
  <c r="FJ141" i="2"/>
  <c r="FJ113" i="2"/>
  <c r="FJ51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GZ105" i="2" l="1"/>
  <c r="GZ188" i="2"/>
  <c r="GZ25" i="2"/>
  <c r="GZ191" i="2"/>
  <c r="GZ31" i="2"/>
  <c r="GZ123" i="2"/>
  <c r="GZ102" i="2"/>
  <c r="GZ41" i="2"/>
  <c r="GZ99" i="2"/>
  <c r="GZ6" i="2"/>
  <c r="GZ153" i="2"/>
  <c r="GZ198" i="2"/>
  <c r="GZ130" i="2"/>
  <c r="GZ181" i="2"/>
  <c r="GZ8" i="2"/>
  <c r="GZ65" i="2"/>
  <c r="GZ33" i="2"/>
  <c r="GZ73" i="2"/>
  <c r="GZ50" i="2"/>
  <c r="GZ192" i="2"/>
  <c r="GZ59" i="2"/>
  <c r="GZ101" i="2"/>
  <c r="GZ63" i="2"/>
  <c r="GZ81" i="2"/>
  <c r="GZ40" i="2"/>
  <c r="GZ171" i="2"/>
  <c r="GZ109" i="2"/>
  <c r="GZ100" i="2"/>
  <c r="GZ203" i="2"/>
  <c r="GZ150" i="2"/>
  <c r="GZ55" i="2"/>
  <c r="GZ46" i="2"/>
  <c r="GZ128" i="2"/>
  <c r="GZ146" i="2"/>
  <c r="GZ96" i="2"/>
  <c r="GZ74" i="2"/>
  <c r="GZ7" i="2"/>
  <c r="GZ19" i="2"/>
  <c r="GZ29" i="2"/>
  <c r="GZ154" i="2"/>
  <c r="GZ60" i="2"/>
  <c r="GZ80" i="2"/>
  <c r="GZ17" i="2"/>
  <c r="GZ125" i="2"/>
  <c r="GZ158" i="2"/>
  <c r="GZ12" i="2"/>
  <c r="GZ47" i="2"/>
  <c r="GZ156" i="2"/>
  <c r="GZ42" i="2"/>
  <c r="GZ85" i="2"/>
  <c r="GZ49" i="2"/>
  <c r="GZ168" i="2"/>
  <c r="GZ43" i="2"/>
  <c r="GZ22" i="2"/>
  <c r="GZ187" i="2"/>
  <c r="GZ5" i="2"/>
  <c r="GZ70" i="2"/>
  <c r="GZ142" i="2"/>
  <c r="GZ175" i="2"/>
  <c r="GZ35" i="2"/>
  <c r="GZ51" i="2"/>
  <c r="GZ151" i="2"/>
  <c r="GZ4" i="2"/>
  <c r="GZ104" i="2"/>
  <c r="GZ160" i="2"/>
  <c r="GZ11" i="2"/>
  <c r="GZ75" i="2"/>
  <c r="GZ148" i="2"/>
  <c r="GZ88" i="2"/>
  <c r="GZ83" i="2"/>
  <c r="GZ195" i="2"/>
  <c r="GZ185" i="2"/>
  <c r="GZ97" i="2"/>
  <c r="GZ170" i="2"/>
  <c r="GZ179" i="2"/>
  <c r="GZ21" i="2"/>
  <c r="GZ13" i="2"/>
  <c r="GZ77" i="2"/>
  <c r="GZ147" i="2"/>
  <c r="GZ183" i="2"/>
  <c r="GZ139" i="2"/>
  <c r="GZ72" i="2"/>
  <c r="GZ120" i="2"/>
  <c r="GZ87" i="2"/>
  <c r="GZ112" i="2"/>
  <c r="GZ27" i="2"/>
  <c r="GZ115" i="2"/>
  <c r="GZ162" i="2"/>
  <c r="GZ186" i="2"/>
  <c r="GZ117" i="2"/>
  <c r="GZ136" i="2"/>
  <c r="GZ95" i="2"/>
  <c r="GZ129" i="2"/>
  <c r="GZ135" i="2"/>
  <c r="GZ91" i="2"/>
  <c r="GZ61" i="2"/>
  <c r="GZ39" i="2"/>
  <c r="GZ144" i="2"/>
  <c r="GZ82" i="2"/>
  <c r="GZ165" i="2"/>
  <c r="GZ201" i="2"/>
  <c r="GZ71" i="2"/>
  <c r="GZ92" i="2"/>
  <c r="GZ196" i="2"/>
  <c r="GZ106" i="2"/>
  <c r="GZ176" i="2"/>
  <c r="GZ164" i="2"/>
  <c r="GZ149" i="2"/>
  <c r="GZ116" i="2"/>
  <c r="GZ173" i="2"/>
  <c r="GZ45" i="2"/>
  <c r="GZ18" i="2"/>
  <c r="GZ161" i="2"/>
  <c r="GZ58" i="2"/>
  <c r="GZ103" i="2"/>
  <c r="GZ78" i="2"/>
  <c r="GZ126" i="2"/>
  <c r="GZ9" i="2"/>
  <c r="GZ62" i="2"/>
  <c r="GZ20" i="2"/>
  <c r="GZ194" i="2"/>
  <c r="GZ178" i="2"/>
  <c r="GZ169" i="2"/>
  <c r="GZ26" i="2"/>
  <c r="GZ124" i="2"/>
  <c r="GZ15" i="2"/>
  <c r="GZ166" i="2"/>
  <c r="GZ48" i="2"/>
  <c r="GZ134" i="2"/>
  <c r="GZ14" i="2"/>
  <c r="GZ32" i="2"/>
  <c r="GZ133" i="2"/>
  <c r="GZ118" i="2"/>
  <c r="GZ69" i="2"/>
  <c r="GZ180" i="2"/>
  <c r="GZ163" i="2"/>
  <c r="GZ152" i="2"/>
  <c r="GZ107" i="2"/>
  <c r="GZ143" i="2"/>
  <c r="GZ132" i="2"/>
  <c r="GZ199" i="2"/>
  <c r="GZ94" i="2"/>
  <c r="GZ121" i="2"/>
  <c r="GZ137" i="2"/>
  <c r="GZ66" i="2"/>
  <c r="GZ28" i="2"/>
  <c r="GZ64" i="2"/>
  <c r="GZ90" i="2"/>
  <c r="GZ138" i="2"/>
  <c r="GZ79" i="2"/>
  <c r="GZ56" i="2"/>
  <c r="GZ98" i="2"/>
  <c r="GZ145" i="2"/>
  <c r="GZ54" i="2"/>
  <c r="GZ108" i="2"/>
  <c r="GZ111" i="2"/>
  <c r="GZ38" i="2"/>
  <c r="GZ52" i="2"/>
  <c r="GZ93" i="2"/>
  <c r="GZ202" i="2"/>
  <c r="GZ68" i="2"/>
  <c r="GZ193" i="2"/>
  <c r="GZ190" i="2"/>
  <c r="GZ113" i="2"/>
  <c r="GZ157" i="2"/>
  <c r="GZ140" i="2"/>
  <c r="GZ30" i="2"/>
  <c r="GZ110" i="2"/>
  <c r="GZ167" i="2"/>
  <c r="GZ57" i="2"/>
  <c r="GZ141" i="2"/>
  <c r="GZ10" i="2"/>
  <c r="GZ172" i="2"/>
  <c r="GZ84" i="2"/>
  <c r="GZ34" i="2"/>
  <c r="GZ184" i="2"/>
  <c r="GZ174" i="2"/>
  <c r="GZ155" i="2"/>
  <c r="GZ200" i="2"/>
  <c r="GZ44" i="2"/>
  <c r="GZ127" i="2"/>
  <c r="GZ67" i="2"/>
  <c r="GZ197" i="2"/>
  <c r="GZ89" i="2"/>
  <c r="GZ122" i="2"/>
  <c r="GZ159" i="2"/>
  <c r="GZ76" i="2"/>
  <c r="GZ119" i="2"/>
  <c r="GZ36" i="2"/>
  <c r="GZ182" i="2"/>
  <c r="GZ177" i="2"/>
  <c r="GZ131" i="2"/>
  <c r="GZ37" i="2"/>
  <c r="GZ189" i="2"/>
  <c r="GZ114" i="2"/>
  <c r="GZ16" i="2"/>
  <c r="GZ24" i="2"/>
  <c r="GZ86" i="2"/>
  <c r="GZ53" i="2"/>
  <c r="GZ23" i="2"/>
  <c r="GZ3" i="2"/>
  <c r="C15" i="4" s="1"/>
  <c r="E15" i="4" s="1"/>
  <c r="F15" i="4" s="1"/>
  <c r="G15" i="4" s="1"/>
  <c r="L15" i="4" s="1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44" i="2" l="1"/>
  <c r="EO35" i="2"/>
  <c r="EO5" i="2"/>
  <c r="EO197" i="2"/>
  <c r="EO7" i="2"/>
  <c r="EO187" i="2"/>
  <c r="EO113" i="2"/>
  <c r="EO100" i="2"/>
  <c r="EO102" i="2"/>
  <c r="EO142" i="2"/>
  <c r="EO31" i="2"/>
  <c r="EO126" i="2"/>
  <c r="EO200" i="2"/>
  <c r="EO176" i="2"/>
  <c r="EO143" i="2"/>
  <c r="EO108" i="2"/>
  <c r="EO82" i="2"/>
  <c r="EO121" i="2"/>
  <c r="EO122" i="2"/>
  <c r="EO16" i="2"/>
  <c r="EO71" i="2"/>
  <c r="EO177" i="2"/>
  <c r="EO149" i="2"/>
  <c r="EO20" i="2"/>
  <c r="EO120" i="2"/>
  <c r="EO147" i="2"/>
  <c r="EO192" i="2"/>
  <c r="EO118" i="2"/>
  <c r="EO49" i="2"/>
  <c r="EO63" i="2"/>
  <c r="EO57" i="2"/>
  <c r="EO191" i="2"/>
  <c r="EO70" i="2"/>
  <c r="EO106" i="2"/>
  <c r="EO179" i="2"/>
  <c r="EO134" i="2"/>
  <c r="EO114" i="2"/>
  <c r="EO198" i="2"/>
  <c r="EO61" i="2"/>
  <c r="EO62" i="2"/>
  <c r="EO199" i="2"/>
  <c r="EO83" i="2"/>
  <c r="EO111" i="2"/>
  <c r="EO84" i="2"/>
  <c r="EO38" i="2"/>
  <c r="EO89" i="2"/>
  <c r="EO46" i="2"/>
  <c r="EO193" i="2"/>
  <c r="EO41" i="2"/>
  <c r="EO104" i="2"/>
  <c r="EO22" i="2"/>
  <c r="EO30" i="2"/>
  <c r="EO43" i="2"/>
  <c r="EO87" i="2"/>
  <c r="EO152" i="2"/>
  <c r="EO107" i="2"/>
  <c r="EO15" i="2"/>
  <c r="EO19" i="2"/>
  <c r="EO124" i="2"/>
  <c r="EO42" i="2"/>
  <c r="EO101" i="2"/>
  <c r="EO112" i="2"/>
  <c r="EO196" i="2"/>
  <c r="EO194" i="2"/>
  <c r="EO125" i="2"/>
  <c r="EO94" i="2"/>
  <c r="EO137" i="2"/>
  <c r="EO186" i="2"/>
  <c r="EO72" i="2"/>
  <c r="EO78" i="2"/>
  <c r="EO64" i="2"/>
  <c r="EO23" i="2"/>
  <c r="EO14" i="2"/>
  <c r="EO33" i="2"/>
  <c r="EO140" i="2"/>
  <c r="EO167" i="2"/>
  <c r="EO183" i="2"/>
  <c r="EO169" i="2"/>
  <c r="EO141" i="2"/>
  <c r="EO184" i="2"/>
  <c r="EO109" i="2"/>
  <c r="EO67" i="2"/>
  <c r="EO29" i="2"/>
  <c r="EO163" i="2"/>
  <c r="EO190" i="2"/>
  <c r="EO53" i="2"/>
  <c r="EO93" i="2"/>
  <c r="EO154" i="2"/>
  <c r="EO66" i="2"/>
  <c r="EO162" i="2"/>
  <c r="EO81" i="2"/>
  <c r="EO55" i="2"/>
  <c r="EO40" i="2"/>
  <c r="EO105" i="2"/>
  <c r="EO110" i="2"/>
  <c r="EO24" i="2"/>
  <c r="EO88" i="2"/>
  <c r="EO130" i="2"/>
  <c r="EO181" i="2"/>
  <c r="EO129" i="2"/>
  <c r="EO115" i="2"/>
  <c r="EO11" i="2"/>
  <c r="EO60" i="2"/>
  <c r="EO119" i="2"/>
  <c r="EO175" i="2"/>
  <c r="EO180" i="2"/>
  <c r="EO164" i="2"/>
  <c r="EO161" i="2"/>
  <c r="EO168" i="2"/>
  <c r="EO189" i="2"/>
  <c r="EO151" i="2"/>
  <c r="EO128" i="2"/>
  <c r="EO73" i="2"/>
  <c r="EO131" i="2"/>
  <c r="EO17" i="2"/>
  <c r="EO166" i="2"/>
  <c r="EO185" i="2"/>
  <c r="EO75" i="2"/>
  <c r="EO76" i="2"/>
  <c r="EO54" i="2"/>
  <c r="EO4" i="2"/>
  <c r="EO77" i="2"/>
  <c r="EO182" i="2"/>
  <c r="EO27" i="2"/>
  <c r="EO160" i="2"/>
  <c r="EO150" i="2"/>
  <c r="EO172" i="2"/>
  <c r="EO159" i="2"/>
  <c r="EO39" i="2"/>
  <c r="EO153" i="2"/>
  <c r="EO79" i="2"/>
  <c r="EO8" i="2"/>
  <c r="EO127" i="2"/>
  <c r="EO203" i="2"/>
  <c r="EO195" i="2"/>
  <c r="EO173" i="2"/>
  <c r="EO136" i="2"/>
  <c r="EO80" i="2"/>
  <c r="EO170" i="2"/>
  <c r="EO52" i="2"/>
  <c r="EO96" i="2"/>
  <c r="EO3" i="2"/>
  <c r="C12" i="4" s="1"/>
  <c r="E12" i="4" s="1"/>
  <c r="F12" i="4" s="1"/>
  <c r="G12" i="4" s="1"/>
  <c r="L12" i="4" s="1"/>
  <c r="EO145" i="2"/>
  <c r="EO146" i="2"/>
  <c r="EO178" i="2"/>
  <c r="EO139" i="2"/>
  <c r="EO48" i="2"/>
  <c r="EO133" i="2"/>
  <c r="EO51" i="2"/>
  <c r="EO18" i="2"/>
  <c r="EO138" i="2"/>
  <c r="EO56" i="2"/>
  <c r="EO95" i="2"/>
  <c r="EO9" i="2"/>
  <c r="EO202" i="2"/>
  <c r="EO86" i="2"/>
  <c r="EO92" i="2"/>
  <c r="EO28" i="2"/>
  <c r="EO165" i="2"/>
  <c r="EO148" i="2"/>
  <c r="EO90" i="2"/>
  <c r="EO97" i="2"/>
  <c r="EO132" i="2"/>
  <c r="EO58" i="2"/>
  <c r="EO98" i="2"/>
  <c r="EO91" i="2"/>
  <c r="EO68" i="2"/>
  <c r="EO65" i="2"/>
  <c r="EO156" i="2"/>
  <c r="EO59" i="2"/>
  <c r="EO6" i="2"/>
  <c r="EO21" i="2"/>
  <c r="EO188" i="2"/>
  <c r="EO174" i="2"/>
  <c r="EO26" i="2"/>
  <c r="EO103" i="2"/>
  <c r="EO10" i="2"/>
  <c r="EO13" i="2"/>
  <c r="EO158" i="2"/>
  <c r="EO116" i="2"/>
  <c r="EO74" i="2"/>
  <c r="EO201" i="2"/>
  <c r="EO144" i="2"/>
  <c r="EO171" i="2"/>
  <c r="EO45" i="2"/>
  <c r="EO12" i="2"/>
  <c r="EO47" i="2"/>
  <c r="EO157" i="2"/>
  <c r="EO135" i="2"/>
  <c r="EO50" i="2"/>
  <c r="EO99" i="2"/>
  <c r="EO36" i="2"/>
  <c r="EO117" i="2"/>
  <c r="EO85" i="2"/>
  <c r="EO32" i="2"/>
  <c r="EO69" i="2"/>
  <c r="EO37" i="2"/>
  <c r="EO123" i="2"/>
  <c r="EO155" i="2"/>
  <c r="EO34" i="2"/>
  <c r="EO25" i="2"/>
  <c r="DT64" i="2"/>
  <c r="DT13" i="2"/>
  <c r="DT27" i="2"/>
  <c r="DT92" i="2"/>
  <c r="DT186" i="2"/>
  <c r="DT158" i="2"/>
  <c r="DT197" i="2"/>
  <c r="DT192" i="2"/>
  <c r="DT140" i="2"/>
  <c r="DT38" i="2"/>
  <c r="DT165" i="2"/>
  <c r="DT177" i="2"/>
  <c r="DT40" i="2"/>
  <c r="DT149" i="2"/>
  <c r="DT106" i="2"/>
  <c r="DT43" i="2"/>
  <c r="DT150" i="2"/>
  <c r="DT49" i="2"/>
  <c r="DT19" i="2"/>
  <c r="DT182" i="2"/>
  <c r="DT102" i="2"/>
  <c r="DT117" i="2"/>
  <c r="DT188" i="2"/>
  <c r="DT33" i="2"/>
  <c r="DT72" i="2"/>
  <c r="DT6" i="2"/>
  <c r="DT164" i="2"/>
  <c r="DT91" i="2"/>
  <c r="DT17" i="2"/>
  <c r="DT131" i="2"/>
  <c r="DT98" i="2"/>
  <c r="DT113" i="2"/>
  <c r="DT171" i="2"/>
  <c r="DT173" i="2"/>
  <c r="DT71" i="2"/>
  <c r="DT48" i="2"/>
  <c r="DT96" i="2"/>
  <c r="DT105" i="2"/>
  <c r="DT99" i="2"/>
  <c r="DT108" i="2"/>
  <c r="DT89" i="2"/>
  <c r="DT9" i="2"/>
  <c r="DT116" i="2"/>
  <c r="DT73" i="2"/>
  <c r="DT120" i="2"/>
  <c r="DT39" i="2"/>
  <c r="DT157" i="2"/>
  <c r="DT145" i="2"/>
  <c r="DT31" i="2"/>
  <c r="DT26" i="2"/>
  <c r="DT46" i="2"/>
  <c r="DT203" i="2"/>
  <c r="DT15" i="2"/>
  <c r="DT121" i="2"/>
  <c r="DT190" i="2"/>
  <c r="DT124" i="2"/>
  <c r="DT146" i="2"/>
  <c r="DT70" i="2"/>
  <c r="DT29" i="2"/>
  <c r="DT147" i="2"/>
  <c r="DT112" i="2"/>
  <c r="DT83" i="2"/>
  <c r="DT75" i="2"/>
  <c r="DT51" i="2"/>
  <c r="DT191" i="2"/>
  <c r="DT63" i="2"/>
  <c r="DT22" i="2"/>
  <c r="DT156" i="2"/>
  <c r="DT169" i="2"/>
  <c r="DT137" i="2"/>
  <c r="DT86" i="2"/>
  <c r="DT139" i="2"/>
  <c r="DT52" i="2"/>
  <c r="DT23" i="2"/>
  <c r="DT69" i="2"/>
  <c r="DT166" i="2"/>
  <c r="DT126" i="2"/>
  <c r="DT93" i="2"/>
  <c r="DT87" i="2"/>
  <c r="DT118" i="2"/>
  <c r="DT143" i="2"/>
  <c r="DT21" i="2"/>
  <c r="DT50" i="2"/>
  <c r="DT42" i="2"/>
  <c r="DT60" i="2"/>
  <c r="DT160" i="2"/>
  <c r="DT172" i="2"/>
  <c r="DT202" i="2"/>
  <c r="DT61" i="2"/>
  <c r="DT196" i="2"/>
  <c r="DT65" i="2"/>
  <c r="DT37" i="2"/>
  <c r="DT198" i="2"/>
  <c r="DT193" i="2"/>
  <c r="DT109" i="2"/>
  <c r="DT181" i="2"/>
  <c r="DT56" i="2"/>
  <c r="DT133" i="2"/>
  <c r="DT95" i="2"/>
  <c r="DT114" i="2"/>
  <c r="DT53" i="2"/>
  <c r="DT16" i="2"/>
  <c r="DT104" i="2"/>
  <c r="DT74" i="2"/>
  <c r="DT11" i="2"/>
  <c r="DT35" i="2"/>
  <c r="DT141" i="2"/>
  <c r="DT90" i="2"/>
  <c r="DT155" i="2"/>
  <c r="DT3" i="2"/>
  <c r="C11" i="4" s="1"/>
  <c r="E11" i="4" s="1"/>
  <c r="F11" i="4" s="1"/>
  <c r="G11" i="4" s="1"/>
  <c r="L11" i="4" s="1"/>
  <c r="DT142" i="2"/>
  <c r="DT199" i="2"/>
  <c r="DT34" i="2"/>
  <c r="DT154" i="2"/>
  <c r="DT122" i="2"/>
  <c r="DT189" i="2"/>
  <c r="DT18" i="2"/>
  <c r="DT44" i="2"/>
  <c r="DT123" i="2"/>
  <c r="DT66" i="2"/>
  <c r="DT167" i="2"/>
  <c r="DT153" i="2"/>
  <c r="DT30" i="2"/>
  <c r="DT82" i="2"/>
  <c r="DT7" i="2"/>
  <c r="DT176" i="2"/>
  <c r="DT187" i="2"/>
  <c r="DT100" i="2"/>
  <c r="DT76" i="2"/>
  <c r="DT201" i="2"/>
  <c r="DT88" i="2"/>
  <c r="DT4" i="2"/>
  <c r="DT128" i="2"/>
  <c r="DT59" i="2"/>
  <c r="DT183" i="2"/>
  <c r="DT77" i="2"/>
  <c r="DT101" i="2"/>
  <c r="DT144" i="2"/>
  <c r="DT5" i="2"/>
  <c r="DT68" i="2"/>
  <c r="DT185" i="2"/>
  <c r="DT119" i="2"/>
  <c r="DT79" i="2"/>
  <c r="DT54" i="2"/>
  <c r="DT84" i="2"/>
  <c r="DT20" i="2"/>
  <c r="DT179" i="2"/>
  <c r="DT32" i="2"/>
  <c r="DT174" i="2"/>
  <c r="DT170" i="2"/>
  <c r="DT78" i="2"/>
  <c r="DT110" i="2"/>
  <c r="DT80" i="2"/>
  <c r="DT36" i="2"/>
  <c r="DT45" i="2"/>
  <c r="DT168" i="2"/>
  <c r="DT129" i="2"/>
  <c r="DT25" i="2"/>
  <c r="DT152" i="2"/>
  <c r="DT10" i="2"/>
  <c r="DT162" i="2"/>
  <c r="DT111" i="2"/>
  <c r="DT178" i="2"/>
  <c r="DT194" i="2"/>
  <c r="DT148" i="2"/>
  <c r="DT103" i="2"/>
  <c r="DT12" i="2"/>
  <c r="DT127" i="2"/>
  <c r="DT136" i="2"/>
  <c r="DT85" i="2"/>
  <c r="DT62" i="2"/>
  <c r="DT125" i="2"/>
  <c r="DT161" i="2"/>
  <c r="DT130" i="2"/>
  <c r="DT67" i="2"/>
  <c r="DT94" i="2"/>
  <c r="DT180" i="2"/>
  <c r="DT8" i="2"/>
  <c r="DT57" i="2"/>
  <c r="DT163" i="2"/>
  <c r="DT28" i="2"/>
  <c r="DT115" i="2"/>
  <c r="DT47" i="2"/>
  <c r="DT200" i="2"/>
  <c r="DT24" i="2"/>
  <c r="DT134" i="2"/>
  <c r="DT55" i="2"/>
  <c r="DT195" i="2"/>
  <c r="DT107" i="2"/>
  <c r="DT132" i="2"/>
  <c r="DT159" i="2"/>
  <c r="DT138" i="2"/>
  <c r="DT175" i="2"/>
  <c r="DT184" i="2"/>
  <c r="DT41" i="2"/>
  <c r="DT151" i="2"/>
  <c r="DT97" i="2"/>
  <c r="DT14" i="2"/>
  <c r="DT135" i="2"/>
  <c r="DT81" i="2"/>
  <c r="DT5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<sst xmlns="http://schemas.openxmlformats.org/spreadsheetml/2006/main" count="1179" uniqueCount="325">
  <si>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</si>
  <si>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</si>
  <si>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</si>
  <si>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</si>
  <si>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</si>
  <si>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</si>
  <si>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</si>
  <si>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</si>
  <si>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</si>
  <si>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</si>
  <si>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</si>
  <si>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</si>
  <si>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</si>
  <si>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</si>
  <si>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</si>
  <si>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</si>
  <si>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</si>
  <si>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</si>
  <si>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</si>
  <si>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</si>
  <si>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</si>
  <si>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</si>
  <si>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</si>
  <si>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</si>
  <si>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</si>
  <si>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</si>
  <si>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</si>
  <si>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</si>
  <si>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</si>
  <si>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</si>
  <si>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</si>
  <si>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</si>
  <si>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</si>
  <si>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</si>
  <si>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</si>
  <si>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</si>
  <si>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</si>
  <si>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</si>
  <si>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</si>
  <si>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</si>
  <si>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</si>
  <si>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</si>
  <si>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</si>
  <si>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</si>
  <si>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</si>
  <si>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</si>
  <si>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</si>
  <si>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</si>
  <si>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</si>
  <si>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</si>
  <si>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</si>
  <si>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</si>
  <si>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</si>
  <si>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</si>
  <si>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</si>
  <si>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</si>
  <si>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</si>
  <si>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</si>
  <si>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</si>
  <si>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</si>
  <si>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</si>
  <si>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</si>
  <si>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</si>
  <si>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</si>
  <si>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</si>
  <si>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</si>
  <si>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</si>
  <si>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</si>
  <si>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</si>
  <si>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</si>
  <si>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</si>
  <si>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</si>
  <si>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</si>
  <si>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</si>
  <si>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</si>
  <si>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</si>
  <si>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</si>
  <si>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</si>
  <si>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</si>
  <si>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</si>
  <si>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</si>
  <si>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</si>
  <si>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</si>
  <si>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</si>
  <si>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</si>
  <si>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</si>
  <si>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</si>
  <si>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</si>
  <si>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</si>
  <si>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</si>
  <si>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</si>
  <si>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</si>
  <si>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</si>
  <si>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</si>
  <si>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</si>
  <si>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</si>
  <si>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</si>
  <si>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</si>
  <si>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</si>
  <si>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</si>
  <si>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</si>
  <si>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</si>
  <si>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</si>
  <si>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</si>
  <si>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</si>
  <si>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</si>
  <si>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</si>
  <si>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</si>
  <si>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</si>
  <si>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</si>
  <si>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</si>
  <si>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</si>
  <si>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</si>
  <si>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</si>
  <si>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</si>
  <si>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</si>
  <si>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</si>
  <si>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</si>
  <si>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</si>
  <si>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</si>
  <si>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</si>
  <si>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</si>
  <si>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</si>
  <si>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</si>
  <si>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</si>
  <si>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</si>
  <si>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</si>
  <si>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</si>
  <si>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</si>
  <si>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</si>
  <si>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</si>
  <si>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</si>
  <si>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</si>
  <si>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</si>
  <si>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</si>
  <si>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</si>
  <si>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</si>
  <si>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</si>
  <si>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</si>
  <si>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</si>
  <si>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</si>
  <si>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</si>
  <si>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</si>
  <si>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</si>
  <si>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</si>
  <si>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</si>
  <si>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</si>
  <si>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</si>
  <si>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</si>
  <si>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</si>
  <si>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</si>
  <si>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</si>
  <si>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</si>
  <si>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</si>
  <si>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</si>
  <si>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</si>
  <si>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</si>
  <si>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</si>
  <si>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</si>
  <si>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</si>
  <si>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</si>
  <si>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</si>
  <si>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</si>
  <si>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</si>
  <si>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</si>
  <si>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</si>
  <si>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</si>
  <si>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</si>
  <si>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</si>
  <si>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</si>
  <si>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</si>
  <si>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</si>
  <si>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</si>
  <si>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</si>
  <si>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</si>
  <si>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</si>
  <si>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</si>
  <si>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</si>
  <si>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</si>
  <si>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</si>
  <si>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</si>
  <si>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</si>
  <si>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</si>
  <si>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</si>
  <si>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</si>
  <si>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</si>
  <si>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</si>
  <si>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</si>
  <si>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</si>
  <si>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</si>
  <si>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</si>
  <si>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</si>
  <si>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</si>
  <si>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</si>
  <si>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</si>
  <si>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</si>
  <si>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</si>
  <si>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</si>
  <si>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</si>
  <si>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</si>
  <si>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</si>
  <si>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</si>
  <si>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</si>
  <si>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</si>
  <si>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</si>
  <si>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</si>
  <si>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</si>
  <si>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</si>
  <si>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</si>
  <si>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</si>
  <si>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</si>
  <si>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</si>
  <si>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</si>
  <si>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</si>
  <si>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</si>
  <si>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</si>
  <si>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</si>
  <si>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</si>
  <si>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</si>
  <si>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</si>
  <si>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</si>
  <si>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</si>
  <si>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</si>
  <si>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</si>
  <si>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</si>
  <si>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</si>
  <si>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</si>
  <si>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</si>
  <si>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</si>
  <si>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</si>
  <si>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</si>
  <si>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</si>
  <si>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</si>
  <si>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</si>
  <si>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</si>
  <si>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</si>
  <si>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</si>
  <si>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</si>
  <si>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</si>
  <si>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</si>
  <si>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</si>
  <si>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</si>
  <si>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</si>
  <si>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</si>
  <si>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</si>
  <si>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</si>
  <si>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</si>
  <si>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</si>
  <si>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</si>
  <si>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</si>
  <si>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</si>
  <si>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</si>
  <si>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</si>
  <si>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</si>
  <si>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</si>
  <si>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</si>
  <si>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</si>
  <si>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</si>
  <si>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</si>
  <si>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</si>
  <si>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</si>
  <si>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</si>
  <si>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</si>
  <si>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</si>
  <si>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</si>
  <si>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</si>
  <si>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</si>
  <si>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</si>
  <si>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</si>
  <si>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</si>
  <si>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</si>
  <si>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</si>
  <si>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</si>
  <si>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</si>
  <si>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</si>
  <si>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</si>
  <si>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</si>
  <si>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</si>
  <si>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</si>
  <si>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</si>
  <si>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</si>
  <si>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</si>
  <si>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</si>
  <si>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</si>
  <si>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</si>
  <si>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</si>
  <si>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</si>
  <si>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</si>
  <si>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</si>
  <si>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</si>
  <si>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</si>
  <si>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</si>
  <si>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</si>
  <si>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</si>
  <si>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</si>
  <si>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</si>
  <si>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</si>
  <si>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</si>
  <si>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</si>
  <si>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</si>
  <si>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</si>
  <si>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</si>
  <si>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</si>
  <si>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</si>
  <si>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</si>
  <si>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</si>
  <si>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</si>
  <si>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</si>
  <si>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</si>
  <si>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</si>
  <si>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</si>
  <si>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</si>
  <si>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</si>
  <si>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</si>
  <si>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</si>
  <si>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</si>
  <si>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</si>
  <si>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</si>
  <si>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</si>
  <si>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</si>
  <si>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</si>
  <si>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</si>
  <si>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</si>
  <si>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</si>
  <si>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(205+15)/1,56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</si>
</sst>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1090208"/>
        <c:axId val="1971089664"/>
      </c:scatterChart>
      <c:valAx>
        <c:axId val="1971090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1089664"/>
        <c:crosses val="autoZero"/>
        <c:crossBetween val="midCat"/>
      </c:valAx>
      <c:valAx>
        <c:axId val="197108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1090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164.07533800948443</c:v>
                </c:pt>
                <c:pt idx="32">
                  <c:v>174.31411099729235</c:v>
                </c:pt>
                <c:pt idx="33">
                  <c:v>184.53875634892685</c:v>
                </c:pt>
                <c:pt idx="34">
                  <c:v>194.75016791911332</c:v>
                </c:pt>
                <c:pt idx="35">
                  <c:v>204.94913805516691</c:v>
                </c:pt>
                <c:pt idx="36">
                  <c:v>216.13536806995225</c:v>
                </c:pt>
                <c:pt idx="37">
                  <c:v>227.3082824620661</c:v>
                </c:pt>
                <c:pt idx="38">
                  <c:v>238.46862841835264</c:v>
                </c:pt>
                <c:pt idx="39">
                  <c:v>249.61707741918681</c:v>
                </c:pt>
                <c:pt idx="40">
                  <c:v>260.75423602111391</c:v>
                </c:pt>
                <c:pt idx="41">
                  <c:v>272.68118293699183</c:v>
                </c:pt>
                <c:pt idx="42">
                  <c:v>284.596403536016</c:v>
                </c:pt>
                <c:pt idx="43">
                  <c:v>296.5004581524463</c:v>
                </c:pt>
                <c:pt idx="44">
                  <c:v>308.39385843235641</c:v>
                </c:pt>
                <c:pt idx="45">
                  <c:v>320.27707331895328</c:v>
                </c:pt>
                <c:pt idx="46">
                  <c:v>332.81878222101051</c:v>
                </c:pt>
                <c:pt idx="47">
                  <c:v>345.3500753576954</c:v>
                </c:pt>
                <c:pt idx="48">
                  <c:v>357.87138400274654</c:v>
                </c:pt>
                <c:pt idx="49">
                  <c:v>370.38310678134184</c:v>
                </c:pt>
                <c:pt idx="50">
                  <c:v>382.8856131844779</c:v>
                </c:pt>
                <c:pt idx="51">
                  <c:v>395.37924660026175</c:v>
                </c:pt>
                <c:pt idx="52">
                  <c:v>235.63006670035932</c:v>
                </c:pt>
                <c:pt idx="53">
                  <c:v>247.13151967519605</c:v>
                </c:pt>
                <c:pt idx="54">
                  <c:v>258.6208231635332</c:v>
                </c:pt>
                <c:pt idx="55">
                  <c:v>270.09859326646807</c:v>
                </c:pt>
                <c:pt idx="56">
                  <c:v>281.56538941412128</c:v>
                </c:pt>
                <c:pt idx="57">
                  <c:v>292.67919777140111</c:v>
                </c:pt>
                <c:pt idx="58">
                  <c:v>303.78358590566432</c:v>
                </c:pt>
                <c:pt idx="59">
                  <c:v>314.87894685838472</c:v>
                </c:pt>
                <c:pt idx="60">
                  <c:v>325.96564369687235</c:v>
                </c:pt>
                <c:pt idx="61">
                  <c:v>337.04401276379787</c:v>
                </c:pt>
                <c:pt idx="62">
                  <c:v>252.21456919520065</c:v>
                </c:pt>
                <c:pt idx="63">
                  <c:v>262.44542146430354</c:v>
                </c:pt>
                <c:pt idx="64">
                  <c:v>272.66727459691896</c:v>
                </c:pt>
                <c:pt idx="65">
                  <c:v>282.88051374655532</c:v>
                </c:pt>
                <c:pt idx="66">
                  <c:v>293.08549396442709</c:v>
                </c:pt>
                <c:pt idx="67">
                  <c:v>303.28254354108338</c:v>
                </c:pt>
                <c:pt idx="68">
                  <c:v>313.7582524161748</c:v>
                </c:pt>
                <c:pt idx="69">
                  <c:v>324.22620744324928</c:v>
                </c:pt>
                <c:pt idx="70">
                  <c:v>334.68669438075665</c:v>
                </c:pt>
                <c:pt idx="71">
                  <c:v>345.13997965752452</c:v>
                </c:pt>
                <c:pt idx="72">
                  <c:v>355.58631223872879</c:v>
                </c:pt>
                <c:pt idx="73">
                  <c:v>366.02592526105173</c:v>
                </c:pt>
                <c:pt idx="74">
                  <c:v>281.81632883541465</c:v>
                </c:pt>
                <c:pt idx="75">
                  <c:v>291.28277988050218</c:v>
                </c:pt>
                <c:pt idx="76">
                  <c:v>300.74236004002955</c:v>
                </c:pt>
                <c:pt idx="77">
                  <c:v>310.19531605992978</c:v>
                </c:pt>
                <c:pt idx="78">
                  <c:v>319.6418784088774</c:v>
                </c:pt>
                <c:pt idx="79">
                  <c:v>329.08226281184676</c:v>
                </c:pt>
                <c:pt idx="80">
                  <c:v>338.69481657281045</c:v>
                </c:pt>
                <c:pt idx="81">
                  <c:v>348.30136779641316</c:v>
                </c:pt>
                <c:pt idx="82">
                  <c:v>357.90210547556245</c:v>
                </c:pt>
                <c:pt idx="83">
                  <c:v>367.4972076306401</c:v>
                </c:pt>
                <c:pt idx="84">
                  <c:v>377.08684222260217</c:v>
                </c:pt>
                <c:pt idx="85">
                  <c:v>386.67116796831169</c:v>
                </c:pt>
                <c:pt idx="86">
                  <c:v>310.20302068238681</c:v>
                </c:pt>
                <c:pt idx="87">
                  <c:v>318.8834575745966</c:v>
                </c:pt>
                <c:pt idx="88">
                  <c:v>327.55866418727186</c:v>
                </c:pt>
                <c:pt idx="89">
                  <c:v>336.22879868133299</c:v>
                </c:pt>
                <c:pt idx="90">
                  <c:v>344.89401038910336</c:v>
                </c:pt>
                <c:pt idx="91">
                  <c:v>353.55444052140359</c:v>
                </c:pt>
                <c:pt idx="92">
                  <c:v>362.31388021108495</c:v>
                </c:pt>
                <c:pt idx="93">
                  <c:v>371.06869139569397</c:v>
                </c:pt>
                <c:pt idx="94">
                  <c:v>379.81899874468553</c:v>
                </c:pt>
                <c:pt idx="95">
                  <c:v>388.56492071108028</c:v>
                </c:pt>
                <c:pt idx="96">
                  <c:v>397.30656997742784</c:v>
                </c:pt>
                <c:pt idx="97">
                  <c:v>406.04405386046113</c:v>
                </c:pt>
                <c:pt idx="98">
                  <c:v>334.39312563623599</c:v>
                </c:pt>
                <c:pt idx="99">
                  <c:v>342.24703403704694</c:v>
                </c:pt>
                <c:pt idx="100">
                  <c:v>350.09698079823966</c:v>
                </c:pt>
                <c:pt idx="101">
                  <c:v>357.94306734951579</c:v>
                </c:pt>
                <c:pt idx="102">
                  <c:v>365.78539030752978</c:v>
                </c:pt>
                <c:pt idx="103">
                  <c:v>373.62404180484191</c:v>
                </c:pt>
                <c:pt idx="104">
                  <c:v>381.51151922303683</c:v>
                </c:pt>
                <c:pt idx="105">
                  <c:v>389.39545073608269</c:v>
                </c:pt>
                <c:pt idx="106">
                  <c:v>397.27591831089302</c:v>
                </c:pt>
                <c:pt idx="107">
                  <c:v>405.15300039508821</c:v>
                </c:pt>
                <c:pt idx="108">
                  <c:v>413.02677213508372</c:v>
                </c:pt>
                <c:pt idx="109">
                  <c:v>420.89730557667332</c:v>
                </c:pt>
                <c:pt idx="110">
                  <c:v>347.56231546624463</c:v>
                </c:pt>
                <c:pt idx="111">
                  <c:v>354.64786759228599</c:v>
                </c:pt>
                <c:pt idx="112">
                  <c:v>361.73031893174402</c:v>
                </c:pt>
                <c:pt idx="113">
                  <c:v>368.80973881426394</c:v>
                </c:pt>
                <c:pt idx="114">
                  <c:v>375.88619368839096</c:v>
                </c:pt>
                <c:pt idx="115">
                  <c:v>382.95974729448511</c:v>
                </c:pt>
                <c:pt idx="116">
                  <c:v>390.02023951163716</c:v>
                </c:pt>
                <c:pt idx="117">
                  <c:v>397.07795839700174</c:v>
                </c:pt>
                <c:pt idx="118">
                  <c:v>404.13296023549515</c:v>
                </c:pt>
                <c:pt idx="119">
                  <c:v>411.18529918508108</c:v>
                </c:pt>
                <c:pt idx="120">
                  <c:v>418.235027393054</c:v>
                </c:pt>
                <c:pt idx="121">
                  <c:v>425.28219510406774</c:v>
                </c:pt>
                <c:pt idx="122">
                  <c:v>223.15332793340841</c:v>
                </c:pt>
                <c:pt idx="123">
                  <c:v>228.35256653094197</c:v>
                </c:pt>
                <c:pt idx="124">
                  <c:v>233.54909656198762</c:v>
                </c:pt>
                <c:pt idx="125">
                  <c:v>238.74298690714286</c:v>
                </c:pt>
                <c:pt idx="126">
                  <c:v>243.93430319999132</c:v>
                </c:pt>
                <c:pt idx="127">
                  <c:v>248.62911644730306</c:v>
                </c:pt>
                <c:pt idx="128">
                  <c:v>253.3219181823894</c:v>
                </c:pt>
                <c:pt idx="129">
                  <c:v>258.01275099580977</c:v>
                </c:pt>
                <c:pt idx="130">
                  <c:v>262.70165580030124</c:v>
                </c:pt>
                <c:pt idx="131">
                  <c:v>267.38867192633211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25520"/>
        <c:axId val="1292309328"/>
      </c:scatterChart>
      <c:valAx>
        <c:axId val="2103425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2309328"/>
        <c:crosses val="autoZero"/>
        <c:crossBetween val="midCat"/>
      </c:valAx>
      <c:valAx>
        <c:axId val="129230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5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131.19552875292825</c:v>
                </c:pt>
                <c:pt idx="22">
                  <c:v>150.23693675874819</c:v>
                </c:pt>
                <c:pt idx="23">
                  <c:v>169.22076873606747</c:v>
                </c:pt>
                <c:pt idx="24">
                  <c:v>188.15439824972211</c:v>
                </c:pt>
                <c:pt idx="25">
                  <c:v>207.04359025710687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236.43267338641553</c:v>
                </c:pt>
                <c:pt idx="32">
                  <c:v>252.59797413681909</c:v>
                </c:pt>
                <c:pt idx="33">
                  <c:v>268.73984484198553</c:v>
                </c:pt>
                <c:pt idx="34">
                  <c:v>284.85989094555777</c:v>
                </c:pt>
                <c:pt idx="35">
                  <c:v>300.95952130477968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305.82302433005208</c:v>
                </c:pt>
                <c:pt idx="42">
                  <c:v>318.16118821698814</c:v>
                </c:pt>
                <c:pt idx="43">
                  <c:v>330.48876005573726</c:v>
                </c:pt>
                <c:pt idx="44">
                  <c:v>342.80619071488059</c:v>
                </c:pt>
                <c:pt idx="45">
                  <c:v>355.11389600890431</c:v>
                </c:pt>
                <c:pt idx="46">
                  <c:v>292.35055150938035</c:v>
                </c:pt>
                <c:pt idx="47">
                  <c:v>302.45616879398875</c:v>
                </c:pt>
                <c:pt idx="48">
                  <c:v>312.55427347160997</c:v>
                </c:pt>
                <c:pt idx="49">
                  <c:v>322.6451426246872</c:v>
                </c:pt>
                <c:pt idx="50">
                  <c:v>332.72903457884451</c:v>
                </c:pt>
                <c:pt idx="51">
                  <c:v>341.68683217968459</c:v>
                </c:pt>
                <c:pt idx="52">
                  <c:v>350.63946715468188</c:v>
                </c:pt>
                <c:pt idx="53">
                  <c:v>359.58708999068585</c:v>
                </c:pt>
                <c:pt idx="54">
                  <c:v>368.52984306951663</c:v>
                </c:pt>
                <c:pt idx="55">
                  <c:v>377.46786129486031</c:v>
                </c:pt>
                <c:pt idx="56">
                  <c:v>340.56739298972934</c:v>
                </c:pt>
                <c:pt idx="57">
                  <c:v>348.40178403373949</c:v>
                </c:pt>
                <c:pt idx="58">
                  <c:v>356.23230957994457</c:v>
                </c:pt>
                <c:pt idx="59">
                  <c:v>364.05906664989806</c:v>
                </c:pt>
                <c:pt idx="60">
                  <c:v>371.88214774985937</c:v>
                </c:pt>
                <c:pt idx="61">
                  <c:v>377.84017788163402</c:v>
                </c:pt>
                <c:pt idx="62">
                  <c:v>383.79616295666898</c:v>
                </c:pt>
                <c:pt idx="63">
                  <c:v>389.75013922020366</c:v>
                </c:pt>
                <c:pt idx="64">
                  <c:v>395.70214171866616</c:v>
                </c:pt>
                <c:pt idx="65">
                  <c:v>401.65220435716355</c:v>
                </c:pt>
                <c:pt idx="66">
                  <c:v>375.60615822359949</c:v>
                </c:pt>
                <c:pt idx="67">
                  <c:v>381.19066877305676</c:v>
                </c:pt>
                <c:pt idx="68">
                  <c:v>386.7733999720669</c:v>
                </c:pt>
                <c:pt idx="69">
                  <c:v>392.35438115419703</c:v>
                </c:pt>
                <c:pt idx="70">
                  <c:v>397.93364074958481</c:v>
                </c:pt>
                <c:pt idx="71">
                  <c:v>402.76762782233112</c:v>
                </c:pt>
                <c:pt idx="72">
                  <c:v>407.60035995338347</c:v>
                </c:pt>
                <c:pt idx="73">
                  <c:v>412.4318541373803</c:v>
                </c:pt>
                <c:pt idx="74">
                  <c:v>417.26212693788665</c:v>
                </c:pt>
                <c:pt idx="75">
                  <c:v>422.091194503304</c:v>
                </c:pt>
                <c:pt idx="76">
                  <c:v>426.54773922354394</c:v>
                </c:pt>
                <c:pt idx="77">
                  <c:v>431.00328251520631</c:v>
                </c:pt>
                <c:pt idx="78">
                  <c:v>435.45783620208459</c:v>
                </c:pt>
                <c:pt idx="79">
                  <c:v>439.91141184608779</c:v>
                </c:pt>
                <c:pt idx="80">
                  <c:v>444.36402075569316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1090752"/>
        <c:axId val="1971091296"/>
      </c:scatterChart>
      <c:valAx>
        <c:axId val="1971090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1091296"/>
        <c:crosses val="autoZero"/>
        <c:crossBetween val="midCat"/>
      </c:valAx>
      <c:valAx>
        <c:axId val="197109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1090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1088032"/>
        <c:axId val="2103421712"/>
      </c:scatterChart>
      <c:valAx>
        <c:axId val="1971088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1712"/>
        <c:crosses val="autoZero"/>
        <c:crossBetween val="midCat"/>
      </c:valAx>
      <c:valAx>
        <c:axId val="210342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1088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83.321212073084297</c:v>
                </c:pt>
                <c:pt idx="17">
                  <c:v>94.840621613214523</c:v>
                </c:pt>
                <c:pt idx="18">
                  <c:v>106.32512728772149</c:v>
                </c:pt>
                <c:pt idx="19">
                  <c:v>117.77903739258919</c:v>
                </c:pt>
                <c:pt idx="20">
                  <c:v>129.20575104776432</c:v>
                </c:pt>
                <c:pt idx="21">
                  <c:v>145.86299414746833</c:v>
                </c:pt>
                <c:pt idx="22">
                  <c:v>162.47473794769323</c:v>
                </c:pt>
                <c:pt idx="23">
                  <c:v>179.04629296051735</c:v>
                </c:pt>
                <c:pt idx="24">
                  <c:v>195.58190439595512</c:v>
                </c:pt>
                <c:pt idx="25">
                  <c:v>212.08503993201165</c:v>
                </c:pt>
                <c:pt idx="26">
                  <c:v>185.43251337813982</c:v>
                </c:pt>
                <c:pt idx="27">
                  <c:v>200.79678251340366</c:v>
                </c:pt>
                <c:pt idx="28">
                  <c:v>216.13381450662936</c:v>
                </c:pt>
                <c:pt idx="29">
                  <c:v>231.44581475719394</c:v>
                </c:pt>
                <c:pt idx="30">
                  <c:v>246.73467280489581</c:v>
                </c:pt>
                <c:pt idx="31">
                  <c:v>260.85048898065349</c:v>
                </c:pt>
                <c:pt idx="32">
                  <c:v>274.94905982920312</c:v>
                </c:pt>
                <c:pt idx="33">
                  <c:v>289.03139434448445</c:v>
                </c:pt>
                <c:pt idx="34">
                  <c:v>303.09839513833811</c:v>
                </c:pt>
                <c:pt idx="35">
                  <c:v>317.15087417829062</c:v>
                </c:pt>
                <c:pt idx="36">
                  <c:v>285.29679456567925</c:v>
                </c:pt>
                <c:pt idx="37">
                  <c:v>299.36778087905742</c:v>
                </c:pt>
                <c:pt idx="38">
                  <c:v>313.42403808604377</c:v>
                </c:pt>
                <c:pt idx="39">
                  <c:v>327.46631985411017</c:v>
                </c:pt>
                <c:pt idx="40">
                  <c:v>341.49530992621663</c:v>
                </c:pt>
                <c:pt idx="41">
                  <c:v>355.51163127503713</c:v>
                </c:pt>
                <c:pt idx="42">
                  <c:v>369.51585373762447</c:v>
                </c:pt>
                <c:pt idx="43">
                  <c:v>383.50850043195527</c:v>
                </c:pt>
                <c:pt idx="44">
                  <c:v>397.49005318795139</c:v>
                </c:pt>
                <c:pt idx="45">
                  <c:v>411.46095717439465</c:v>
                </c:pt>
                <c:pt idx="46">
                  <c:v>372.08678474521804</c:v>
                </c:pt>
                <c:pt idx="47">
                  <c:v>385.50653357189594</c:v>
                </c:pt>
                <c:pt idx="48">
                  <c:v>398.91613631026348</c:v>
                </c:pt>
                <c:pt idx="49">
                  <c:v>412.31598206855364</c:v>
                </c:pt>
                <c:pt idx="50">
                  <c:v>425.70643260061382</c:v>
                </c:pt>
                <c:pt idx="51">
                  <c:v>438.23395806976941</c:v>
                </c:pt>
                <c:pt idx="52">
                  <c:v>450.75380400845506</c:v>
                </c:pt>
                <c:pt idx="53">
                  <c:v>463.2662137695504</c:v>
                </c:pt>
                <c:pt idx="54">
                  <c:v>475.77141648878222</c:v>
                </c:pt>
                <c:pt idx="55">
                  <c:v>488.26962827505463</c:v>
                </c:pt>
                <c:pt idx="56">
                  <c:v>445.91748531819809</c:v>
                </c:pt>
                <c:pt idx="57">
                  <c:v>457.57966167900014</c:v>
                </c:pt>
                <c:pt idx="58">
                  <c:v>469.23549142896331</c:v>
                </c:pt>
                <c:pt idx="59">
                  <c:v>480.8851544400643</c:v>
                </c:pt>
                <c:pt idx="60">
                  <c:v>492.52882115849974</c:v>
                </c:pt>
                <c:pt idx="61">
                  <c:v>503.59908720039897</c:v>
                </c:pt>
                <c:pt idx="62">
                  <c:v>514.66420648531459</c:v>
                </c:pt>
                <c:pt idx="63">
                  <c:v>525.72430526117216</c:v>
                </c:pt>
                <c:pt idx="64">
                  <c:v>536.77950403096065</c:v>
                </c:pt>
                <c:pt idx="65">
                  <c:v>547.82991792960343</c:v>
                </c:pt>
                <c:pt idx="66">
                  <c:v>506.15302838571415</c:v>
                </c:pt>
                <c:pt idx="67">
                  <c:v>516.93334996602653</c:v>
                </c:pt>
                <c:pt idx="68">
                  <c:v>527.70892912081365</c:v>
                </c:pt>
                <c:pt idx="69">
                  <c:v>538.47987633603896</c:v>
                </c:pt>
                <c:pt idx="70">
                  <c:v>549.24629731741913</c:v>
                </c:pt>
                <c:pt idx="71">
                  <c:v>559.15882062541698</c:v>
                </c:pt>
                <c:pt idx="72">
                  <c:v>569.06766600200319</c:v>
                </c:pt>
                <c:pt idx="73">
                  <c:v>578.97290651482399</c:v>
                </c:pt>
                <c:pt idx="74">
                  <c:v>588.87461252765968</c:v>
                </c:pt>
                <c:pt idx="75">
                  <c:v>598.77285184523487</c:v>
                </c:pt>
                <c:pt idx="76">
                  <c:v>557.45979419211972</c:v>
                </c:pt>
                <c:pt idx="77">
                  <c:v>567.08618761406308</c:v>
                </c:pt>
                <c:pt idx="78">
                  <c:v>576.70916565209109</c:v>
                </c:pt>
                <c:pt idx="79">
                  <c:v>586.32879332816958</c:v>
                </c:pt>
                <c:pt idx="80">
                  <c:v>595.94513335680483</c:v>
                </c:pt>
                <c:pt idx="81">
                  <c:v>604.71015871733391</c:v>
                </c:pt>
                <c:pt idx="82">
                  <c:v>613.47254571494852</c:v>
                </c:pt>
                <c:pt idx="83">
                  <c:v>622.23233734609641</c:v>
                </c:pt>
                <c:pt idx="84">
                  <c:v>630.98957529795609</c:v>
                </c:pt>
                <c:pt idx="85">
                  <c:v>639.74430000631207</c:v>
                </c:pt>
                <c:pt idx="86">
                  <c:v>600.18660687948091</c:v>
                </c:pt>
                <c:pt idx="87">
                  <c:v>608.66768984795306</c:v>
                </c:pt>
                <c:pt idx="88">
                  <c:v>617.14632027231744</c:v>
                </c:pt>
                <c:pt idx="89">
                  <c:v>625.62253659702708</c:v>
                </c:pt>
                <c:pt idx="90">
                  <c:v>634.0963761398915</c:v>
                </c:pt>
                <c:pt idx="91">
                  <c:v>642.00318064566773</c:v>
                </c:pt>
                <c:pt idx="92">
                  <c:v>649.90797493877506</c:v>
                </c:pt>
                <c:pt idx="93">
                  <c:v>657.81078691589403</c:v>
                </c:pt>
                <c:pt idx="94">
                  <c:v>665.71164374879174</c:v>
                </c:pt>
                <c:pt idx="95">
                  <c:v>673.61057191172426</c:v>
                </c:pt>
                <c:pt idx="96">
                  <c:v>635.79086204215184</c:v>
                </c:pt>
                <c:pt idx="97">
                  <c:v>643.13255938882287</c:v>
                </c:pt>
                <c:pt idx="98">
                  <c:v>650.47252692274412</c:v>
                </c:pt>
                <c:pt idx="99">
                  <c:v>657.8107869158938</c:v>
                </c:pt>
                <c:pt idx="100">
                  <c:v>665.14736110281683</c:v>
                </c:pt>
                <c:pt idx="101">
                  <c:v>672.01213371562073</c:v>
                </c:pt>
                <c:pt idx="102">
                  <c:v>678.87546530602913</c:v>
                </c:pt>
                <c:pt idx="103">
                  <c:v>685.7373724967382</c:v>
                </c:pt>
                <c:pt idx="104">
                  <c:v>692.59787155065044</c:v>
                </c:pt>
                <c:pt idx="105">
                  <c:v>699.45697838222702</c:v>
                </c:pt>
                <c:pt idx="106">
                  <c:v>706.31470856837075</c:v>
                </c:pt>
                <c:pt idx="107">
                  <c:v>713.17107735886304</c:v>
                </c:pt>
                <c:pt idx="108">
                  <c:v>720.02609968638262</c:v>
                </c:pt>
                <c:pt idx="109">
                  <c:v>726.87979017611895</c:v>
                </c:pt>
                <c:pt idx="110">
                  <c:v>733.73216315500588</c:v>
                </c:pt>
                <c:pt idx="111">
                  <c:v>740.58323266059415</c:v>
                </c:pt>
                <c:pt idx="112">
                  <c:v>747.43301244957547</c:v>
                </c:pt>
                <c:pt idx="113">
                  <c:v>754.28151600598039</c:v>
                </c:pt>
                <c:pt idx="114">
                  <c:v>761.12875654906236</c:v>
                </c:pt>
                <c:pt idx="115">
                  <c:v>767.97474704088279</c:v>
                </c:pt>
                <c:pt idx="116">
                  <c:v>689.40274479219681</c:v>
                </c:pt>
                <c:pt idx="117">
                  <c:v>695.32288801378218</c:v>
                </c:pt>
                <c:pt idx="118">
                  <c:v>701.24199896219113</c:v>
                </c:pt>
                <c:pt idx="119">
                  <c:v>707.16008757966631</c:v>
                </c:pt>
                <c:pt idx="120">
                  <c:v>713.07716362846884</c:v>
                </c:pt>
                <c:pt idx="121">
                  <c:v>718.99323669563591</c:v>
                </c:pt>
                <c:pt idx="122">
                  <c:v>724.90831619757353</c:v>
                </c:pt>
                <c:pt idx="123">
                  <c:v>730.82241138449047</c:v>
                </c:pt>
                <c:pt idx="124">
                  <c:v>736.73553134468284</c:v>
                </c:pt>
                <c:pt idx="125">
                  <c:v>742.64768500867103</c:v>
                </c:pt>
                <c:pt idx="126">
                  <c:v>748.55888115320295</c:v>
                </c:pt>
                <c:pt idx="127">
                  <c:v>754.46912840511959</c:v>
                </c:pt>
                <c:pt idx="128">
                  <c:v>760.3784352450956</c:v>
                </c:pt>
                <c:pt idx="129">
                  <c:v>766.28681001125631</c:v>
                </c:pt>
                <c:pt idx="130">
                  <c:v>772.19426090268007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22800"/>
        <c:axId val="2103420080"/>
      </c:scatterChart>
      <c:valAx>
        <c:axId val="2103422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0080"/>
        <c:crosses val="autoZero"/>
        <c:crossBetween val="midCat"/>
      </c:valAx>
      <c:valAx>
        <c:axId val="210342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2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184.37139305479852</c:v>
                </c:pt>
                <c:pt idx="22">
                  <c:v>199.49292850815041</c:v>
                </c:pt>
                <c:pt idx="23">
                  <c:v>214.58789130305843</c:v>
                </c:pt>
                <c:pt idx="24">
                  <c:v>229.65841439261331</c:v>
                </c:pt>
                <c:pt idx="25">
                  <c:v>244.70632771903058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243.20250692836802</c:v>
                </c:pt>
                <c:pt idx="32">
                  <c:v>256.72945236768498</c:v>
                </c:pt>
                <c:pt idx="33">
                  <c:v>270.24028170556284</c:v>
                </c:pt>
                <c:pt idx="34">
                  <c:v>283.73591438004951</c:v>
                </c:pt>
                <c:pt idx="35">
                  <c:v>297.21717518827546</c:v>
                </c:pt>
                <c:pt idx="36">
                  <c:v>235.30394147234657</c:v>
                </c:pt>
                <c:pt idx="37">
                  <c:v>248.46496383915087</c:v>
                </c:pt>
                <c:pt idx="38">
                  <c:v>261.61017170872896</c:v>
                </c:pt>
                <c:pt idx="39">
                  <c:v>274.74047191396772</c:v>
                </c:pt>
                <c:pt idx="40">
                  <c:v>287.85667749117107</c:v>
                </c:pt>
                <c:pt idx="41">
                  <c:v>299.83692694209088</c:v>
                </c:pt>
                <c:pt idx="42">
                  <c:v>311.8065171359209</c:v>
                </c:pt>
                <c:pt idx="43">
                  <c:v>323.76591506204619</c:v>
                </c:pt>
                <c:pt idx="44">
                  <c:v>335.71555038095255</c:v>
                </c:pt>
                <c:pt idx="45">
                  <c:v>347.65581965898076</c:v>
                </c:pt>
                <c:pt idx="46">
                  <c:v>285.9837682029551</c:v>
                </c:pt>
                <c:pt idx="47">
                  <c:v>297.21717518827552</c:v>
                </c:pt>
                <c:pt idx="48">
                  <c:v>308.44111949657542</c:v>
                </c:pt>
                <c:pt idx="49">
                  <c:v>319.6559941547128</c:v>
                </c:pt>
                <c:pt idx="50">
                  <c:v>330.86216234726913</c:v>
                </c:pt>
                <c:pt idx="51">
                  <c:v>340.56739298972934</c:v>
                </c:pt>
                <c:pt idx="52">
                  <c:v>350.26654178094645</c:v>
                </c:pt>
                <c:pt idx="53">
                  <c:v>359.9598009685954</c:v>
                </c:pt>
                <c:pt idx="54">
                  <c:v>369.64735159591163</c:v>
                </c:pt>
                <c:pt idx="55">
                  <c:v>379.32936443758246</c:v>
                </c:pt>
                <c:pt idx="56">
                  <c:v>323.39233379750675</c:v>
                </c:pt>
                <c:pt idx="57">
                  <c:v>332.72903457884451</c:v>
                </c:pt>
                <c:pt idx="58">
                  <c:v>342.05996063814388</c:v>
                </c:pt>
                <c:pt idx="59">
                  <c:v>351.38529181133839</c:v>
                </c:pt>
                <c:pt idx="60">
                  <c:v>360.70519760433905</c:v>
                </c:pt>
                <c:pt idx="61">
                  <c:v>368.90235411823818</c:v>
                </c:pt>
                <c:pt idx="62">
                  <c:v>377.09553671098337</c:v>
                </c:pt>
                <c:pt idx="63">
                  <c:v>385.28484395959754</c:v>
                </c:pt>
                <c:pt idx="64">
                  <c:v>393.47036990588703</c:v>
                </c:pt>
                <c:pt idx="65">
                  <c:v>401.65220435716361</c:v>
                </c:pt>
                <c:pt idx="66">
                  <c:v>351.75819111537254</c:v>
                </c:pt>
                <c:pt idx="67">
                  <c:v>359.58708999068568</c:v>
                </c:pt>
                <c:pt idx="68">
                  <c:v>367.41226056988802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389.37807388667073</c:v>
                </c:pt>
                <c:pt idx="72">
                  <c:v>395.70214171866616</c:v>
                </c:pt>
                <c:pt idx="73">
                  <c:v>402.02401961743971</c:v>
                </c:pt>
                <c:pt idx="74">
                  <c:v>408.34374690780288</c:v>
                </c:pt>
                <c:pt idx="75">
                  <c:v>414.66136159701688</c:v>
                </c:pt>
                <c:pt idx="76">
                  <c:v>372.25458524998072</c:v>
                </c:pt>
                <c:pt idx="77">
                  <c:v>378.21248648031354</c:v>
                </c:pt>
                <c:pt idx="78">
                  <c:v>384.16834495549637</c:v>
                </c:pt>
                <c:pt idx="79">
                  <c:v>390.1221968440866</c:v>
                </c:pt>
                <c:pt idx="80">
                  <c:v>396.07407711953448</c:v>
                </c:pt>
                <c:pt idx="81">
                  <c:v>401.28038164783965</c:v>
                </c:pt>
                <c:pt idx="82">
                  <c:v>406.48522456571487</c:v>
                </c:pt>
                <c:pt idx="83">
                  <c:v>411.68862724795662</c:v>
                </c:pt>
                <c:pt idx="84">
                  <c:v>416.89061048442255</c:v>
                </c:pt>
                <c:pt idx="85">
                  <c:v>422.091194503304</c:v>
                </c:pt>
                <c:pt idx="86">
                  <c:v>388.26183154386263</c:v>
                </c:pt>
                <c:pt idx="87">
                  <c:v>393.47036990588703</c:v>
                </c:pt>
                <c:pt idx="88">
                  <c:v>398.67741344442715</c:v>
                </c:pt>
                <c:pt idx="89">
                  <c:v>403.88298445816559</c:v>
                </c:pt>
                <c:pt idx="90">
                  <c:v>409.0871046234933</c:v>
                </c:pt>
                <c:pt idx="91">
                  <c:v>414.28979501974982</c:v>
                </c:pt>
                <c:pt idx="92">
                  <c:v>419.49107615312863</c:v>
                </c:pt>
                <c:pt idx="93">
                  <c:v>424.6909679793327</c:v>
                </c:pt>
                <c:pt idx="94">
                  <c:v>429.88948992506442</c:v>
                </c:pt>
                <c:pt idx="95">
                  <c:v>435.08666090841854</c:v>
                </c:pt>
                <c:pt idx="96">
                  <c:v>440.65358016358806</c:v>
                </c:pt>
                <c:pt idx="97">
                  <c:v>446.21899178570385</c:v>
                </c:pt>
                <c:pt idx="98">
                  <c:v>451.78291724664086</c:v>
                </c:pt>
                <c:pt idx="99">
                  <c:v>457.34537744583628</c:v>
                </c:pt>
                <c:pt idx="100">
                  <c:v>462.9063927324849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21168"/>
        <c:axId val="2103423888"/>
      </c:scatterChart>
      <c:valAx>
        <c:axId val="2103421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3888"/>
        <c:crosses val="autoZero"/>
        <c:crossBetween val="midCat"/>
      </c:valAx>
      <c:valAx>
        <c:axId val="210342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1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20624"/>
        <c:axId val="2103426064"/>
      </c:scatterChart>
      <c:valAx>
        <c:axId val="2103420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6064"/>
        <c:crosses val="autoZero"/>
        <c:crossBetween val="midCat"/>
      </c:valAx>
      <c:valAx>
        <c:axId val="210342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18992"/>
        <c:axId val="2103423344"/>
      </c:scatterChart>
      <c:valAx>
        <c:axId val="2103418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3344"/>
        <c:crosses val="autoZero"/>
        <c:crossBetween val="midCat"/>
      </c:valAx>
      <c:valAx>
        <c:axId val="210342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18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158.0986236785229</c:v>
                </c:pt>
                <c:pt idx="22">
                  <c:v>171.60917678429962</c:v>
                </c:pt>
                <c:pt idx="23">
                  <c:v>185.09470275268441</c:v>
                </c:pt>
                <c:pt idx="24">
                  <c:v>198.55728287495404</c:v>
                </c:pt>
                <c:pt idx="25">
                  <c:v>211.99869283942743</c:v>
                </c:pt>
                <c:pt idx="26">
                  <c:v>166.04916974626312</c:v>
                </c:pt>
                <c:pt idx="27">
                  <c:v>179.54472893341881</c:v>
                </c:pt>
                <c:pt idx="28">
                  <c:v>193.01652648469147</c:v>
                </c:pt>
                <c:pt idx="29">
                  <c:v>206.46645534524563</c:v>
                </c:pt>
                <c:pt idx="30">
                  <c:v>219.89614143914181</c:v>
                </c:pt>
                <c:pt idx="31">
                  <c:v>233.04421068758657</c:v>
                </c:pt>
                <c:pt idx="32">
                  <c:v>246.17534534972108</c:v>
                </c:pt>
                <c:pt idx="33">
                  <c:v>259.29057630253902</c:v>
                </c:pt>
                <c:pt idx="34">
                  <c:v>272.39082156263629</c:v>
                </c:pt>
                <c:pt idx="35">
                  <c:v>285.47690359204631</c:v>
                </c:pt>
                <c:pt idx="36">
                  <c:v>241.1874408154728</c:v>
                </c:pt>
                <c:pt idx="37">
                  <c:v>253.25948437245322</c:v>
                </c:pt>
                <c:pt idx="38">
                  <c:v>265.31849858266679</c:v>
                </c:pt>
                <c:pt idx="39">
                  <c:v>277.36515935475296</c:v>
                </c:pt>
                <c:pt idx="40">
                  <c:v>289.40007905838712</c:v>
                </c:pt>
                <c:pt idx="41">
                  <c:v>301.16254465599701</c:v>
                </c:pt>
                <c:pt idx="42">
                  <c:v>312.91478465880073</c:v>
                </c:pt>
                <c:pt idx="43">
                  <c:v>324.65723737677945</c:v>
                </c:pt>
                <c:pt idx="44">
                  <c:v>336.39030681291359</c:v>
                </c:pt>
                <c:pt idx="45">
                  <c:v>348.11436647695382</c:v>
                </c:pt>
                <c:pt idx="46">
                  <c:v>298.02690596205656</c:v>
                </c:pt>
                <c:pt idx="47">
                  <c:v>309.25960083487399</c:v>
                </c:pt>
                <c:pt idx="48">
                  <c:v>320.48323832967958</c:v>
                </c:pt>
                <c:pt idx="49">
                  <c:v>331.69818048501048</c:v>
                </c:pt>
                <c:pt idx="50">
                  <c:v>342.90476284898187</c:v>
                </c:pt>
                <c:pt idx="51">
                  <c:v>353.5826093609457</c:v>
                </c:pt>
                <c:pt idx="52">
                  <c:v>364.25339147358585</c:v>
                </c:pt>
                <c:pt idx="53">
                  <c:v>374.91734538946025</c:v>
                </c:pt>
                <c:pt idx="54">
                  <c:v>385.57469277282826</c:v>
                </c:pt>
                <c:pt idx="55">
                  <c:v>396.22564203021716</c:v>
                </c:pt>
                <c:pt idx="56">
                  <c:v>344.20732577147538</c:v>
                </c:pt>
                <c:pt idx="57">
                  <c:v>353.32225912134908</c:v>
                </c:pt>
                <c:pt idx="58">
                  <c:v>362.43204033543657</c:v>
                </c:pt>
                <c:pt idx="59">
                  <c:v>371.53681725067963</c:v>
                </c:pt>
                <c:pt idx="60">
                  <c:v>380.63672986290277</c:v>
                </c:pt>
                <c:pt idx="61">
                  <c:v>390.77106463403101</c:v>
                </c:pt>
                <c:pt idx="62">
                  <c:v>400.89969829142871</c:v>
                </c:pt>
                <c:pt idx="63">
                  <c:v>411.02279522958889</c:v>
                </c:pt>
                <c:pt idx="64">
                  <c:v>421.14051108185691</c:v>
                </c:pt>
                <c:pt idx="65">
                  <c:v>431.25299339113445</c:v>
                </c:pt>
                <c:pt idx="66">
                  <c:v>380.37679863746172</c:v>
                </c:pt>
                <c:pt idx="67">
                  <c:v>389.21231152581714</c:v>
                </c:pt>
                <c:pt idx="68">
                  <c:v>398.04347171553718</c:v>
                </c:pt>
                <c:pt idx="69">
                  <c:v>406.87038944607758</c:v>
                </c:pt>
                <c:pt idx="70">
                  <c:v>415.69316978100875</c:v>
                </c:pt>
                <c:pt idx="71">
                  <c:v>424.25259487459419</c:v>
                </c:pt>
                <c:pt idx="72">
                  <c:v>432.80830440561408</c:v>
                </c:pt>
                <c:pt idx="73">
                  <c:v>441.36038221438162</c:v>
                </c:pt>
                <c:pt idx="74">
                  <c:v>449.90890862564243</c:v>
                </c:pt>
                <c:pt idx="75">
                  <c:v>458.45396066143621</c:v>
                </c:pt>
                <c:pt idx="76">
                  <c:v>409.46574974833038</c:v>
                </c:pt>
                <c:pt idx="77">
                  <c:v>417.50912019336829</c:v>
                </c:pt>
                <c:pt idx="78">
                  <c:v>425.549151223612</c:v>
                </c:pt>
                <c:pt idx="79">
                  <c:v>433.58591486422864</c:v>
                </c:pt>
                <c:pt idx="80">
                  <c:v>441.61948025110081</c:v>
                </c:pt>
                <c:pt idx="81">
                  <c:v>449.39091577872472</c:v>
                </c:pt>
                <c:pt idx="82">
                  <c:v>457.15947617571402</c:v>
                </c:pt>
                <c:pt idx="83">
                  <c:v>464.92521721380848</c:v>
                </c:pt>
                <c:pt idx="84">
                  <c:v>472.68819264876225</c:v>
                </c:pt>
                <c:pt idx="85">
                  <c:v>480.44845432585157</c:v>
                </c:pt>
                <c:pt idx="86">
                  <c:v>434.62268223024967</c:v>
                </c:pt>
                <c:pt idx="87">
                  <c:v>441.87857502910379</c:v>
                </c:pt>
                <c:pt idx="88">
                  <c:v>449.13191456472799</c:v>
                </c:pt>
                <c:pt idx="89">
                  <c:v>456.38274791123871</c:v>
                </c:pt>
                <c:pt idx="90">
                  <c:v>463.63112052410901</c:v>
                </c:pt>
                <c:pt idx="91">
                  <c:v>470.87707632081725</c:v>
                </c:pt>
                <c:pt idx="92">
                  <c:v>478.1206577562703</c:v>
                </c:pt>
                <c:pt idx="93">
                  <c:v>485.36190589341709</c:v>
                </c:pt>
                <c:pt idx="94">
                  <c:v>492.60086046942803</c:v>
                </c:pt>
                <c:pt idx="95">
                  <c:v>499.83755995777932</c:v>
                </c:pt>
                <c:pt idx="96">
                  <c:v>456.12383221540205</c:v>
                </c:pt>
                <c:pt idx="97">
                  <c:v>462.85462553575667</c:v>
                </c:pt>
                <c:pt idx="98">
                  <c:v>469.58333098744265</c:v>
                </c:pt>
                <c:pt idx="99">
                  <c:v>476.3099827249934</c:v>
                </c:pt>
                <c:pt idx="100">
                  <c:v>483.03461385901943</c:v>
                </c:pt>
                <c:pt idx="101">
                  <c:v>489.24020002780748</c:v>
                </c:pt>
                <c:pt idx="102">
                  <c:v>495.44411640657046</c:v>
                </c:pt>
                <c:pt idx="103">
                  <c:v>501.64638686546306</c:v>
                </c:pt>
                <c:pt idx="104">
                  <c:v>507.84703463591728</c:v>
                </c:pt>
                <c:pt idx="105">
                  <c:v>514.04608233549698</c:v>
                </c:pt>
                <c:pt idx="106">
                  <c:v>520.24355199148886</c:v>
                </c:pt>
                <c:pt idx="107">
                  <c:v>526.43946506330997</c:v>
                </c:pt>
                <c:pt idx="108">
                  <c:v>532.63384246380656</c:v>
                </c:pt>
                <c:pt idx="109">
                  <c:v>538.82670457950974</c:v>
                </c:pt>
                <c:pt idx="110">
                  <c:v>545.01807128991106</c:v>
                </c:pt>
                <c:pt idx="111">
                  <c:v>482.38810162219607</c:v>
                </c:pt>
                <c:pt idx="112">
                  <c:v>488.20605227820687</c:v>
                </c:pt>
                <c:pt idx="113">
                  <c:v>494.02253179848293</c:v>
                </c:pt>
                <c:pt idx="114">
                  <c:v>499.83755995777909</c:v>
                </c:pt>
                <c:pt idx="115">
                  <c:v>505.65115603293134</c:v>
                </c:pt>
                <c:pt idx="116">
                  <c:v>511.46333882109985</c:v>
                </c:pt>
                <c:pt idx="117">
                  <c:v>517.27412665714246</c:v>
                </c:pt>
                <c:pt idx="118">
                  <c:v>523.08353743016391</c:v>
                </c:pt>
                <c:pt idx="119">
                  <c:v>528.8915885992925</c:v>
                </c:pt>
                <c:pt idx="120">
                  <c:v>534.69829720872849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24432"/>
        <c:axId val="2103424976"/>
      </c:scatterChart>
      <c:valAx>
        <c:axId val="2103424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4976"/>
        <c:crosses val="autoZero"/>
        <c:crossBetween val="midCat"/>
      </c:valAx>
      <c:valAx>
        <c:axId val="210342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4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19536"/>
        <c:axId val="2103422256"/>
      </c:scatterChart>
      <c:valAx>
        <c:axId val="2103419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22256"/>
        <c:crosses val="autoZero"/>
        <c:crossBetween val="midCat"/>
      </c:valAx>
      <c:valAx>
        <c:axId val="21034222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341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45" zoomScale="80" zoomScaleNormal="80" workbookViewId="0">
      <selection activeCell="A166" sqref="A166:H18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2.6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0.43440000000000001</v>
      </c>
      <c r="D9" s="36">
        <f t="shared" ref="D9:D18" si="0">C9*$C$5</f>
        <v>1.12944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21</v>
      </c>
      <c r="C10" s="35">
        <v>0.185</v>
      </c>
      <c r="D10" s="36">
        <f t="shared" si="0"/>
        <v>0.48099999999999998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6.93E-2</v>
      </c>
      <c r="D11" s="36">
        <f t="shared" si="0"/>
        <v>0.18018000000000001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9</v>
      </c>
      <c r="C12" s="35">
        <v>6.93E-2</v>
      </c>
      <c r="D12" s="36">
        <f t="shared" si="0"/>
        <v>0.18018000000000001</v>
      </c>
      <c r="E12" s="37">
        <v>130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13</v>
      </c>
      <c r="C13" s="35">
        <v>6.93E-2</v>
      </c>
      <c r="D13" s="36">
        <f t="shared" si="0"/>
        <v>0.18018000000000001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52</v>
      </c>
      <c r="C15" s="35">
        <v>3.4599999999999999E-2</v>
      </c>
      <c r="D15" s="36">
        <f t="shared" si="0"/>
        <v>8.9959999999999998E-2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6</v>
      </c>
      <c r="C16" s="35">
        <v>4.6199999999999998E-2</v>
      </c>
      <c r="D16" s="36">
        <f t="shared" si="0"/>
        <v>0.12012</v>
      </c>
      <c r="E16" s="37">
        <v>120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5</v>
      </c>
      <c r="C17" s="35">
        <v>2.3099999999999999E-2</v>
      </c>
      <c r="D17" s="36">
        <f t="shared" si="0"/>
        <v>6.0060000000000002E-2</v>
      </c>
      <c r="E17" s="37">
        <v>60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164</v>
      </c>
      <c r="C18" s="35">
        <v>1.15E-2</v>
      </c>
      <c r="D18" s="36">
        <f t="shared" si="0"/>
        <v>2.9899999999999999E-2</v>
      </c>
      <c r="E18" s="37">
        <v>131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0.94269999999999998</v>
      </c>
      <c r="D19" s="41">
        <f>SUM(D9:D18)</f>
        <v>2.4510200000000002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champêtre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9</v>
      </c>
      <c r="C62" s="63"/>
      <c r="D62" s="63"/>
      <c r="E62" s="54"/>
      <c r="F62" s="54"/>
      <c r="G62" s="54"/>
      <c r="H62" s="54"/>
      <c r="I62" s="56">
        <f>IFERROR(B62/A62,"")</f>
        <v>0.6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57</v>
      </c>
      <c r="C63" s="63"/>
      <c r="D63" s="63"/>
      <c r="E63" s="54"/>
      <c r="F63" s="54"/>
      <c r="G63" s="54"/>
      <c r="H63" s="54"/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f>86+21</f>
        <v>107</v>
      </c>
      <c r="C64" s="63">
        <v>1</v>
      </c>
      <c r="D64" s="63">
        <f>21+21</f>
        <v>42</v>
      </c>
      <c r="E64" s="54"/>
      <c r="F64" s="54"/>
      <c r="G64" s="54"/>
      <c r="H64" s="54">
        <v>1</v>
      </c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114</v>
      </c>
      <c r="C65" s="63"/>
      <c r="D65" s="63"/>
      <c r="E65" s="54"/>
      <c r="F65" s="54"/>
      <c r="G65" s="54"/>
      <c r="H65" s="54"/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f>136+21</f>
        <v>157</v>
      </c>
      <c r="C66" s="63">
        <v>2</v>
      </c>
      <c r="D66" s="63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153</v>
      </c>
      <c r="C67" s="63"/>
      <c r="D67" s="63"/>
      <c r="E67" s="54"/>
      <c r="F67" s="54"/>
      <c r="G67" s="54"/>
      <c r="H67" s="54"/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f>165+21</f>
        <v>186</v>
      </c>
      <c r="C68" s="63">
        <v>3</v>
      </c>
      <c r="D68" s="63">
        <f>21+18</f>
        <v>39</v>
      </c>
      <c r="E68" s="54"/>
      <c r="F68" s="54"/>
      <c r="G68" s="54"/>
      <c r="H68" s="54"/>
      <c r="I68" s="52">
        <f t="shared" si="2"/>
        <v>6.6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174</v>
      </c>
      <c r="C69" s="53"/>
      <c r="D69" s="5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f>185+13</f>
        <v>198</v>
      </c>
      <c r="C70" s="53">
        <v>4</v>
      </c>
      <c r="D70" s="53">
        <f>13+11</f>
        <v>24</v>
      </c>
      <c r="E70" s="54"/>
      <c r="F70" s="54"/>
      <c r="G70" s="54"/>
      <c r="H70" s="54"/>
      <c r="I70" s="52">
        <f t="shared" si="2"/>
        <v>4.8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195</v>
      </c>
      <c r="C71" s="53"/>
      <c r="D71" s="53"/>
      <c r="E71" s="54"/>
      <c r="F71" s="54"/>
      <c r="G71" s="54"/>
      <c r="H71" s="54"/>
      <c r="I71" s="52">
        <f t="shared" si="2"/>
        <v>4.2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f>202+9</f>
        <v>211</v>
      </c>
      <c r="C72" s="53">
        <v>5</v>
      </c>
      <c r="D72" s="53">
        <f>9+8</f>
        <v>17</v>
      </c>
      <c r="E72" s="54"/>
      <c r="F72" s="54"/>
      <c r="G72" s="54"/>
      <c r="H72" s="54"/>
      <c r="I72" s="52">
        <f t="shared" si="2"/>
        <v>3.2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209</v>
      </c>
      <c r="C73" s="53"/>
      <c r="D73" s="53"/>
      <c r="E73" s="54"/>
      <c r="F73" s="54"/>
      <c r="G73" s="54"/>
      <c r="H73" s="54"/>
      <c r="I73" s="52">
        <f t="shared" si="2"/>
        <v>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f>214+8</f>
        <v>222</v>
      </c>
      <c r="C74" s="53"/>
      <c r="D74" s="53"/>
      <c r="E74" s="54"/>
      <c r="F74" s="54"/>
      <c r="G74" s="54"/>
      <c r="H74" s="54"/>
      <c r="I74" s="52">
        <f t="shared" si="2"/>
        <v>2.6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f>219+8+7</f>
        <v>234</v>
      </c>
      <c r="C75" s="53">
        <v>6</v>
      </c>
      <c r="D75" s="53">
        <f>B75</f>
        <v>234</v>
      </c>
      <c r="E75" s="54"/>
      <c r="F75" s="54"/>
      <c r="G75" s="54"/>
      <c r="H75" s="54"/>
      <c r="I75" s="52">
        <f t="shared" si="2"/>
        <v>2.4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chevelu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f>47/1.56</f>
        <v>30.128205128205128</v>
      </c>
      <c r="C114" s="53"/>
      <c r="D114" s="63"/>
      <c r="E114" s="54"/>
      <c r="F114" s="54"/>
      <c r="G114" s="54"/>
      <c r="H114" s="54"/>
      <c r="I114" s="56">
        <f>IFERROR(B114/A114,"")</f>
        <v>2.0085470085470085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86/1.56</f>
        <v>55.128205128205124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4.9999999999999991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(127+6+10)/1.56</f>
        <v>91.666666666666657</v>
      </c>
      <c r="C116" s="53">
        <v>1</v>
      </c>
      <c r="D116" s="63">
        <f>(6+10+13)/1.56</f>
        <v>18.589743589743588</v>
      </c>
      <c r="E116" s="54"/>
      <c r="F116" s="54"/>
      <c r="G116" s="54"/>
      <c r="H116" s="54">
        <v>1</v>
      </c>
      <c r="I116" s="56">
        <f t="shared" si="4"/>
        <v>7.3076923076923066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167/1.56</f>
        <v>107.05128205128204</v>
      </c>
      <c r="C117" s="53"/>
      <c r="D117" s="63"/>
      <c r="E117" s="54"/>
      <c r="F117" s="54"/>
      <c r="G117" s="54"/>
      <c r="H117" s="54"/>
      <c r="I117" s="56">
        <f t="shared" si="4"/>
        <v>6.7948717948717956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 t="s">
        <v>324</v>
      </c>
      <c r="C118" s="53">
        <v>2</v>
      </c>
      <c r="D118" s="63">
        <f>(15+17)/1.56</f>
        <v>20.512820512820511</v>
      </c>
      <c r="E118" s="54"/>
      <c r="F118" s="54"/>
      <c r="G118" s="54"/>
      <c r="H118" s="54"/>
      <c r="I118" s="56" t="e">
        <f t="shared" si="4"/>
        <v>#VALUE!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239/1.56</f>
        <v>153.2051282051282</v>
      </c>
      <c r="C119" s="53"/>
      <c r="D119" s="63"/>
      <c r="E119" s="54"/>
      <c r="F119" s="54"/>
      <c r="G119" s="54"/>
      <c r="H119" s="54"/>
      <c r="I119" s="56" t="e">
        <f t="shared" si="4"/>
        <v>#VALUE!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f>(270+18)/1.56</f>
        <v>184.61538461538461</v>
      </c>
      <c r="C120" s="63">
        <v>3</v>
      </c>
      <c r="D120" s="63">
        <f>(18+19)/1.56</f>
        <v>23.717948717948715</v>
      </c>
      <c r="E120" s="93"/>
      <c r="F120" s="93"/>
      <c r="G120" s="93"/>
      <c r="H120" s="93"/>
      <c r="I120" s="56">
        <f t="shared" si="4"/>
        <v>6.2820512820512819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f>298/1.56</f>
        <v>191.02564102564102</v>
      </c>
      <c r="C121" s="63"/>
      <c r="D121" s="63"/>
      <c r="E121" s="93"/>
      <c r="F121" s="93"/>
      <c r="G121" s="93"/>
      <c r="H121" s="93"/>
      <c r="I121" s="56">
        <f t="shared" si="4"/>
        <v>6.025641025641022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(323+19)/1.56</f>
        <v>219.23076923076923</v>
      </c>
      <c r="C122" s="63">
        <v>4</v>
      </c>
      <c r="D122" s="63">
        <f>(19+19)/1.56</f>
        <v>24.358974358974358</v>
      </c>
      <c r="E122" s="93"/>
      <c r="F122" s="93"/>
      <c r="G122" s="93"/>
      <c r="H122" s="93"/>
      <c r="I122" s="56">
        <f t="shared" si="4"/>
        <v>5.6410256410256405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345/1.56</f>
        <v>221.15384615384616</v>
      </c>
      <c r="C123" s="63"/>
      <c r="D123" s="63"/>
      <c r="E123" s="93"/>
      <c r="F123" s="93"/>
      <c r="G123" s="93"/>
      <c r="H123" s="93"/>
      <c r="I123" s="56">
        <f t="shared" si="4"/>
        <v>5.2564102564102599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(365+19)/1.56</f>
        <v>246.15384615384613</v>
      </c>
      <c r="C124" s="63">
        <v>5</v>
      </c>
      <c r="D124" s="63">
        <f>(19+18)/1.56</f>
        <v>23.717948717948715</v>
      </c>
      <c r="E124" s="93"/>
      <c r="F124" s="93"/>
      <c r="G124" s="93"/>
      <c r="H124" s="93"/>
      <c r="I124" s="56">
        <f t="shared" si="4"/>
        <v>4.9999999999999947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f>385/1.56</f>
        <v>246.7948717948718</v>
      </c>
      <c r="C125" s="63"/>
      <c r="D125" s="63"/>
      <c r="E125" s="93"/>
      <c r="F125" s="93"/>
      <c r="G125" s="93"/>
      <c r="H125" s="93"/>
      <c r="I125" s="56">
        <f t="shared" si="4"/>
        <v>4.8717948717948785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(402+18)/1.56</f>
        <v>269.23076923076923</v>
      </c>
      <c r="C126" s="63">
        <v>6</v>
      </c>
      <c r="D126" s="63">
        <f>(18+18)/1.56</f>
        <v>23.076923076923077</v>
      </c>
      <c r="E126" s="68"/>
      <c r="F126" s="68"/>
      <c r="G126" s="68"/>
      <c r="H126" s="68"/>
      <c r="I126" s="56">
        <f t="shared" si="4"/>
        <v>4.4871794871794863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418/1.56</f>
        <v>267.94871794871796</v>
      </c>
      <c r="C127" s="63"/>
      <c r="D127" s="63"/>
      <c r="E127" s="68"/>
      <c r="F127" s="68"/>
      <c r="G127" s="68"/>
      <c r="H127" s="68"/>
      <c r="I127" s="56">
        <f t="shared" si="4"/>
        <v>4.3589743589743595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85</v>
      </c>
      <c r="B128" s="53">
        <f>(432+17)/1.56</f>
        <v>287.82051282051282</v>
      </c>
      <c r="C128" s="53">
        <v>7</v>
      </c>
      <c r="D128" s="53">
        <f>(17+17)/1.56</f>
        <v>21.794871794871796</v>
      </c>
      <c r="E128" s="57"/>
      <c r="F128" s="57"/>
      <c r="G128" s="57"/>
      <c r="H128" s="57"/>
      <c r="I128" s="56">
        <f t="shared" si="4"/>
        <v>3.9743589743589722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90</v>
      </c>
      <c r="B129" s="53">
        <f>445/1.56</f>
        <v>285.25641025641022</v>
      </c>
      <c r="C129" s="53"/>
      <c r="D129" s="53"/>
      <c r="E129" s="57"/>
      <c r="F129" s="57"/>
      <c r="G129" s="57"/>
      <c r="H129" s="57"/>
      <c r="I129" s="56">
        <f t="shared" si="4"/>
        <v>3.8461538461538454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95</v>
      </c>
      <c r="B130" s="53">
        <f>(457+16)/1.56</f>
        <v>303.20512820512818</v>
      </c>
      <c r="C130" s="53">
        <v>8</v>
      </c>
      <c r="D130" s="53">
        <f>(16+16)/1.56</f>
        <v>20.512820512820511</v>
      </c>
      <c r="E130" s="57"/>
      <c r="F130" s="57"/>
      <c r="G130" s="57"/>
      <c r="H130" s="57"/>
      <c r="I130" s="56">
        <f t="shared" si="4"/>
        <v>3.5897435897435912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100</v>
      </c>
      <c r="B131" s="53">
        <f>467/1.56</f>
        <v>299.35897435897436</v>
      </c>
      <c r="C131" s="53"/>
      <c r="D131" s="53"/>
      <c r="E131" s="57"/>
      <c r="F131" s="57"/>
      <c r="G131" s="57"/>
      <c r="H131" s="57"/>
      <c r="I131" s="56">
        <f t="shared" si="4"/>
        <v>3.333333333333337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f>(494+16+15+15)/1.56</f>
        <v>346.15384615384613</v>
      </c>
      <c r="C132" s="53">
        <v>9</v>
      </c>
      <c r="D132" s="53">
        <f>(16+15+15+14)/1.56</f>
        <v>38.46153846153846</v>
      </c>
      <c r="E132" s="57"/>
      <c r="F132" s="57"/>
      <c r="G132" s="57"/>
      <c r="H132" s="57"/>
      <c r="I132" s="56">
        <f t="shared" si="4"/>
        <v>3.1196581196581179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130</v>
      </c>
      <c r="B133" s="53">
        <f>(516+14+13)/1.56</f>
        <v>348.07692307692304</v>
      </c>
      <c r="C133" s="53">
        <v>10</v>
      </c>
      <c r="D133" s="53">
        <f>B133</f>
        <v>348.07692307692304</v>
      </c>
      <c r="E133" s="57"/>
      <c r="F133" s="57"/>
      <c r="G133" s="57"/>
      <c r="H133" s="57"/>
      <c r="I133" s="56">
        <f t="shared" si="4"/>
        <v>2.6923076923076907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rouge d'Amérique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18</v>
      </c>
      <c r="C140" s="53"/>
      <c r="D140" s="63"/>
      <c r="E140" s="54"/>
      <c r="F140" s="54"/>
      <c r="G140" s="54"/>
      <c r="H140" s="54"/>
      <c r="I140" s="60">
        <f>IFERROR(B140/A140,"")</f>
        <v>1.8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47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5.8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f>58+29</f>
        <v>87</v>
      </c>
      <c r="C142" s="53"/>
      <c r="D142" s="63"/>
      <c r="E142" s="54"/>
      <c r="F142" s="54"/>
      <c r="G142" s="54"/>
      <c r="H142" s="54"/>
      <c r="I142" s="60">
        <f t="shared" si="5"/>
        <v>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f>79+29+19</f>
        <v>127</v>
      </c>
      <c r="C143" s="53">
        <v>1</v>
      </c>
      <c r="D143" s="63">
        <f>29+19</f>
        <v>48</v>
      </c>
      <c r="E143" s="54"/>
      <c r="F143" s="54"/>
      <c r="G143" s="54"/>
      <c r="H143" s="54">
        <v>1</v>
      </c>
      <c r="I143" s="60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f>99+20</f>
        <v>119</v>
      </c>
      <c r="C144" s="53"/>
      <c r="D144" s="63"/>
      <c r="E144" s="54"/>
      <c r="F144" s="54"/>
      <c r="G144" s="54"/>
      <c r="H144" s="54"/>
      <c r="I144" s="60">
        <f t="shared" si="5"/>
        <v>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f>115+20+20</f>
        <v>155</v>
      </c>
      <c r="C145" s="53">
        <v>2</v>
      </c>
      <c r="D145" s="63">
        <f>20+20</f>
        <v>40</v>
      </c>
      <c r="E145" s="54"/>
      <c r="F145" s="54"/>
      <c r="G145" s="54"/>
      <c r="H145" s="54"/>
      <c r="I145" s="60">
        <f t="shared" si="5"/>
        <v>7.2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f>130+20</f>
        <v>150</v>
      </c>
      <c r="C146" s="53"/>
      <c r="D146" s="63"/>
      <c r="E146" s="54"/>
      <c r="F146" s="54"/>
      <c r="G146" s="54"/>
      <c r="H146" s="54"/>
      <c r="I146" s="60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f>143+20+19</f>
        <v>182</v>
      </c>
      <c r="C147" s="53">
        <v>3</v>
      </c>
      <c r="D147" s="63">
        <f>20+19</f>
        <v>39</v>
      </c>
      <c r="E147" s="54"/>
      <c r="F147" s="54"/>
      <c r="G147" s="54"/>
      <c r="H147" s="54"/>
      <c r="I147" s="60">
        <f>IF(A147&lt;&gt;0,(B147-(B146-D146))/(A147-A146),"")</f>
        <v>6.4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f>155+18</f>
        <v>173</v>
      </c>
      <c r="C148" s="53"/>
      <c r="D148" s="63"/>
      <c r="E148" s="54"/>
      <c r="F148" s="54"/>
      <c r="G148" s="54"/>
      <c r="H148" s="54"/>
      <c r="I148" s="60">
        <f t="shared" si="5"/>
        <v>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f>164+18+17</f>
        <v>199</v>
      </c>
      <c r="C149" s="53">
        <v>4</v>
      </c>
      <c r="D149" s="63">
        <f>18+17</f>
        <v>35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f>173+16</f>
        <v>189</v>
      </c>
      <c r="C150" s="53"/>
      <c r="D150" s="63"/>
      <c r="E150" s="54"/>
      <c r="F150" s="54"/>
      <c r="G150" s="54"/>
      <c r="H150" s="54"/>
      <c r="I150" s="60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f>180+16+15</f>
        <v>211</v>
      </c>
      <c r="C151" s="53">
        <v>5</v>
      </c>
      <c r="D151" s="63">
        <f>16+15</f>
        <v>31</v>
      </c>
      <c r="E151" s="54"/>
      <c r="F151" s="54"/>
      <c r="G151" s="54"/>
      <c r="H151" s="54"/>
      <c r="I151" s="60">
        <f t="shared" si="5"/>
        <v>4.4000000000000004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f>187+14</f>
        <v>201</v>
      </c>
      <c r="C152" s="53"/>
      <c r="D152" s="63"/>
      <c r="E152" s="57"/>
      <c r="F152" s="57"/>
      <c r="G152" s="57"/>
      <c r="H152" s="57"/>
      <c r="I152" s="60">
        <f t="shared" si="5"/>
        <v>4.2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f>192+14+12</f>
        <v>218</v>
      </c>
      <c r="C153" s="53">
        <v>6</v>
      </c>
      <c r="D153" s="63">
        <f>14+12</f>
        <v>26</v>
      </c>
      <c r="E153" s="57"/>
      <c r="F153" s="57"/>
      <c r="G153" s="57"/>
      <c r="H153" s="57"/>
      <c r="I153" s="60">
        <f t="shared" si="5"/>
        <v>3.4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f>197+11</f>
        <v>208</v>
      </c>
      <c r="C154" s="53"/>
      <c r="D154" s="53"/>
      <c r="E154" s="57"/>
      <c r="F154" s="57"/>
      <c r="G154" s="57"/>
      <c r="H154" s="57"/>
      <c r="I154" s="60">
        <f t="shared" si="5"/>
        <v>3.2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85</v>
      </c>
      <c r="B155" s="59">
        <f>201+11+10</f>
        <v>222</v>
      </c>
      <c r="C155" s="53">
        <v>7</v>
      </c>
      <c r="D155" s="53">
        <f>11+10</f>
        <v>21</v>
      </c>
      <c r="E155" s="57"/>
      <c r="F155" s="57"/>
      <c r="G155" s="57"/>
      <c r="H155" s="57"/>
      <c r="I155" s="60">
        <f t="shared" si="5"/>
        <v>2.8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90</v>
      </c>
      <c r="B156" s="59">
        <f>205+10</f>
        <v>215</v>
      </c>
      <c r="C156" s="53"/>
      <c r="D156" s="53"/>
      <c r="E156" s="57"/>
      <c r="F156" s="57"/>
      <c r="G156" s="57"/>
      <c r="H156" s="57"/>
      <c r="I156" s="60">
        <f t="shared" si="5"/>
        <v>2.8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95</v>
      </c>
      <c r="B157" s="59">
        <f>208+10+11</f>
        <v>229</v>
      </c>
      <c r="C157" s="53"/>
      <c r="D157" s="53"/>
      <c r="E157" s="57"/>
      <c r="F157" s="57"/>
      <c r="G157" s="57"/>
      <c r="H157" s="57"/>
      <c r="I157" s="60">
        <f t="shared" si="5"/>
        <v>2.8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100</v>
      </c>
      <c r="B158" s="59">
        <f>212+10+11+11</f>
        <v>244</v>
      </c>
      <c r="C158" s="53">
        <v>8</v>
      </c>
      <c r="D158" s="61">
        <f>B158</f>
        <v>244</v>
      </c>
      <c r="E158" s="57"/>
      <c r="F158" s="57"/>
      <c r="G158" s="57"/>
      <c r="H158" s="57"/>
      <c r="I158" s="60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63"/>
      <c r="C173" s="63"/>
      <c r="D173" s="6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Cormier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42</v>
      </c>
      <c r="C192" s="63"/>
      <c r="D192" s="63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f>62+8</f>
        <v>70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f>76+8+21</f>
        <v>105</v>
      </c>
      <c r="C194" s="63">
        <v>1</v>
      </c>
      <c r="D194" s="63">
        <f>8+21</f>
        <v>29</v>
      </c>
      <c r="E194" s="54"/>
      <c r="F194" s="54"/>
      <c r="G194" s="54"/>
      <c r="H194" s="54">
        <v>1</v>
      </c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f>95+21</f>
        <v>116</v>
      </c>
      <c r="C195" s="63"/>
      <c r="D195" s="63"/>
      <c r="E195" s="54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f>116+21+21</f>
        <v>158</v>
      </c>
      <c r="C196" s="63">
        <v>2</v>
      </c>
      <c r="D196" s="63">
        <f>21+21</f>
        <v>42</v>
      </c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f>137+21</f>
        <v>158</v>
      </c>
      <c r="C197" s="63"/>
      <c r="D197" s="63"/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3">
        <f>157+21+21</f>
        <v>199</v>
      </c>
      <c r="C198" s="63">
        <v>3</v>
      </c>
      <c r="D198" s="63">
        <f>21+21</f>
        <v>42</v>
      </c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63">
        <f>176+21</f>
        <v>197</v>
      </c>
      <c r="C199" s="63"/>
      <c r="D199" s="63"/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7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7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7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7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7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7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Charme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f>57/1.56</f>
        <v>36.53846153846154</v>
      </c>
      <c r="C218" s="53"/>
      <c r="D218" s="63"/>
      <c r="E218" s="66"/>
      <c r="F218" s="66"/>
      <c r="G218" s="66"/>
      <c r="H218" s="66"/>
      <c r="I218" s="56">
        <f>IFERROR(B218/A218,"")</f>
        <v>2.4358974358974361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(95+11)/1.56</f>
        <v>67.948717948717942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6.2820512820512802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f>(131+11+15)/1.56</f>
        <v>100.64102564102564</v>
      </c>
      <c r="C220" s="53">
        <v>1</v>
      </c>
      <c r="D220" s="63">
        <f>(11+15+19)/1.56</f>
        <v>28.846153846153847</v>
      </c>
      <c r="E220" s="66"/>
      <c r="F220" s="66"/>
      <c r="G220" s="66"/>
      <c r="H220" s="66">
        <v>1</v>
      </c>
      <c r="I220" s="56">
        <f t="shared" si="8"/>
        <v>6.5384615384615383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30</v>
      </c>
      <c r="B221" s="58">
        <f>163/1.56</f>
        <v>104.48717948717949</v>
      </c>
      <c r="C221" s="58"/>
      <c r="D221" s="58"/>
      <c r="E221" s="66"/>
      <c r="F221" s="66"/>
      <c r="G221" s="66"/>
      <c r="H221" s="66"/>
      <c r="I221" s="56">
        <f t="shared" si="8"/>
        <v>6.5384615384615383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35</v>
      </c>
      <c r="B222" s="58">
        <f>(192+21)/1.56</f>
        <v>136.53846153846155</v>
      </c>
      <c r="C222" s="58">
        <v>2</v>
      </c>
      <c r="D222" s="58">
        <f>(21+22)/1.56</f>
        <v>27.564102564102562</v>
      </c>
      <c r="E222" s="66"/>
      <c r="F222" s="66"/>
      <c r="G222" s="66"/>
      <c r="H222" s="66"/>
      <c r="I222" s="56">
        <f t="shared" si="8"/>
        <v>6.4102564102564115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40</v>
      </c>
      <c r="B223" s="58">
        <f>216/1.56</f>
        <v>138.46153846153845</v>
      </c>
      <c r="C223" s="58"/>
      <c r="D223" s="58"/>
      <c r="E223" s="66"/>
      <c r="F223" s="66"/>
      <c r="G223" s="66"/>
      <c r="H223" s="66"/>
      <c r="I223" s="56">
        <f t="shared" si="8"/>
        <v>5.8974358974358951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45</v>
      </c>
      <c r="B224" s="58">
        <f>(238+23)/1.56</f>
        <v>167.30769230769229</v>
      </c>
      <c r="C224" s="58">
        <v>3</v>
      </c>
      <c r="D224" s="58">
        <f>(23+24)/1.56</f>
        <v>30.128205128205128</v>
      </c>
      <c r="E224" s="66"/>
      <c r="F224" s="66"/>
      <c r="G224" s="66"/>
      <c r="H224" s="66"/>
      <c r="I224" s="56">
        <f t="shared" si="8"/>
        <v>5.7692307692307683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50</v>
      </c>
      <c r="B225" s="58">
        <f>257/1.56</f>
        <v>164.74358974358975</v>
      </c>
      <c r="C225" s="58"/>
      <c r="D225" s="58"/>
      <c r="E225" s="66"/>
      <c r="F225" s="66"/>
      <c r="G225" s="66"/>
      <c r="H225" s="66"/>
      <c r="I225" s="56">
        <f t="shared" si="8"/>
        <v>5.5128205128205199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55</v>
      </c>
      <c r="B226" s="58">
        <f>(274+24)/1.56</f>
        <v>191.02564102564102</v>
      </c>
      <c r="C226" s="58">
        <v>4</v>
      </c>
      <c r="D226" s="58">
        <f>(24+23)/1.56</f>
        <v>30.128205128205128</v>
      </c>
      <c r="E226" s="66"/>
      <c r="F226" s="66"/>
      <c r="G226" s="66"/>
      <c r="H226" s="66"/>
      <c r="I226" s="56">
        <f t="shared" si="8"/>
        <v>5.2564102564102537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60</v>
      </c>
      <c r="B227" s="58">
        <f>286/1.56</f>
        <v>183.33333333333331</v>
      </c>
      <c r="C227" s="58"/>
      <c r="D227" s="58"/>
      <c r="E227" s="66"/>
      <c r="F227" s="66"/>
      <c r="G227" s="66"/>
      <c r="H227" s="66"/>
      <c r="I227" s="56">
        <f t="shared" si="8"/>
        <v>4.4871794871794863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65</v>
      </c>
      <c r="B228" s="58">
        <f>(302+23)/1.56</f>
        <v>208.33333333333331</v>
      </c>
      <c r="C228" s="58">
        <v>5</v>
      </c>
      <c r="D228" s="58">
        <f>(23+23)/1.56</f>
        <v>29.487179487179485</v>
      </c>
      <c r="E228" s="66"/>
      <c r="F228" s="66"/>
      <c r="G228" s="66"/>
      <c r="H228" s="66"/>
      <c r="I228" s="56">
        <f t="shared" si="8"/>
        <v>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70</v>
      </c>
      <c r="B229" s="58">
        <f>313/1.56</f>
        <v>200.64102564102564</v>
      </c>
      <c r="C229" s="58"/>
      <c r="D229" s="58"/>
      <c r="E229" s="66"/>
      <c r="F229" s="66"/>
      <c r="G229" s="66"/>
      <c r="H229" s="66"/>
      <c r="I229" s="56">
        <f t="shared" si="8"/>
        <v>4.3589743589743595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75</v>
      </c>
      <c r="B230" s="58">
        <f>(324+22)/1.56</f>
        <v>221.7948717948718</v>
      </c>
      <c r="C230" s="58">
        <v>6</v>
      </c>
      <c r="D230" s="58">
        <f>(22+22)/1.56</f>
        <v>28.205128205128204</v>
      </c>
      <c r="E230" s="67"/>
      <c r="F230" s="67"/>
      <c r="G230" s="67"/>
      <c r="H230" s="67"/>
      <c r="I230" s="56">
        <f t="shared" si="8"/>
        <v>4.2307692307692317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80</v>
      </c>
      <c r="B231" s="63">
        <f>333/1.56</f>
        <v>213.46153846153845</v>
      </c>
      <c r="C231" s="94"/>
      <c r="D231" s="63"/>
      <c r="E231" s="57"/>
      <c r="F231" s="57"/>
      <c r="G231" s="57"/>
      <c r="H231" s="57"/>
      <c r="I231" s="56">
        <f t="shared" si="8"/>
        <v>3.9743589743589722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85</v>
      </c>
      <c r="B232" s="53">
        <f>(342+21)/1.56</f>
        <v>232.69230769230768</v>
      </c>
      <c r="C232" s="53">
        <v>7</v>
      </c>
      <c r="D232" s="53">
        <f>(21+20)/1.56</f>
        <v>26.282051282051281</v>
      </c>
      <c r="E232" s="57"/>
      <c r="F232" s="57"/>
      <c r="G232" s="57"/>
      <c r="H232" s="57"/>
      <c r="I232" s="56">
        <f t="shared" si="8"/>
        <v>3.8461538461538454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90</v>
      </c>
      <c r="B233" s="53">
        <f>350/1.56</f>
        <v>224.35897435897436</v>
      </c>
      <c r="C233" s="53"/>
      <c r="D233" s="53"/>
      <c r="E233" s="57"/>
      <c r="F233" s="57"/>
      <c r="G233" s="57"/>
      <c r="H233" s="57"/>
      <c r="I233" s="56">
        <f t="shared" si="8"/>
        <v>3.5897435897435912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95</v>
      </c>
      <c r="B234" s="53">
        <f>(358+20)/1.56</f>
        <v>242.30769230769229</v>
      </c>
      <c r="C234" s="53">
        <v>8</v>
      </c>
      <c r="D234" s="53">
        <f>(20+19)/1.56</f>
        <v>25</v>
      </c>
      <c r="E234" s="57"/>
      <c r="F234" s="57"/>
      <c r="G234" s="57"/>
      <c r="H234" s="57"/>
      <c r="I234" s="56">
        <f t="shared" si="8"/>
        <v>3.5897435897435854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100</v>
      </c>
      <c r="B235" s="53">
        <f>365/1.56</f>
        <v>233.97435897435898</v>
      </c>
      <c r="C235" s="53"/>
      <c r="D235" s="53"/>
      <c r="E235" s="57"/>
      <c r="F235" s="57"/>
      <c r="G235" s="57"/>
      <c r="H235" s="57"/>
      <c r="I235" s="56">
        <f t="shared" si="8"/>
        <v>3.333333333333337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110</v>
      </c>
      <c r="B236" s="53">
        <f>(377+18+18)/1.56</f>
        <v>264.74358974358972</v>
      </c>
      <c r="C236" s="53">
        <v>9</v>
      </c>
      <c r="D236" s="53">
        <f>(18+18+17)/1.56</f>
        <v>33.974358974358971</v>
      </c>
      <c r="E236" s="57"/>
      <c r="F236" s="57"/>
      <c r="G236" s="57"/>
      <c r="H236" s="57"/>
      <c r="I236" s="56">
        <f t="shared" si="8"/>
        <v>3.0769230769230744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120</v>
      </c>
      <c r="B237" s="53">
        <f>(388+17)/1.56</f>
        <v>259.61538461538458</v>
      </c>
      <c r="C237" s="53">
        <v>10</v>
      </c>
      <c r="D237" s="53">
        <f>B237</f>
        <v>259.61538461538458</v>
      </c>
      <c r="E237" s="57"/>
      <c r="F237" s="57"/>
      <c r="G237" s="57"/>
      <c r="H237" s="57"/>
      <c r="I237" s="56">
        <f t="shared" si="8"/>
        <v>2.8846153846153841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Bouleau verruqueux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10</v>
      </c>
      <c r="B244" s="63">
        <v>9</v>
      </c>
      <c r="C244" s="63"/>
      <c r="D244" s="63"/>
      <c r="E244" s="54"/>
      <c r="F244" s="54"/>
      <c r="G244" s="54"/>
      <c r="H244" s="66"/>
      <c r="I244" s="56">
        <f>IFERROR(B244/A244,"")</f>
        <v>0.9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15</v>
      </c>
      <c r="B245" s="63">
        <v>49</v>
      </c>
      <c r="C245" s="63"/>
      <c r="D245" s="63"/>
      <c r="E245" s="66"/>
      <c r="F245" s="66"/>
      <c r="G245" s="66"/>
      <c r="H245" s="66"/>
      <c r="I245" s="56">
        <f>IF(A245&lt;&gt;0,(B245-(B244-D244))/(A245-A244),"")</f>
        <v>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20</v>
      </c>
      <c r="B246" s="63">
        <v>99</v>
      </c>
      <c r="C246" s="63">
        <v>1</v>
      </c>
      <c r="D246" s="63">
        <v>40</v>
      </c>
      <c r="E246" s="66"/>
      <c r="F246" s="66"/>
      <c r="G246" s="66"/>
      <c r="H246" s="66">
        <v>1</v>
      </c>
      <c r="I246" s="56">
        <f>IF(A246&lt;&gt;0,(B246-(B245-D245))/(A246-A245),"")</f>
        <v>10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25</v>
      </c>
      <c r="B247" s="63">
        <v>102</v>
      </c>
      <c r="C247" s="63"/>
      <c r="D247" s="63"/>
      <c r="E247" s="66"/>
      <c r="F247" s="66"/>
      <c r="G247" s="66"/>
      <c r="H247" s="66"/>
      <c r="I247" s="56">
        <f t="shared" ref="I247:I263" si="9">IF(A247&lt;&gt;0,(B247-(B246-D246))/(A247-A246),"")</f>
        <v>8.6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30</v>
      </c>
      <c r="B248" s="63">
        <v>146</v>
      </c>
      <c r="C248" s="63"/>
      <c r="D248" s="63"/>
      <c r="E248" s="66"/>
      <c r="F248" s="66"/>
      <c r="G248" s="66"/>
      <c r="H248" s="66"/>
      <c r="I248" s="56">
        <f t="shared" si="9"/>
        <v>8.8000000000000007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35</v>
      </c>
      <c r="B249" s="63">
        <v>190</v>
      </c>
      <c r="C249" s="63">
        <v>2</v>
      </c>
      <c r="D249" s="63">
        <f>190-114</f>
        <v>76</v>
      </c>
      <c r="E249" s="66"/>
      <c r="F249" s="66"/>
      <c r="G249" s="66"/>
      <c r="H249" s="66"/>
      <c r="I249" s="56">
        <f t="shared" si="9"/>
        <v>8.8000000000000007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40</v>
      </c>
      <c r="B250" s="63">
        <v>152</v>
      </c>
      <c r="C250" s="63"/>
      <c r="D250" s="63"/>
      <c r="E250" s="66"/>
      <c r="F250" s="66"/>
      <c r="G250" s="66"/>
      <c r="H250" s="66"/>
      <c r="I250" s="56">
        <f t="shared" si="9"/>
        <v>7.6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45</v>
      </c>
      <c r="B251" s="58">
        <v>190</v>
      </c>
      <c r="C251" s="58"/>
      <c r="D251" s="58"/>
      <c r="E251" s="66"/>
      <c r="F251" s="66"/>
      <c r="G251" s="66"/>
      <c r="H251" s="66"/>
      <c r="I251" s="56">
        <f t="shared" si="9"/>
        <v>7.6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50</v>
      </c>
      <c r="B252" s="58">
        <v>228</v>
      </c>
      <c r="C252" s="58"/>
      <c r="D252" s="58"/>
      <c r="E252" s="66"/>
      <c r="F252" s="66"/>
      <c r="G252" s="66"/>
      <c r="H252" s="66"/>
      <c r="I252" s="56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55</v>
      </c>
      <c r="B253" s="58">
        <v>266</v>
      </c>
      <c r="C253" s="58"/>
      <c r="D253" s="58"/>
      <c r="E253" s="66"/>
      <c r="F253" s="66"/>
      <c r="G253" s="66"/>
      <c r="H253" s="66"/>
      <c r="I253" s="56">
        <f t="shared" si="9"/>
        <v>7.6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60</v>
      </c>
      <c r="B254" s="58">
        <v>303</v>
      </c>
      <c r="C254" s="58">
        <v>3</v>
      </c>
      <c r="D254" s="58">
        <f>B254</f>
        <v>303</v>
      </c>
      <c r="E254" s="66"/>
      <c r="F254" s="66"/>
      <c r="G254" s="66"/>
      <c r="H254" s="66"/>
      <c r="I254" s="56">
        <f t="shared" si="9"/>
        <v>7.4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Cèdre de l'Atlas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30</v>
      </c>
      <c r="B270" s="63">
        <f>191.43/1.3</f>
        <v>147.25384615384615</v>
      </c>
      <c r="C270" s="53"/>
      <c r="D270" s="63"/>
      <c r="E270" s="54"/>
      <c r="F270" s="54"/>
      <c r="G270" s="54"/>
      <c r="H270" s="54"/>
      <c r="I270" s="56">
        <f>IFERROR(B270/A270,"")</f>
        <v>4.9084615384615384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35</v>
      </c>
      <c r="B271" s="63">
        <f>256.96/1.3</f>
        <v>197.66153846153844</v>
      </c>
      <c r="C271" s="53"/>
      <c r="D271" s="63"/>
      <c r="E271" s="54"/>
      <c r="F271" s="54"/>
      <c r="G271" s="54"/>
      <c r="H271" s="54"/>
      <c r="I271" s="56">
        <f>IF(A271&lt;&gt;0,(B271-(B270-D270))/(A271-A270),"")</f>
        <v>10.081538461538457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40</v>
      </c>
      <c r="B272" s="63">
        <f>328.92/1.3</f>
        <v>253.01538461538462</v>
      </c>
      <c r="C272" s="53"/>
      <c r="D272" s="63"/>
      <c r="E272" s="54"/>
      <c r="F272" s="54"/>
      <c r="G272" s="54"/>
      <c r="H272" s="54"/>
      <c r="I272" s="56">
        <f t="shared" ref="I272:I289" si="10">IF(A272&lt;&gt;0,(B272-(B271-D271))/(A272-A271),"")</f>
        <v>11.070769230769235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45</v>
      </c>
      <c r="B273" s="63">
        <f>406.06/1.3</f>
        <v>312.35384615384612</v>
      </c>
      <c r="C273" s="53"/>
      <c r="D273" s="63"/>
      <c r="E273" s="54"/>
      <c r="F273" s="54"/>
      <c r="G273" s="54"/>
      <c r="H273" s="54"/>
      <c r="I273" s="56">
        <f t="shared" si="10"/>
        <v>11.8676923076923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51</v>
      </c>
      <c r="B274" s="63">
        <f>503.84/1.3</f>
        <v>387.56923076923073</v>
      </c>
      <c r="C274" s="53">
        <v>1</v>
      </c>
      <c r="D274" s="63">
        <f>222.21/1.3</f>
        <v>170.93076923076924</v>
      </c>
      <c r="E274" s="54"/>
      <c r="F274" s="54"/>
      <c r="G274" s="54"/>
      <c r="H274" s="54"/>
      <c r="I274" s="56">
        <f t="shared" si="10"/>
        <v>12.535897435897434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56</v>
      </c>
      <c r="B275" s="63">
        <f>355.85/1.3</f>
        <v>273.73076923076923</v>
      </c>
      <c r="C275" s="53"/>
      <c r="D275" s="63"/>
      <c r="E275" s="66"/>
      <c r="F275" s="66"/>
      <c r="G275" s="66"/>
      <c r="H275" s="66"/>
      <c r="I275" s="56">
        <f t="shared" si="10"/>
        <v>11.418461538461548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61</v>
      </c>
      <c r="B276" s="63">
        <f>427.85/1.3</f>
        <v>329.11538461538464</v>
      </c>
      <c r="C276" s="53">
        <v>2</v>
      </c>
      <c r="D276" s="63">
        <f>123.19/1.3</f>
        <v>94.76153846153845</v>
      </c>
      <c r="E276" s="66"/>
      <c r="F276" s="66"/>
      <c r="G276" s="66"/>
      <c r="H276" s="66"/>
      <c r="I276" s="56">
        <f t="shared" si="10"/>
        <v>11.076923076923084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67</v>
      </c>
      <c r="B277" s="58">
        <f>384/1.3</f>
        <v>295.38461538461536</v>
      </c>
      <c r="C277" s="58"/>
      <c r="D277" s="58"/>
      <c r="E277" s="66"/>
      <c r="F277" s="66"/>
      <c r="G277" s="66"/>
      <c r="H277" s="66"/>
      <c r="I277" s="56">
        <f t="shared" si="10"/>
        <v>10.171794871794864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>
        <v>73</v>
      </c>
      <c r="B278" s="58">
        <f>465.57/1.3</f>
        <v>358.1307692307692</v>
      </c>
      <c r="C278" s="58">
        <v>3</v>
      </c>
      <c r="D278" s="58">
        <f>121.66/1.3</f>
        <v>93.584615384615375</v>
      </c>
      <c r="E278" s="66"/>
      <c r="F278" s="66"/>
      <c r="G278" s="66"/>
      <c r="H278" s="66"/>
      <c r="I278" s="56">
        <f t="shared" si="10"/>
        <v>10.457692307692307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79</v>
      </c>
      <c r="B279" s="58">
        <f>417.5/1.3</f>
        <v>321.15384615384613</v>
      </c>
      <c r="C279" s="58"/>
      <c r="D279" s="58"/>
      <c r="E279" s="66"/>
      <c r="F279" s="66"/>
      <c r="G279" s="66"/>
      <c r="H279" s="66"/>
      <c r="I279" s="56">
        <f t="shared" si="10"/>
        <v>9.4346153846153786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85</v>
      </c>
      <c r="B280" s="58">
        <f>492.48/1.3</f>
        <v>378.83076923076925</v>
      </c>
      <c r="C280" s="58">
        <v>4</v>
      </c>
      <c r="D280" s="58">
        <f>110.77/1.3</f>
        <v>85.207692307692298</v>
      </c>
      <c r="E280" s="66"/>
      <c r="F280" s="66"/>
      <c r="G280" s="66"/>
      <c r="H280" s="66"/>
      <c r="I280" s="56">
        <f t="shared" si="10"/>
        <v>9.6128205128205195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91</v>
      </c>
      <c r="B281" s="58">
        <f>449.33/1.3</f>
        <v>345.63846153846151</v>
      </c>
      <c r="C281" s="58"/>
      <c r="D281" s="58"/>
      <c r="E281" s="66"/>
      <c r="F281" s="66"/>
      <c r="G281" s="66"/>
      <c r="H281" s="66"/>
      <c r="I281" s="56">
        <f t="shared" si="10"/>
        <v>8.6692307692307597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97</v>
      </c>
      <c r="B282" s="58">
        <f>517.76/1.3</f>
        <v>398.27692307692308</v>
      </c>
      <c r="C282" s="58">
        <v>5</v>
      </c>
      <c r="D282" s="58">
        <f>103.57/1.3</f>
        <v>79.669230769230765</v>
      </c>
      <c r="E282" s="67"/>
      <c r="F282" s="67"/>
      <c r="G282" s="67"/>
      <c r="H282" s="67"/>
      <c r="I282" s="56">
        <f t="shared" si="10"/>
        <v>8.7730769230769283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>
        <v>103</v>
      </c>
      <c r="B283" s="63">
        <f>475.47/1.3</f>
        <v>365.74615384615385</v>
      </c>
      <c r="C283" s="94"/>
      <c r="D283" s="63"/>
      <c r="E283" s="57"/>
      <c r="F283" s="57"/>
      <c r="G283" s="57"/>
      <c r="H283" s="57"/>
      <c r="I283" s="56">
        <f t="shared" si="10"/>
        <v>7.8564102564102525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109</v>
      </c>
      <c r="B284" s="53">
        <f>537.16/1.3</f>
        <v>413.2</v>
      </c>
      <c r="C284" s="53">
        <v>6</v>
      </c>
      <c r="D284" s="53">
        <f>104.85/1.3</f>
        <v>80.653846153846146</v>
      </c>
      <c r="E284" s="54"/>
      <c r="F284" s="54"/>
      <c r="G284" s="54"/>
      <c r="H284" s="54"/>
      <c r="I284" s="56">
        <f t="shared" si="10"/>
        <v>7.9089743589743575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115</v>
      </c>
      <c r="B285" s="53">
        <f>487.64/1.3</f>
        <v>375.10769230769228</v>
      </c>
      <c r="C285" s="53"/>
      <c r="D285" s="53"/>
      <c r="E285" s="54"/>
      <c r="F285" s="54"/>
      <c r="G285" s="54"/>
      <c r="H285" s="54"/>
      <c r="I285" s="56">
        <f t="shared" si="10"/>
        <v>7.0935897435897362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121</v>
      </c>
      <c r="B286" s="53">
        <f>542.89/1.3</f>
        <v>417.60769230769228</v>
      </c>
      <c r="C286" s="53">
        <v>7</v>
      </c>
      <c r="D286" s="53">
        <f>269.2/1.3</f>
        <v>207.07692307692307</v>
      </c>
      <c r="E286" s="54"/>
      <c r="F286" s="54"/>
      <c r="G286" s="54"/>
      <c r="H286" s="54"/>
      <c r="I286" s="56">
        <f t="shared" si="10"/>
        <v>7.083333333333333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>
        <v>126</v>
      </c>
      <c r="B287" s="53">
        <f>307.19/1.3</f>
        <v>236.29999999999998</v>
      </c>
      <c r="C287" s="53"/>
      <c r="D287" s="53"/>
      <c r="E287" s="54"/>
      <c r="F287" s="54"/>
      <c r="G287" s="54"/>
      <c r="H287" s="54"/>
      <c r="I287" s="56">
        <f t="shared" si="10"/>
        <v>5.1538461538461551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>
        <v>131</v>
      </c>
      <c r="B288" s="53">
        <f>337.5/1.3</f>
        <v>259.61538461538458</v>
      </c>
      <c r="C288" s="53">
        <v>8</v>
      </c>
      <c r="D288" s="53">
        <f>B288</f>
        <v>259.61538461538458</v>
      </c>
      <c r="E288" s="54"/>
      <c r="F288" s="54"/>
      <c r="G288" s="54"/>
      <c r="H288" s="54"/>
      <c r="I288" s="56">
        <f t="shared" si="10"/>
        <v>4.66307692307692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Erable champêtre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pubescent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Chêne chevelu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Chêne rouge d'Amérique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Cormier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Charme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Bouleau verruqueux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Cèdre de l'Atlas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428.8489304403459</v>
      </c>
      <c r="T3" s="62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274.66236526869056</v>
      </c>
      <c r="AO3" s="62">
        <f>IF('Données projet'!E10&gt;30,$AM$33-$H$33,LOOKUP('Données projet'!$E$10,$A$3:$A$203,AM3:AM203)-LOOKUP('Données projet'!$E$10,$A$3:$A$203,$H$3:$H$203))</f>
        <v>256.90876395053073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475.47920969424894</v>
      </c>
      <c r="BJ3" s="62">
        <f>IF('Données projet'!E11&gt;30,$BH$33-$H$33,LOOKUP('Données projet'!$E$11,$A$3:$A$203,BH3:BH203)-LOOKUP('Données projet'!$E$11,$A$3:$A$203,$H$3:$H$203))</f>
        <v>271.73544012419364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490.26236605482961</v>
      </c>
      <c r="CE3" s="62">
        <f>IF('Données projet'!E12&gt;30,$CC$33-$H$33,LOOKUP('Données projet'!$E$12,$A$3:$A$203,CC3:CC203)-LOOKUP('Données projet'!$E$12,$A$3:$A$203,$H$3:$H$203))</f>
        <v>283.40133947156238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315.3516976788701</v>
      </c>
      <c r="CZ3" s="62">
        <f>IF('Données projet'!E13&gt;30,$CX$33-$H$33,LOOKUP('Données projet'!$E$13,$A$3:$A$203,CX3:CX203)-LOOKUP('Données projet'!$E$13,$A$3:$A$203,$H$3:$H$203))</f>
        <v>266.32508105927997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502.07782026233912</v>
      </c>
      <c r="EP3" s="62">
        <f>IF('Données projet'!E15&gt;30,$EN$33-$H$33,LOOKUP('Données projet'!$E$15,$A$3:$A$203,EN3:EN203)-LOOKUP('Données projet'!$E$15,$A$3:$A$203,$H$3:$H$203))</f>
        <v>285.83623046025156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365.5904647357433</v>
      </c>
      <c r="FK3" s="62">
        <f>IF('Données projet'!E16&gt;30,$FI$33-$H$33,LOOKUP('Données projet'!$E$16,$A$3:$A$203,FI3:FI203)-LOOKUP('Données projet'!$E$16,$A$3:$A$203,$H$3:$H$203))</f>
        <v>256.56280810580841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256.19915261735281</v>
      </c>
      <c r="GF3" s="62">
        <f>IF('Données projet'!E17&gt;30,$GD$33-$H$33,LOOKUP('Données projet'!$E$17,$A$3:$A$203,GD3:GD203)-LOOKUP('Données projet'!$E$17,$A$3:$A$203,$H$3:$H$203))</f>
        <v>297.47246687305056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284.704043530756</v>
      </c>
      <c r="HA3" s="62">
        <f>IF('Données projet'!E18&gt;30,$GY$33-$H$33,LOOKUP('Données projet'!$E$18,$A$3:$A$203,GY3:GY203)-LOOKUP('Données projet'!$E$18,$A$3:$A$203,$H$3:$H$203))</f>
        <v>190.4880882944471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428.8489304403459</v>
      </c>
      <c r="T4" s="62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0.6</v>
      </c>
      <c r="AI4" s="14">
        <f>IF('Données projet'!$A$62&gt;35,AI3+AH4-AQ3,IF(A4&lt;'Données projet'!$A$62,$AF$205^A4,IF(A4='Données projet'!$A$62,'Données projet'!$B$62,AI3+AH4-AQ3)))</f>
        <v>1.1577536725165907</v>
      </c>
      <c r="AJ4" s="14">
        <f>AI4*VLOOKUP('Données projet'!$B$10,Paramètres!$A$1:$I$89,3,0)*VLOOKUP('Données projet'!$B$10,Paramètres!$A$1:$I$89,5,0)</f>
        <v>1.0114136083104937</v>
      </c>
      <c r="AK4" s="14">
        <f>EXP(-1.0587+0.8836*LN(AJ4)+0.284)</f>
        <v>0.46548655994988658</v>
      </c>
      <c r="AL4" s="22">
        <f t="shared" ref="AL4:AL67" si="4">(AJ4+AK4)*0.475*44/12</f>
        <v>2.5722677930534954</v>
      </c>
      <c r="AM4" s="62">
        <f t="shared" ref="AM4:AM67" si="5">AL4+(AD4+AE4)*44/12</f>
        <v>260.46115668194233</v>
      </c>
      <c r="AN4" s="62">
        <f ca="1">AVERAGE(OFFSET($AM$3,0,0,'Données projet'!$E$10+1,1))-AVERAGE(OFFSET($H$3,0,0,'Données projet'!$E$10+1,1))</f>
        <v>274.66236526869056</v>
      </c>
      <c r="AO4" s="62">
        <f>$AO$3</f>
        <v>256.90876395053073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1.2223636300497438</v>
      </c>
      <c r="BF4" s="14">
        <f>EXP(-1.0587+0.8836*LN(BE4)+0.284)</f>
        <v>0.55030360208821416</v>
      </c>
      <c r="BG4" s="22">
        <f t="shared" ref="BG4:BG67" si="7">(BE4+BF4)*0.475*44/12</f>
        <v>3.0873954293069432</v>
      </c>
      <c r="BH4" s="62">
        <f t="shared" ref="BH4:BH67" si="8">BG4+(AY4+AZ4)*44/12</f>
        <v>260.97628431819578</v>
      </c>
      <c r="BI4" s="62">
        <f ca="1">AVERAGE(OFFSET($BH$3,0,0,'Données projet'!$E$11+1,1))-AVERAGE(OFFSET($H$3,0,0,'Données projet'!$E$11+1,1))</f>
        <v>475.47920969424894</v>
      </c>
      <c r="BJ4" s="62">
        <f>$BJ$3</f>
        <v>271.73544012419364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2.0085470085470085</v>
      </c>
      <c r="BY4" s="13">
        <f>IF('Données projet'!$A$114&gt;35,BY3+BX4-CG3,IF(A4&lt;'Données projet'!$A$114,$BV$205^A4,IF(A4='Données projet'!$A$114,'Données projet'!$B$114,BY3+BX4-CG3)))</f>
        <v>1.2548684989282006</v>
      </c>
      <c r="BZ4" s="14">
        <f>BY4*VLOOKUP('Données projet'!$B$12,Paramètres!$A$1:$I$89,3,0)*VLOOKUP('Données projet'!$B$12,Paramètres!$A$1:$I$89,5,0)</f>
        <v>1.3115885550797555</v>
      </c>
      <c r="CA4" s="14">
        <f>EXP(-1.0587+0.8836*LN(BZ4)+0.284)</f>
        <v>0.5856498554818651</v>
      </c>
      <c r="CB4" s="22">
        <f t="shared" ref="CB4:CB67" si="10">(BZ4+CA4)*0.475*44/12</f>
        <v>3.3043568983948219</v>
      </c>
      <c r="CC4" s="62">
        <f t="shared" ref="CC4:CC67" si="11">CB4+(BT4+BU4)*44/12</f>
        <v>261.19324578728367</v>
      </c>
      <c r="CD4" s="62">
        <f ca="1">AVERAGE(OFFSET($CC$3,0,0,'Données projet'!$E$12+1,1))-AVERAGE(OFFSET($H$3,0,0,'Données projet'!$E$12+1,1))</f>
        <v>490.26236605482961</v>
      </c>
      <c r="CE4" s="62">
        <f>$CE$3</f>
        <v>283.40133947156238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1.8</v>
      </c>
      <c r="CT4" s="13">
        <f>IF('Données projet'!$A$140&gt;35,CT3+CS4-DB3,IF(A4&lt;'Données projet'!$A$140,$CQ$205^A4,IF(A4='Données projet'!$A$140,'Données projet'!$B$140,CT3+CS4-DB3)))</f>
        <v>1.335141362540313</v>
      </c>
      <c r="CU4" s="18">
        <f>CT4*VLOOKUP('Données projet'!$B$13,Paramètres!$A$1:$I$89,3,0)*VLOOKUP('Données projet'!$B$13,Paramètres!$A$1:$I$89,5,0)</f>
        <v>1.1663794943152175</v>
      </c>
      <c r="CV4" s="14">
        <f>EXP(-1.0587+0.8836*LN(CU4)+0.284)</f>
        <v>0.52797307958445927</v>
      </c>
      <c r="CW4" s="22">
        <f t="shared" ref="CW4:CW67" si="13">(CU4+CV4)*0.475*44/12</f>
        <v>2.9509973995419365</v>
      </c>
      <c r="CX4" s="62">
        <f t="shared" ref="CX4:CX67" si="14">CW4+(CO4+CP4)*44/12</f>
        <v>260.83988628843082</v>
      </c>
      <c r="CY4" s="62">
        <f ca="1">AVERAGE(OFFSET($CX$3,0,0,'Données projet'!$E$13+1,1))-AVERAGE(OFFSET($H$3,0,0,'Données projet'!$E$13+1,1))</f>
        <v>315.3516976788701</v>
      </c>
      <c r="CZ4" s="62">
        <f>$CZ$3</f>
        <v>266.32508105927997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1.2975860072835741</v>
      </c>
      <c r="EL4" s="14">
        <f>EXP(-1.0587+0.8836*LN(EK4)+0.284)</f>
        <v>0.58012177912374829</v>
      </c>
      <c r="EM4" s="22">
        <f t="shared" ref="EM4:EM67" si="19">(EK4+EL4)*0.475*44/12</f>
        <v>3.2703410613260862</v>
      </c>
      <c r="EN4" s="62">
        <f t="shared" ref="EN4:EN67" si="20">EM4+(EE4+EF4)*44/12</f>
        <v>261.15922995021492</v>
      </c>
      <c r="EO4" s="62">
        <f ca="1">AVERAGE(OFFSET($EN$3,0,0,'Données projet'!$E$15+1,1))-AVERAGE(OFFSET($H$3,0,0,'Données projet'!$E$15+1,1))</f>
        <v>502.07782026233912</v>
      </c>
      <c r="EP4" s="62">
        <f>$EP$3</f>
        <v>285.83623046025156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2.4358974358974361</v>
      </c>
      <c r="FE4" s="13">
        <f>IF('Données projet'!$A$218&gt;35,FE3+FD4-FM3,IF(A4&lt;'Données projet'!$A$218,$FB$205^A4,IF(A4='Données projet'!$A$218,'Données projet'!$B$218,FE3+FD4-FM3)))</f>
        <v>1.2711106295585217</v>
      </c>
      <c r="FF4" s="18">
        <f>FE4*VLOOKUP('Données projet'!$B$16,Paramètres!$A$1:$I$89,3,0)*VLOOKUP('Données projet'!$B$16,Paramètres!$A$1:$I$89,5,0)</f>
        <v>1.2095888750878894</v>
      </c>
      <c r="FG4" s="14">
        <f>EXP(-1.0587+0.8836*LN(FF4)+0.284)</f>
        <v>0.5452187850680178</v>
      </c>
      <c r="FH4" s="22">
        <f t="shared" ref="FH4:FH67" si="22">(FF4+FG4)*0.475*44/12</f>
        <v>3.0562900081048716</v>
      </c>
      <c r="FI4" s="62">
        <f t="shared" ref="FI4:FI67" si="23">FH4+(EZ4+FA4)*44/12</f>
        <v>260.94517889699375</v>
      </c>
      <c r="FJ4" s="62">
        <f ca="1">AVERAGE(OFFSET($FI$3,0,0,'Données projet'!$E$16+1,1))-AVERAGE(OFFSET($H$3,0,0,'Données projet'!$E$16+1,1))</f>
        <v>365.5904647357433</v>
      </c>
      <c r="FK4" s="62">
        <f>$FK$3</f>
        <v>256.56280810580841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0.9</v>
      </c>
      <c r="FZ4" s="13">
        <f>IF('Données projet'!$A$244&gt;35,FZ3+FY4-GH3,IF(A4&lt;'Données projet'!$A$244,$FW$205^A4,IF(A4='Données projet'!$A$244,'Données projet'!$B$244,FZ3+FY4-GH3)))</f>
        <v>1.2457309396155174</v>
      </c>
      <c r="GA4" s="18">
        <f>FZ4*VLOOKUP('Données projet'!$B$17,Paramètres!$A$1:$I$89,3,0)*VLOOKUP('Données projet'!$B$17,Paramètres!$A$1:$I$89,5,0)</f>
        <v>1.0105369382161078</v>
      </c>
      <c r="GB4" s="14">
        <f>EXP(-1.0587+0.8836*LN(GA4)+0.284)</f>
        <v>0.46513003316107315</v>
      </c>
      <c r="GC4" s="22">
        <f t="shared" ref="GC4:GC67" si="25">(GA4+GB4)*0.475*44/12</f>
        <v>2.5701199751485899</v>
      </c>
      <c r="GD4" s="62">
        <f t="shared" ref="GD4:GD67" si="26">GC4+(FU4+FV4)*44/12</f>
        <v>260.45900886403746</v>
      </c>
      <c r="GE4" s="62">
        <f ca="1">AVERAGE(OFFSET($GD$3,0,0,'Données projet'!$E$17+1,1))-AVERAGE(OFFSET($H$3,0,0,'Données projet'!$E$17+1,1))</f>
        <v>256.19915261735281</v>
      </c>
      <c r="GF4" s="62">
        <f>$GF$3</f>
        <v>297.47246687305056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4.9084615384615384</v>
      </c>
      <c r="GU4" s="13">
        <f>IF('Données projet'!$A$270&gt;35,GU3+GT4-HC3,IF(A4&lt;'Données projet'!$A$270,$GR$205^A4,IF(A4='Données projet'!$A$270,'Données projet'!$B$270,GU3+GT4-HC3)))</f>
        <v>1.1810516433311786</v>
      </c>
      <c r="GV4" s="18">
        <f>GU4*VLOOKUP('Données projet'!$B$18,Paramètres!$A$1:$I$89,3,0)*VLOOKUP('Données projet'!$B$18,Paramètres!$A$1:$I$89,5,0)</f>
        <v>0.55273216907899159</v>
      </c>
      <c r="GW4" s="14">
        <f>EXP(-1.0587+0.8836*LN(GV4)+0.284)</f>
        <v>0.27292171413945432</v>
      </c>
      <c r="GX4" s="22">
        <f t="shared" ref="GX4:GX67" si="28">(GV4+GW4)*0.475*44/12</f>
        <v>1.4380138466054599</v>
      </c>
      <c r="GY4" s="62">
        <f t="shared" ref="GY4:GY67" si="29">GX4+(GP4+GQ4)*44/12</f>
        <v>259.32690273549434</v>
      </c>
      <c r="GZ4" s="62">
        <f ca="1">AVERAGE(OFFSET($GY$3,0,0,'Données projet'!$E$18+1,1))-AVERAGE(OFFSET($H$3,0,0,'Données projet'!$E$18+1,1))</f>
        <v>284.704043530756</v>
      </c>
      <c r="HA4" s="62">
        <f>$HA$3</f>
        <v>190.4880882944471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428.8489304403459</v>
      </c>
      <c r="T5" s="62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0.6</v>
      </c>
      <c r="AI5" s="14">
        <f>IF('Données projet'!$A$62&gt;35,AI4+AH5-AQ4,IF(A5&lt;'Données projet'!$A$62,$AF$205^A5,IF(A5='Données projet'!$A$62,'Données projet'!$B$62,AI4+AH5-AQ4)))</f>
        <v>1.340393566225653</v>
      </c>
      <c r="AJ5" s="14">
        <f>AI5*VLOOKUP('Données projet'!$B$10,Paramètres!$A$1:$I$89,3,0)*VLOOKUP('Données projet'!$B$10,Paramètres!$A$1:$I$89,5,0)</f>
        <v>1.1709678194547306</v>
      </c>
      <c r="AK5" s="14">
        <f t="shared" ref="AK5:AK68" si="35">EXP(-1.0587+0.8836*LN(AJ5)+0.284)</f>
        <v>0.52980785325350399</v>
      </c>
      <c r="AL5" s="22">
        <f t="shared" si="4"/>
        <v>2.9621842966335081</v>
      </c>
      <c r="AM5" s="62">
        <f t="shared" si="5"/>
        <v>262.07329540774464</v>
      </c>
      <c r="AN5" s="62">
        <f ca="1">AVERAGE(OFFSET($AM$3,0,0,'Données projet'!$E$10+1,1))-AVERAGE(OFFSET($H$3,0,0,'Données projet'!$E$10+1,1))</f>
        <v>274.66236526869056</v>
      </c>
      <c r="AO5" s="62">
        <f t="shared" ref="AO5:AO68" si="36">$AO$3</f>
        <v>256.90876395053073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1.47354323872622</v>
      </c>
      <c r="BF5" s="14">
        <f t="shared" ref="BF5:BF68" si="37">EXP(-1.0587+0.8836*LN(BE5)+0.284)</f>
        <v>0.64910881835703094</v>
      </c>
      <c r="BG5" s="22">
        <f t="shared" si="7"/>
        <v>3.6969523327533285</v>
      </c>
      <c r="BH5" s="62">
        <f t="shared" si="8"/>
        <v>262.80806344386446</v>
      </c>
      <c r="BI5" s="62">
        <f ca="1">AVERAGE(OFFSET($BH$3,0,0,'Données projet'!$E$11+1,1))-AVERAGE(OFFSET($H$3,0,0,'Données projet'!$E$11+1,1))</f>
        <v>475.47920969424894</v>
      </c>
      <c r="BJ5" s="62">
        <f t="shared" ref="BJ5:BJ68" si="38">$BJ$3</f>
        <v>271.73544012419364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2.0085470085470085</v>
      </c>
      <c r="BY5" s="13">
        <f>IF('Données projet'!$A$114&gt;35,BY4+BX5-CG4,IF(A5&lt;'Données projet'!$A$114,$BV$205^A5,IF(A5='Données projet'!$A$114,'Données projet'!$B$114,BY4+BX5-CG4)))</f>
        <v>1.5746949496023155</v>
      </c>
      <c r="BZ5" s="14">
        <f>BY5*VLOOKUP('Données projet'!$B$12,Paramètres!$A$1:$I$89,3,0)*VLOOKUP('Données projet'!$B$12,Paramètres!$A$1:$I$89,5,0)</f>
        <v>1.6458711613243404</v>
      </c>
      <c r="CA5" s="14">
        <f t="shared" ref="CA5:CA68" si="39">EXP(-1.0587+0.8836*LN(BZ5)+0.284)</f>
        <v>0.71574681686586372</v>
      </c>
      <c r="CB5" s="22">
        <f t="shared" si="10"/>
        <v>4.1131513120146055</v>
      </c>
      <c r="CC5" s="62">
        <f t="shared" si="11"/>
        <v>263.22426242312577</v>
      </c>
      <c r="CD5" s="62">
        <f ca="1">AVERAGE(OFFSET($CC$3,0,0,'Données projet'!$E$12+1,1))-AVERAGE(OFFSET($H$3,0,0,'Données projet'!$E$12+1,1))</f>
        <v>490.26236605482961</v>
      </c>
      <c r="CE5" s="62">
        <f t="shared" ref="CE5:CE68" si="40">$CE$3</f>
        <v>283.40133947156238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1.8</v>
      </c>
      <c r="CT5" s="13">
        <f>IF('Données projet'!$A$140&gt;35,CT4+CS5-DB4,IF(A5&lt;'Données projet'!$A$140,$CQ$205^A5,IF(A5='Données projet'!$A$140,'Données projet'!$B$140,CT4+CS5-DB4)))</f>
        <v>1.7826024579660036</v>
      </c>
      <c r="CU5" s="18">
        <f>CT5*VLOOKUP('Données projet'!$B$13,Paramètres!$A$1:$I$89,3,0)*VLOOKUP('Données projet'!$B$13,Paramètres!$A$1:$I$89,5,0)</f>
        <v>1.5572815072791011</v>
      </c>
      <c r="CV5" s="14">
        <f t="shared" ref="CV5:CV68" si="41">EXP(-1.0587+0.8836*LN(CU5)+0.284)</f>
        <v>0.68159698037116012</v>
      </c>
      <c r="CW5" s="22">
        <f t="shared" si="13"/>
        <v>3.8993800326575379</v>
      </c>
      <c r="CX5" s="62">
        <f t="shared" si="14"/>
        <v>263.01049114376866</v>
      </c>
      <c r="CY5" s="62">
        <f ca="1">AVERAGE(OFFSET($CX$3,0,0,'Données projet'!$E$13+1,1))-AVERAGE(OFFSET($H$3,0,0,'Données projet'!$E$13+1,1))</f>
        <v>315.3516976788701</v>
      </c>
      <c r="CZ5" s="62">
        <f t="shared" ref="CZ5:CZ68" si="42">$CZ$3</f>
        <v>266.32508105927997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1.5642228226478332</v>
      </c>
      <c r="EL5" s="14">
        <f t="shared" ref="EL5:EL68" si="45">EXP(-1.0587+0.8836*LN(EK5)+0.284)</f>
        <v>0.68428075179095682</v>
      </c>
      <c r="EM5" s="22">
        <f t="shared" si="19"/>
        <v>3.9161437254808931</v>
      </c>
      <c r="EN5" s="62">
        <f t="shared" si="20"/>
        <v>263.02725483659202</v>
      </c>
      <c r="EO5" s="62">
        <f ca="1">AVERAGE(OFFSET($EN$3,0,0,'Données projet'!$E$15+1,1))-AVERAGE(OFFSET($H$3,0,0,'Données projet'!$E$15+1,1))</f>
        <v>502.07782026233912</v>
      </c>
      <c r="EP5" s="62">
        <f t="shared" ref="EP5:EP68" si="46">$EP$3</f>
        <v>285.83623046025156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2.4358974358974361</v>
      </c>
      <c r="FE5" s="13">
        <f>IF('Données projet'!$A$218&gt;35,FE4+FD5-FM4,IF(A5&lt;'Données projet'!$A$218,$FB$205^A5,IF(A5='Données projet'!$A$218,'Données projet'!$B$218,FE4+FD5-FM4)))</f>
        <v>1.6157222325766614</v>
      </c>
      <c r="FF5" s="18">
        <f>FE5*VLOOKUP('Données projet'!$B$16,Paramètres!$A$1:$I$89,3,0)*VLOOKUP('Données projet'!$B$16,Paramètres!$A$1:$I$89,5,0)</f>
        <v>1.5375212765199511</v>
      </c>
      <c r="FG5" s="14">
        <f t="shared" ref="FG5:FG68" si="47">EXP(-1.0587+0.8836*LN(FF5)+0.284)</f>
        <v>0.67394928852564717</v>
      </c>
      <c r="FH5" s="22">
        <f t="shared" si="22"/>
        <v>3.8516445674544162</v>
      </c>
      <c r="FI5" s="62">
        <f t="shared" si="23"/>
        <v>262.96275567856554</v>
      </c>
      <c r="FJ5" s="62">
        <f ca="1">AVERAGE(OFFSET($FI$3,0,0,'Données projet'!$E$16+1,1))-AVERAGE(OFFSET($H$3,0,0,'Données projet'!$E$16+1,1))</f>
        <v>365.5904647357433</v>
      </c>
      <c r="FK5" s="62">
        <f t="shared" ref="FK5:FK68" si="48">$FK$3</f>
        <v>256.56280810580841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0.9</v>
      </c>
      <c r="FZ5" s="13">
        <f>IF('Données projet'!$A$244&gt;35,FZ4+FY5-GH4,IF(A5&lt;'Données projet'!$A$244,$FW$205^A5,IF(A5='Données projet'!$A$244,'Données projet'!$B$244,FZ4+FY5-GH4)))</f>
        <v>1.5518455739153598</v>
      </c>
      <c r="GA5" s="18">
        <f>FZ5*VLOOKUP('Données projet'!$B$17,Paramètres!$A$1:$I$89,3,0)*VLOOKUP('Données projet'!$B$17,Paramètres!$A$1:$I$89,5,0)</f>
        <v>1.2588571295601401</v>
      </c>
      <c r="GB5" s="14">
        <f t="shared" ref="GB5:GB68" si="49">EXP(-1.0587+0.8836*LN(GA5)+0.284)</f>
        <v>0.56479552972512193</v>
      </c>
      <c r="GC5" s="22">
        <f t="shared" si="25"/>
        <v>3.1761950482551646</v>
      </c>
      <c r="GD5" s="62">
        <f t="shared" si="26"/>
        <v>262.28730615936632</v>
      </c>
      <c r="GE5" s="62">
        <f ca="1">AVERAGE(OFFSET($GD$3,0,0,'Données projet'!$E$17+1,1))-AVERAGE(OFFSET($H$3,0,0,'Données projet'!$E$17+1,1))</f>
        <v>256.19915261735281</v>
      </c>
      <c r="GF5" s="62">
        <f t="shared" ref="GF5:GF68" si="50">$GF$3</f>
        <v>297.47246687305056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4.9084615384615384</v>
      </c>
      <c r="GU5" s="13">
        <f>IF('Données projet'!$A$270&gt;35,GU4+GT5-HC4,IF(A5&lt;'Données projet'!$A$270,$GR$205^A5,IF(A5='Données projet'!$A$270,'Données projet'!$B$270,GU4+GT5-HC4)))</f>
        <v>1.3948829842152777</v>
      </c>
      <c r="GV5" s="18">
        <f>GU5*VLOOKUP('Données projet'!$B$18,Paramètres!$A$1:$I$89,3,0)*VLOOKUP('Données projet'!$B$18,Paramètres!$A$1:$I$89,5,0)</f>
        <v>0.65280523661274992</v>
      </c>
      <c r="GW5" s="14">
        <f t="shared" ref="GW5:GW68" si="51">EXP(-1.0587+0.8836*LN(GV5)+0.284)</f>
        <v>0.31615123301372139</v>
      </c>
      <c r="GX5" s="22">
        <f t="shared" si="28"/>
        <v>1.6875991845994376</v>
      </c>
      <c r="GY5" s="62">
        <f t="shared" si="29"/>
        <v>260.79871029571058</v>
      </c>
      <c r="GZ5" s="62">
        <f ca="1">AVERAGE(OFFSET($GY$3,0,0,'Données projet'!$E$18+1,1))-AVERAGE(OFFSET($H$3,0,0,'Données projet'!$E$18+1,1))</f>
        <v>284.704043530756</v>
      </c>
      <c r="HA5" s="62">
        <f t="shared" ref="HA5:HA68" si="52">$HA$3</f>
        <v>190.4880882944471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428.8489304403459</v>
      </c>
      <c r="T6" s="62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0.6</v>
      </c>
      <c r="AI6" s="14">
        <f>IF('Données projet'!$A$62&gt;35,AI5+AH6-AQ5,IF(A6&lt;'Données projet'!$A$62,$AF$205^A6,IF(A6='Données projet'!$A$62,'Données projet'!$B$62,AI5+AH6-AQ5)))</f>
        <v>1.5518455739153598</v>
      </c>
      <c r="AJ6" s="14">
        <f>AI6*VLOOKUP('Données projet'!$B$10,Paramètres!$A$1:$I$89,3,0)*VLOOKUP('Données projet'!$B$10,Paramètres!$A$1:$I$89,5,0)</f>
        <v>1.3556922933724584</v>
      </c>
      <c r="AK6" s="14">
        <f t="shared" si="35"/>
        <v>0.6030171126730397</v>
      </c>
      <c r="AL6" s="22">
        <f t="shared" si="4"/>
        <v>3.4114188821959091</v>
      </c>
      <c r="AM6" s="62">
        <f t="shared" si="5"/>
        <v>263.74475221552922</v>
      </c>
      <c r="AN6" s="62">
        <f ca="1">AVERAGE(OFFSET($AM$3,0,0,'Données projet'!$E$10+1,1))-AVERAGE(OFFSET($H$3,0,0,'Données projet'!$E$10+1,1))</f>
        <v>274.66236526869056</v>
      </c>
      <c r="AO6" s="62">
        <f t="shared" si="36"/>
        <v>256.90876395053073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1.7763369450933317</v>
      </c>
      <c r="BF6" s="14">
        <f t="shared" si="37"/>
        <v>0.76565418883323866</v>
      </c>
      <c r="BG6" s="22">
        <f t="shared" si="7"/>
        <v>4.4273012249221102</v>
      </c>
      <c r="BH6" s="62">
        <f t="shared" si="8"/>
        <v>264.76063455825545</v>
      </c>
      <c r="BI6" s="62">
        <f ca="1">AVERAGE(OFFSET($BH$3,0,0,'Données projet'!$E$11+1,1))-AVERAGE(OFFSET($H$3,0,0,'Données projet'!$E$11+1,1))</f>
        <v>475.47920969424894</v>
      </c>
      <c r="BJ6" s="62">
        <f t="shared" si="38"/>
        <v>271.73544012419364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2.0085470085470085</v>
      </c>
      <c r="BY6" s="13">
        <f>IF('Données projet'!$A$114&gt;35,BY5+BX6-CG5,IF(A6&lt;'Données projet'!$A$114,$BV$205^A6,IF(A6='Données projet'!$A$114,'Données projet'!$B$114,BY5+BX6-CG5)))</f>
        <v>1.9760350876772761</v>
      </c>
      <c r="BZ6" s="14">
        <f>BY6*VLOOKUP('Données projet'!$B$12,Paramètres!$A$1:$I$89,3,0)*VLOOKUP('Données projet'!$B$12,Paramètres!$A$1:$I$89,5,0)</f>
        <v>2.0653518736402892</v>
      </c>
      <c r="CA6" s="14">
        <f t="shared" si="39"/>
        <v>0.87474367330306557</v>
      </c>
      <c r="CB6" s="22">
        <f t="shared" si="10"/>
        <v>5.1206664109263427</v>
      </c>
      <c r="CC6" s="62">
        <f t="shared" si="11"/>
        <v>265.45399974425965</v>
      </c>
      <c r="CD6" s="62">
        <f ca="1">AVERAGE(OFFSET($CC$3,0,0,'Données projet'!$E$12+1,1))-AVERAGE(OFFSET($H$3,0,0,'Données projet'!$E$12+1,1))</f>
        <v>490.26236605482961</v>
      </c>
      <c r="CE6" s="62">
        <f t="shared" si="40"/>
        <v>283.40133947156238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1.8</v>
      </c>
      <c r="CT6" s="13">
        <f>IF('Données projet'!$A$140&gt;35,CT5+CS6-DB5,IF(A6&lt;'Données projet'!$A$140,$CQ$205^A6,IF(A6='Données projet'!$A$140,'Données projet'!$B$140,CT5+CS6-DB5)))</f>
        <v>2.3800262745964411</v>
      </c>
      <c r="CU6" s="18">
        <f>CT6*VLOOKUP('Données projet'!$B$13,Paramètres!$A$1:$I$89,3,0)*VLOOKUP('Données projet'!$B$13,Paramètres!$A$1:$I$89,5,0)</f>
        <v>2.0791909534874513</v>
      </c>
      <c r="CV6" s="14">
        <f t="shared" si="41"/>
        <v>0.87992070356451979</v>
      </c>
      <c r="CW6" s="22">
        <f t="shared" si="13"/>
        <v>5.1537861360321822</v>
      </c>
      <c r="CX6" s="62">
        <f t="shared" si="14"/>
        <v>265.4871194693655</v>
      </c>
      <c r="CY6" s="62">
        <f ca="1">AVERAGE(OFFSET($CX$3,0,0,'Données projet'!$E$13+1,1))-AVERAGE(OFFSET($H$3,0,0,'Données projet'!$E$13+1,1))</f>
        <v>315.3516976788701</v>
      </c>
      <c r="CZ6" s="62">
        <f t="shared" si="42"/>
        <v>266.32508105927997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1.885649987868306</v>
      </c>
      <c r="EL6" s="14">
        <f t="shared" si="45"/>
        <v>0.8071411281590839</v>
      </c>
      <c r="EM6" s="22">
        <f t="shared" si="19"/>
        <v>4.6899445270810372</v>
      </c>
      <c r="EN6" s="62">
        <f t="shared" si="20"/>
        <v>265.02327786041434</v>
      </c>
      <c r="EO6" s="62">
        <f ca="1">AVERAGE(OFFSET($EN$3,0,0,'Données projet'!$E$15+1,1))-AVERAGE(OFFSET($H$3,0,0,'Données projet'!$E$15+1,1))</f>
        <v>502.07782026233912</v>
      </c>
      <c r="EP6" s="62">
        <f t="shared" si="46"/>
        <v>285.83623046025156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2.4358974358974361</v>
      </c>
      <c r="FE6" s="13">
        <f>IF('Données projet'!$A$218&gt;35,FE5+FD6-FM5,IF(A6&lt;'Données projet'!$A$218,$FB$205^A6,IF(A6='Données projet'!$A$218,'Données projet'!$B$218,FE5+FD6-FM5)))</f>
        <v>2.0537617042422203</v>
      </c>
      <c r="FF6" s="18">
        <f>FE6*VLOOKUP('Données projet'!$B$16,Paramètres!$A$1:$I$89,3,0)*VLOOKUP('Données projet'!$B$16,Paramètres!$A$1:$I$89,5,0)</f>
        <v>1.9543596377568968</v>
      </c>
      <c r="FG6" s="14">
        <f t="shared" si="47"/>
        <v>0.83307409051865666</v>
      </c>
      <c r="FH6" s="22">
        <f t="shared" si="22"/>
        <v>4.8547804100799219</v>
      </c>
      <c r="FI6" s="62">
        <f t="shared" si="23"/>
        <v>265.18811374341323</v>
      </c>
      <c r="FJ6" s="62">
        <f ca="1">AVERAGE(OFFSET($FI$3,0,0,'Données projet'!$E$16+1,1))-AVERAGE(OFFSET($H$3,0,0,'Données projet'!$E$16+1,1))</f>
        <v>365.5904647357433</v>
      </c>
      <c r="FK6" s="62">
        <f t="shared" si="48"/>
        <v>256.56280810580841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0.9</v>
      </c>
      <c r="FZ6" s="13">
        <f>IF('Données projet'!$A$244&gt;35,FZ5+FY6-GH5,IF(A6&lt;'Données projet'!$A$244,$FW$205^A6,IF(A6='Données projet'!$A$244,'Données projet'!$B$244,FZ5+FY6-GH5)))</f>
        <v>1.9331820449317632</v>
      </c>
      <c r="GA6" s="18">
        <f>FZ6*VLOOKUP('Données projet'!$B$17,Paramètres!$A$1:$I$89,3,0)*VLOOKUP('Données projet'!$B$17,Paramètres!$A$1:$I$89,5,0)</f>
        <v>1.5681972748486466</v>
      </c>
      <c r="GB6" s="14">
        <f t="shared" si="49"/>
        <v>0.68581679886281277</v>
      </c>
      <c r="GC6" s="22">
        <f t="shared" si="25"/>
        <v>3.9257411783807914</v>
      </c>
      <c r="GD6" s="62">
        <f t="shared" si="26"/>
        <v>264.25907451171412</v>
      </c>
      <c r="GE6" s="62">
        <f ca="1">AVERAGE(OFFSET($GD$3,0,0,'Données projet'!$E$17+1,1))-AVERAGE(OFFSET($H$3,0,0,'Données projet'!$E$17+1,1))</f>
        <v>256.19915261735281</v>
      </c>
      <c r="GF6" s="62">
        <f t="shared" si="50"/>
        <v>297.47246687305056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4.9084615384615384</v>
      </c>
      <c r="GU6" s="13">
        <f>IF('Données projet'!$A$270&gt;35,GU5+GT6-HC5,IF(A6&lt;'Données projet'!$A$270,$GR$205^A6,IF(A6='Données projet'!$A$270,'Données projet'!$B$270,GU5+GT6-HC5)))</f>
        <v>1.6474288407621522</v>
      </c>
      <c r="GV6" s="18">
        <f>GU6*VLOOKUP('Données projet'!$B$18,Paramètres!$A$1:$I$89,3,0)*VLOOKUP('Données projet'!$B$18,Paramètres!$A$1:$I$89,5,0)</f>
        <v>0.7709966974766872</v>
      </c>
      <c r="GW6" s="14">
        <f t="shared" si="51"/>
        <v>0.36622810482944673</v>
      </c>
      <c r="GX6" s="22">
        <f t="shared" si="28"/>
        <v>1.9806665306831832</v>
      </c>
      <c r="GY6" s="62">
        <f t="shared" si="29"/>
        <v>262.31399986401652</v>
      </c>
      <c r="GZ6" s="62">
        <f ca="1">AVERAGE(OFFSET($GY$3,0,0,'Données projet'!$E$18+1,1))-AVERAGE(OFFSET($H$3,0,0,'Données projet'!$E$18+1,1))</f>
        <v>284.704043530756</v>
      </c>
      <c r="HA6" s="62">
        <f t="shared" si="52"/>
        <v>190.4880882944471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428.8489304403459</v>
      </c>
      <c r="T7" s="62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0.6</v>
      </c>
      <c r="AI7" s="14">
        <f>IF('Données projet'!$A$62&gt;35,AI6+AH7-AQ6,IF(A7&lt;'Données projet'!$A$62,$AF$205^A7,IF(A7='Données projet'!$A$62,'Données projet'!$B$62,AI6+AH7-AQ6)))</f>
        <v>1.796654912379124</v>
      </c>
      <c r="AJ7" s="14">
        <f>AI7*VLOOKUP('Données projet'!$B$10,Paramètres!$A$1:$I$89,3,0)*VLOOKUP('Données projet'!$B$10,Paramètres!$A$1:$I$89,5,0)</f>
        <v>1.5695577314544029</v>
      </c>
      <c r="AK7" s="14">
        <f t="shared" si="35"/>
        <v>0.68634248424879218</v>
      </c>
      <c r="AL7" s="22">
        <f t="shared" si="4"/>
        <v>3.9290262090163979</v>
      </c>
      <c r="AM7" s="62">
        <f t="shared" si="5"/>
        <v>265.48458176457194</v>
      </c>
      <c r="AN7" s="62">
        <f ca="1">AVERAGE(OFFSET($AM$3,0,0,'Données projet'!$E$10+1,1))-AVERAGE(OFFSET($H$3,0,0,'Données projet'!$E$10+1,1))</f>
        <v>274.66236526869056</v>
      </c>
      <c r="AO7" s="62">
        <f t="shared" si="36"/>
        <v>256.90876395053073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2.1413507656762891</v>
      </c>
      <c r="BF7" s="14">
        <f t="shared" si="37"/>
        <v>0.9031249003236328</v>
      </c>
      <c r="BG7" s="22">
        <f t="shared" si="7"/>
        <v>5.3024617849498643</v>
      </c>
      <c r="BH7" s="62">
        <f t="shared" si="8"/>
        <v>266.8580173405054</v>
      </c>
      <c r="BI7" s="62">
        <f ca="1">AVERAGE(OFFSET($BH$3,0,0,'Données projet'!$E$11+1,1))-AVERAGE(OFFSET($H$3,0,0,'Données projet'!$E$11+1,1))</f>
        <v>475.47920969424894</v>
      </c>
      <c r="BJ7" s="62">
        <f t="shared" si="38"/>
        <v>271.73544012419364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2.0085470085470085</v>
      </c>
      <c r="BY7" s="13">
        <f>IF('Données projet'!$A$114&gt;35,BY6+BX7-CG6,IF(A7&lt;'Données projet'!$A$114,$BV$205^A7,IF(A7='Données projet'!$A$114,'Données projet'!$B$114,BY6+BX7-CG6)))</f>
        <v>2.4796641843030387</v>
      </c>
      <c r="BZ7" s="14">
        <f>BY7*VLOOKUP('Données projet'!$B$12,Paramètres!$A$1:$I$89,3,0)*VLOOKUP('Données projet'!$B$12,Paramètres!$A$1:$I$89,5,0)</f>
        <v>2.5917450054335363</v>
      </c>
      <c r="CA7" s="14">
        <f t="shared" si="39"/>
        <v>1.069060282146026</v>
      </c>
      <c r="CB7" s="22">
        <f t="shared" si="10"/>
        <v>6.375902542534404</v>
      </c>
      <c r="CC7" s="62">
        <f t="shared" si="11"/>
        <v>267.93145809808993</v>
      </c>
      <c r="CD7" s="62">
        <f ca="1">AVERAGE(OFFSET($CC$3,0,0,'Données projet'!$E$12+1,1))-AVERAGE(OFFSET($H$3,0,0,'Données projet'!$E$12+1,1))</f>
        <v>490.26236605482961</v>
      </c>
      <c r="CE7" s="62">
        <f t="shared" si="40"/>
        <v>283.40133947156238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1.8</v>
      </c>
      <c r="CT7" s="13">
        <f>IF('Données projet'!$A$140&gt;35,CT6+CS7-DB6,IF(A7&lt;'Données projet'!$A$140,$CQ$205^A7,IF(A7='Données projet'!$A$140,'Données projet'!$B$140,CT6+CS7-DB6)))</f>
        <v>3.1776715231464374</v>
      </c>
      <c r="CU7" s="18">
        <f>CT7*VLOOKUP('Données projet'!$B$13,Paramètres!$A$1:$I$89,3,0)*VLOOKUP('Données projet'!$B$13,Paramètres!$A$1:$I$89,5,0)</f>
        <v>2.7760138426207281</v>
      </c>
      <c r="CV7" s="14">
        <f t="shared" si="41"/>
        <v>1.135950520408497</v>
      </c>
      <c r="CW7" s="22">
        <f t="shared" si="13"/>
        <v>6.8133379322758998</v>
      </c>
      <c r="CX7" s="62">
        <f t="shared" si="14"/>
        <v>268.36889348783143</v>
      </c>
      <c r="CY7" s="62">
        <f ca="1">AVERAGE(OFFSET($CX$3,0,0,'Données projet'!$E$13+1,1))-AVERAGE(OFFSET($H$3,0,0,'Données projet'!$E$13+1,1))</f>
        <v>315.3516976788701</v>
      </c>
      <c r="CZ7" s="62">
        <f t="shared" si="42"/>
        <v>266.32508105927997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2.2731261974102144</v>
      </c>
      <c r="EL7" s="14">
        <f t="shared" si="45"/>
        <v>0.95206068424520052</v>
      </c>
      <c r="EM7" s="22">
        <f t="shared" si="19"/>
        <v>5.617200485549847</v>
      </c>
      <c r="EN7" s="62">
        <f t="shared" si="20"/>
        <v>267.1727560411054</v>
      </c>
      <c r="EO7" s="62">
        <f ca="1">AVERAGE(OFFSET($EN$3,0,0,'Données projet'!$E$15+1,1))-AVERAGE(OFFSET($H$3,0,0,'Données projet'!$E$15+1,1))</f>
        <v>502.07782026233912</v>
      </c>
      <c r="EP7" s="62">
        <f t="shared" si="46"/>
        <v>285.83623046025156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2.4358974358974361</v>
      </c>
      <c r="FE7" s="13">
        <f>IF('Données projet'!$A$218&gt;35,FE6+FD7-FM6,IF(A7&lt;'Données projet'!$A$218,$FB$205^A7,IF(A7='Données projet'!$A$218,'Données projet'!$B$218,FE6+FD7-FM6)))</f>
        <v>2.610558332842511</v>
      </c>
      <c r="FF7" s="18">
        <f>FE7*VLOOKUP('Données projet'!$B$16,Paramètres!$A$1:$I$89,3,0)*VLOOKUP('Données projet'!$B$16,Paramètres!$A$1:$I$89,5,0)</f>
        <v>2.4842073095329336</v>
      </c>
      <c r="FG7" s="14">
        <f t="shared" si="47"/>
        <v>1.029769527335997</v>
      </c>
      <c r="FH7" s="22">
        <f t="shared" si="22"/>
        <v>6.1201763242133866</v>
      </c>
      <c r="FI7" s="62">
        <f t="shared" si="23"/>
        <v>267.67573187976893</v>
      </c>
      <c r="FJ7" s="62">
        <f ca="1">AVERAGE(OFFSET($FI$3,0,0,'Données projet'!$E$16+1,1))-AVERAGE(OFFSET($H$3,0,0,'Données projet'!$E$16+1,1))</f>
        <v>365.5904647357433</v>
      </c>
      <c r="FK7" s="62">
        <f t="shared" si="48"/>
        <v>256.56280810580841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0.9</v>
      </c>
      <c r="FZ7" s="13">
        <f>IF('Données projet'!$A$244&gt;35,FZ6+FY7-GH6,IF(A7&lt;'Données projet'!$A$244,$FW$205^A7,IF(A7='Données projet'!$A$244,'Données projet'!$B$244,FZ6+FY7-GH6)))</f>
        <v>2.4082246852806923</v>
      </c>
      <c r="GA7" s="18">
        <f>FZ7*VLOOKUP('Données projet'!$B$17,Paramètres!$A$1:$I$89,3,0)*VLOOKUP('Données projet'!$B$17,Paramètres!$A$1:$I$89,5,0)</f>
        <v>1.9535518646996977</v>
      </c>
      <c r="GB7" s="14">
        <f t="shared" si="49"/>
        <v>0.83276983766381052</v>
      </c>
      <c r="GC7" s="22">
        <f t="shared" si="25"/>
        <v>4.8528436316164436</v>
      </c>
      <c r="GD7" s="62">
        <f t="shared" si="26"/>
        <v>266.40839918717199</v>
      </c>
      <c r="GE7" s="62">
        <f ca="1">AVERAGE(OFFSET($GD$3,0,0,'Données projet'!$E$17+1,1))-AVERAGE(OFFSET($H$3,0,0,'Données projet'!$E$17+1,1))</f>
        <v>256.19915261735281</v>
      </c>
      <c r="GF7" s="62">
        <f t="shared" si="50"/>
        <v>297.47246687305056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4.9084615384615384</v>
      </c>
      <c r="GU7" s="13">
        <f>IF('Données projet'!$A$270&gt;35,GU6+GT7-HC6,IF(A7&lt;'Données projet'!$A$270,$GR$205^A7,IF(A7='Données projet'!$A$270,'Données projet'!$B$270,GU6+GT7-HC6)))</f>
        <v>1.9456985396533186</v>
      </c>
      <c r="GV7" s="18">
        <f>GU7*VLOOKUP('Données projet'!$B$18,Paramètres!$A$1:$I$89,3,0)*VLOOKUP('Données projet'!$B$18,Paramètres!$A$1:$I$89,5,0)</f>
        <v>0.91058691655775315</v>
      </c>
      <c r="GW7" s="14">
        <f t="shared" si="51"/>
        <v>0.42423691816235021</v>
      </c>
      <c r="GX7" s="22">
        <f t="shared" si="28"/>
        <v>2.32481817880418</v>
      </c>
      <c r="GY7" s="62">
        <f t="shared" si="29"/>
        <v>263.88037373435975</v>
      </c>
      <c r="GZ7" s="62">
        <f ca="1">AVERAGE(OFFSET($GY$3,0,0,'Données projet'!$E$18+1,1))-AVERAGE(OFFSET($H$3,0,0,'Données projet'!$E$18+1,1))</f>
        <v>284.704043530756</v>
      </c>
      <c r="HA7" s="62">
        <f t="shared" si="52"/>
        <v>190.4880882944471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428.8489304403459</v>
      </c>
      <c r="T8" s="62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0.6</v>
      </c>
      <c r="AI8" s="14">
        <f>IF('Données projet'!$A$62&gt;35,AI7+AH8-AQ7,IF(A8&lt;'Données projet'!$A$62,$AF$205^A8,IF(A8='Données projet'!$A$62,'Données projet'!$B$62,AI7+AH8-AQ7)))</f>
        <v>2.0800838230519041</v>
      </c>
      <c r="AJ8" s="14">
        <f>AI8*VLOOKUP('Données projet'!$B$10,Paramètres!$A$1:$I$89,3,0)*VLOOKUP('Données projet'!$B$10,Paramètres!$A$1:$I$89,5,0)</f>
        <v>1.8171612278181437</v>
      </c>
      <c r="AK8" s="14">
        <f t="shared" si="35"/>
        <v>0.78118182019192373</v>
      </c>
      <c r="AL8" s="22">
        <f t="shared" si="4"/>
        <v>4.5254474752842002</v>
      </c>
      <c r="AM8" s="62">
        <f t="shared" si="5"/>
        <v>267.30322525306195</v>
      </c>
      <c r="AN8" s="62">
        <f ca="1">AVERAGE(OFFSET($AM$3,0,0,'Données projet'!$E$10+1,1))-AVERAGE(OFFSET($H$3,0,0,'Données projet'!$E$10+1,1))</f>
        <v>274.66236526869056</v>
      </c>
      <c r="AO8" s="62">
        <f t="shared" si="36"/>
        <v>256.90876395053073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2.5813701135521372</v>
      </c>
      <c r="BF8" s="14">
        <f t="shared" si="37"/>
        <v>1.0652780295337991</v>
      </c>
      <c r="BG8" s="22">
        <f t="shared" si="7"/>
        <v>6.3512455158746723</v>
      </c>
      <c r="BH8" s="62">
        <f t="shared" si="8"/>
        <v>269.12902329365244</v>
      </c>
      <c r="BI8" s="62">
        <f ca="1">AVERAGE(OFFSET($BH$3,0,0,'Données projet'!$E$11+1,1))-AVERAGE(OFFSET($H$3,0,0,'Données projet'!$E$11+1,1))</f>
        <v>475.47920969424894</v>
      </c>
      <c r="BJ8" s="62">
        <f t="shared" si="38"/>
        <v>271.73544012419364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2.0085470085470085</v>
      </c>
      <c r="BY8" s="13">
        <f>IF('Données projet'!$A$114&gt;35,BY7+BX8-CG7,IF(A8&lt;'Données projet'!$A$114,$BV$205^A8,IF(A8='Données projet'!$A$114,'Données projet'!$B$114,BY7+BX8-CG7)))</f>
        <v>3.1116524728023753</v>
      </c>
      <c r="BZ8" s="14">
        <f>BY8*VLOOKUP('Données projet'!$B$12,Paramètres!$A$1:$I$89,3,0)*VLOOKUP('Données projet'!$B$12,Paramètres!$A$1:$I$89,5,0)</f>
        <v>3.2522991645730426</v>
      </c>
      <c r="CA8" s="14">
        <f t="shared" si="39"/>
        <v>1.3065426155602187</v>
      </c>
      <c r="CB8" s="22">
        <f t="shared" si="10"/>
        <v>7.9399827670654304</v>
      </c>
      <c r="CC8" s="62">
        <f t="shared" si="11"/>
        <v>270.7177605448432</v>
      </c>
      <c r="CD8" s="62">
        <f ca="1">AVERAGE(OFFSET($CC$3,0,0,'Données projet'!$E$12+1,1))-AVERAGE(OFFSET($H$3,0,0,'Données projet'!$E$12+1,1))</f>
        <v>490.26236605482961</v>
      </c>
      <c r="CE8" s="62">
        <f t="shared" si="40"/>
        <v>283.40133947156238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1.8</v>
      </c>
      <c r="CT8" s="13">
        <f>IF('Données projet'!$A$140&gt;35,CT7+CS8-DB7,IF(A8&lt;'Données projet'!$A$140,$CQ$205^A8,IF(A8='Données projet'!$A$140,'Données projet'!$B$140,CT7+CS8-DB7)))</f>
        <v>4.2426406871192865</v>
      </c>
      <c r="CU8" s="18">
        <f>CT8*VLOOKUP('Données projet'!$B$13,Paramètres!$A$1:$I$89,3,0)*VLOOKUP('Données projet'!$B$13,Paramètres!$A$1:$I$89,5,0)</f>
        <v>3.7063709042674091</v>
      </c>
      <c r="CV8" s="14">
        <f t="shared" si="41"/>
        <v>1.4664771263922398</v>
      </c>
      <c r="CW8" s="22">
        <f t="shared" si="13"/>
        <v>9.0093769867322209</v>
      </c>
      <c r="CX8" s="62">
        <f t="shared" si="14"/>
        <v>271.78715476450998</v>
      </c>
      <c r="CY8" s="62">
        <f ca="1">AVERAGE(OFFSET($CX$3,0,0,'Données projet'!$E$13+1,1))-AVERAGE(OFFSET($H$3,0,0,'Données projet'!$E$13+1,1))</f>
        <v>315.3516976788701</v>
      </c>
      <c r="CZ8" s="62">
        <f t="shared" si="42"/>
        <v>266.32508105927997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2.740223659001499</v>
      </c>
      <c r="EL8" s="14">
        <f t="shared" si="45"/>
        <v>1.1230000737947632</v>
      </c>
      <c r="EM8" s="22">
        <f t="shared" si="19"/>
        <v>6.7284480012868242</v>
      </c>
      <c r="EN8" s="62">
        <f t="shared" si="20"/>
        <v>269.50622577906461</v>
      </c>
      <c r="EO8" s="62">
        <f ca="1">AVERAGE(OFFSET($EN$3,0,0,'Données projet'!$E$15+1,1))-AVERAGE(OFFSET($H$3,0,0,'Données projet'!$E$15+1,1))</f>
        <v>502.07782026233912</v>
      </c>
      <c r="EP8" s="62">
        <f t="shared" si="46"/>
        <v>285.83623046025156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2.4358974358974361</v>
      </c>
      <c r="FE8" s="13">
        <f>IF('Données projet'!$A$218&gt;35,FE7+FD8-FM7,IF(A8&lt;'Données projet'!$A$218,$FB$205^A8,IF(A8='Données projet'!$A$218,'Données projet'!$B$218,FE7+FD8-FM7)))</f>
        <v>3.3183084459586891</v>
      </c>
      <c r="FF8" s="18">
        <f>FE8*VLOOKUP('Données projet'!$B$16,Paramètres!$A$1:$I$89,3,0)*VLOOKUP('Données projet'!$B$16,Paramètres!$A$1:$I$89,5,0)</f>
        <v>3.1577023171742886</v>
      </c>
      <c r="FG8" s="14">
        <f t="shared" si="47"/>
        <v>1.2729063254981332</v>
      </c>
      <c r="FH8" s="22">
        <f t="shared" si="22"/>
        <v>7.7166433859878012</v>
      </c>
      <c r="FI8" s="62">
        <f t="shared" si="23"/>
        <v>270.49442116376559</v>
      </c>
      <c r="FJ8" s="62">
        <f ca="1">AVERAGE(OFFSET($FI$3,0,0,'Données projet'!$E$16+1,1))-AVERAGE(OFFSET($H$3,0,0,'Données projet'!$E$16+1,1))</f>
        <v>365.5904647357433</v>
      </c>
      <c r="FK8" s="62">
        <f t="shared" si="48"/>
        <v>256.56280810580841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0.9</v>
      </c>
      <c r="FZ8" s="13">
        <f>IF('Données projet'!$A$244&gt;35,FZ7+FY8-GH7,IF(A8&lt;'Données projet'!$A$244,$FW$205^A8,IF(A8='Données projet'!$A$244,'Données projet'!$B$244,FZ7+FY8-GH7)))</f>
        <v>3.0000000000000004</v>
      </c>
      <c r="GA8" s="18">
        <f>FZ8*VLOOKUP('Données projet'!$B$17,Paramètres!$A$1:$I$89,3,0)*VLOOKUP('Données projet'!$B$17,Paramètres!$A$1:$I$89,5,0)</f>
        <v>2.4336000000000007</v>
      </c>
      <c r="GB8" s="14">
        <f t="shared" si="49"/>
        <v>1.0112111626203177</v>
      </c>
      <c r="GC8" s="22">
        <f t="shared" si="25"/>
        <v>5.9997127748970547</v>
      </c>
      <c r="GD8" s="62">
        <f t="shared" si="26"/>
        <v>268.77749055267481</v>
      </c>
      <c r="GE8" s="62">
        <f ca="1">AVERAGE(OFFSET($GD$3,0,0,'Données projet'!$E$17+1,1))-AVERAGE(OFFSET($H$3,0,0,'Données projet'!$E$17+1,1))</f>
        <v>256.19915261735281</v>
      </c>
      <c r="GF8" s="62">
        <f t="shared" si="50"/>
        <v>297.47246687305056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4.9084615384615384</v>
      </c>
      <c r="GU8" s="13">
        <f>IF('Données projet'!$A$270&gt;35,GU7+GT8-HC7,IF(A8&lt;'Données projet'!$A$270,$GR$205^A8,IF(A8='Données projet'!$A$270,'Données projet'!$B$270,GU7+GT8-HC7)))</f>
        <v>2.2979704576846265</v>
      </c>
      <c r="GV8" s="18">
        <f>GU8*VLOOKUP('Données projet'!$B$18,Paramètres!$A$1:$I$89,3,0)*VLOOKUP('Données projet'!$B$18,Paramètres!$A$1:$I$89,5,0)</f>
        <v>1.0754501741964051</v>
      </c>
      <c r="GW8" s="14">
        <f t="shared" si="51"/>
        <v>0.49143405532927165</v>
      </c>
      <c r="GX8" s="22">
        <f t="shared" si="28"/>
        <v>2.7289900330905534</v>
      </c>
      <c r="GY8" s="62">
        <f t="shared" si="29"/>
        <v>265.50676781086833</v>
      </c>
      <c r="GZ8" s="62">
        <f ca="1">AVERAGE(OFFSET($GY$3,0,0,'Données projet'!$E$18+1,1))-AVERAGE(OFFSET($H$3,0,0,'Données projet'!$E$18+1,1))</f>
        <v>284.704043530756</v>
      </c>
      <c r="HA8" s="62">
        <f t="shared" si="52"/>
        <v>190.4880882944471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428.8489304403459</v>
      </c>
      <c r="T9" s="62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0.6</v>
      </c>
      <c r="AI9" s="14">
        <f>IF('Données projet'!$A$62&gt;35,AI8+AH9-AQ8,IF(A9&lt;'Données projet'!$A$62,$AF$205^A9,IF(A9='Données projet'!$A$62,'Données projet'!$B$62,AI8+AH9-AQ8)))</f>
        <v>2.4082246852806919</v>
      </c>
      <c r="AJ9" s="14">
        <f>AI9*VLOOKUP('Données projet'!$B$10,Paramètres!$A$1:$I$89,3,0)*VLOOKUP('Données projet'!$B$10,Paramètres!$A$1:$I$89,5,0)</f>
        <v>2.1038250850612128</v>
      </c>
      <c r="AK9" s="14">
        <f t="shared" si="35"/>
        <v>0.88912612901456256</v>
      </c>
      <c r="AL9" s="22">
        <f t="shared" si="4"/>
        <v>5.2127233645153082</v>
      </c>
      <c r="AM9" s="62">
        <f t="shared" si="5"/>
        <v>269.21272336451528</v>
      </c>
      <c r="AN9" s="62">
        <f ca="1">AVERAGE(OFFSET($AM$3,0,0,'Données projet'!$E$10+1,1))-AVERAGE(OFFSET($H$3,0,0,'Données projet'!$E$10+1,1))</f>
        <v>274.66236526869056</v>
      </c>
      <c r="AO9" s="62">
        <f t="shared" si="36"/>
        <v>256.90876395053073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3.111807635605039</v>
      </c>
      <c r="BF9" s="14">
        <f t="shared" si="37"/>
        <v>1.2565452240335246</v>
      </c>
      <c r="BG9" s="22">
        <f t="shared" si="7"/>
        <v>7.6082145638704972</v>
      </c>
      <c r="BH9" s="62">
        <f t="shared" si="8"/>
        <v>271.60821456387049</v>
      </c>
      <c r="BI9" s="62">
        <f ca="1">AVERAGE(OFFSET($BH$3,0,0,'Données projet'!$E$11+1,1))-AVERAGE(OFFSET($H$3,0,0,'Données projet'!$E$11+1,1))</f>
        <v>475.47920969424894</v>
      </c>
      <c r="BJ9" s="62">
        <f t="shared" si="38"/>
        <v>271.73544012419364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2.0085470085470085</v>
      </c>
      <c r="BY9" s="13">
        <f>IF('Données projet'!$A$114&gt;35,BY8+BX9-CG8,IF(A9&lt;'Données projet'!$A$114,$BV$205^A9,IF(A9='Données projet'!$A$114,'Données projet'!$B$114,BY8+BX9-CG8)))</f>
        <v>3.9047146677317404</v>
      </c>
      <c r="BZ9" s="14">
        <f>BY9*VLOOKUP('Données projet'!$B$12,Paramètres!$A$1:$I$89,3,0)*VLOOKUP('Données projet'!$B$12,Paramètres!$A$1:$I$89,5,0)</f>
        <v>4.0812077707132151</v>
      </c>
      <c r="CA9" s="14">
        <f t="shared" si="39"/>
        <v>1.5967795593792025</v>
      </c>
      <c r="CB9" s="22">
        <f t="shared" si="10"/>
        <v>9.8891612665776254</v>
      </c>
      <c r="CC9" s="62">
        <f t="shared" si="11"/>
        <v>273.88916126657762</v>
      </c>
      <c r="CD9" s="62">
        <f ca="1">AVERAGE(OFFSET($CC$3,0,0,'Données projet'!$E$12+1,1))-AVERAGE(OFFSET($H$3,0,0,'Données projet'!$E$12+1,1))</f>
        <v>490.26236605482961</v>
      </c>
      <c r="CE9" s="62">
        <f t="shared" si="40"/>
        <v>283.40133947156238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1.8</v>
      </c>
      <c r="CT9" s="13">
        <f>IF('Données projet'!$A$140&gt;35,CT8+CS9-DB8,IF(A9&lt;'Données projet'!$A$140,$CQ$205^A9,IF(A9='Données projet'!$A$140,'Données projet'!$B$140,CT8+CS9-DB8)))</f>
        <v>5.6645250677694134</v>
      </c>
      <c r="CU9" s="18">
        <f>CT9*VLOOKUP('Données projet'!$B$13,Paramètres!$A$1:$I$89,3,0)*VLOOKUP('Données projet'!$B$13,Paramètres!$A$1:$I$89,5,0)</f>
        <v>4.9485290992033608</v>
      </c>
      <c r="CV9" s="14">
        <f t="shared" si="41"/>
        <v>1.8931767921179217</v>
      </c>
      <c r="CW9" s="22">
        <f t="shared" si="13"/>
        <v>11.915971094051232</v>
      </c>
      <c r="CX9" s="62">
        <f t="shared" si="14"/>
        <v>275.91597109405126</v>
      </c>
      <c r="CY9" s="62">
        <f ca="1">AVERAGE(OFFSET($CX$3,0,0,'Données projet'!$E$13+1,1))-AVERAGE(OFFSET($H$3,0,0,'Données projet'!$E$13+1,1))</f>
        <v>315.3516976788701</v>
      </c>
      <c r="CZ9" s="62">
        <f t="shared" si="42"/>
        <v>266.32508105927997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3.3033034901038101</v>
      </c>
      <c r="EL9" s="14">
        <f t="shared" si="45"/>
        <v>1.3246310730107231</v>
      </c>
      <c r="EM9" s="22">
        <f t="shared" si="19"/>
        <v>8.0603193640911446</v>
      </c>
      <c r="EN9" s="62">
        <f t="shared" si="20"/>
        <v>272.06031936409113</v>
      </c>
      <c r="EO9" s="62">
        <f ca="1">AVERAGE(OFFSET($EN$3,0,0,'Données projet'!$E$15+1,1))-AVERAGE(OFFSET($H$3,0,0,'Données projet'!$E$15+1,1))</f>
        <v>502.07782026233912</v>
      </c>
      <c r="EP9" s="62">
        <f t="shared" si="46"/>
        <v>285.83623046025156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2.4358974358974361</v>
      </c>
      <c r="FE9" s="13">
        <f>IF('Données projet'!$A$218&gt;35,FE8+FD9-FM8,IF(A9&lt;'Données projet'!$A$218,$FB$205^A9,IF(A9='Données projet'!$A$218,'Données projet'!$B$218,FE8+FD9-FM8)))</f>
        <v>4.2179371378119086</v>
      </c>
      <c r="FF9" s="18">
        <f>FE9*VLOOKUP('Données projet'!$B$16,Paramètres!$A$1:$I$89,3,0)*VLOOKUP('Données projet'!$B$16,Paramètres!$A$1:$I$89,5,0)</f>
        <v>4.0137889803418121</v>
      </c>
      <c r="FG9" s="14">
        <f t="shared" si="47"/>
        <v>1.5734496608040387</v>
      </c>
      <c r="FH9" s="22">
        <f t="shared" si="22"/>
        <v>9.7311072999956902</v>
      </c>
      <c r="FI9" s="62">
        <f t="shared" si="23"/>
        <v>273.7311072999957</v>
      </c>
      <c r="FJ9" s="62">
        <f ca="1">AVERAGE(OFFSET($FI$3,0,0,'Données projet'!$E$16+1,1))-AVERAGE(OFFSET($H$3,0,0,'Données projet'!$E$16+1,1))</f>
        <v>365.5904647357433</v>
      </c>
      <c r="FK9" s="62">
        <f t="shared" si="48"/>
        <v>256.56280810580841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0.9</v>
      </c>
      <c r="FZ9" s="13">
        <f>IF('Données projet'!$A$244&gt;35,FZ8+FY9-GH8,IF(A9&lt;'Données projet'!$A$244,$FW$205^A9,IF(A9='Données projet'!$A$244,'Données projet'!$B$244,FZ8+FY9-GH8)))</f>
        <v>3.7371928188465526</v>
      </c>
      <c r="GA9" s="18">
        <f>FZ9*VLOOKUP('Données projet'!$B$17,Paramètres!$A$1:$I$89,3,0)*VLOOKUP('Données projet'!$B$17,Paramètres!$A$1:$I$89,5,0)</f>
        <v>3.0316108146483236</v>
      </c>
      <c r="GB9" s="14">
        <f t="shared" si="49"/>
        <v>1.2278879099133964</v>
      </c>
      <c r="GC9" s="22">
        <f t="shared" si="25"/>
        <v>7.4186269452783291</v>
      </c>
      <c r="GD9" s="62">
        <f t="shared" si="26"/>
        <v>271.41862694527833</v>
      </c>
      <c r="GE9" s="62">
        <f ca="1">AVERAGE(OFFSET($GD$3,0,0,'Données projet'!$E$17+1,1))-AVERAGE(OFFSET($H$3,0,0,'Données projet'!$E$17+1,1))</f>
        <v>256.19915261735281</v>
      </c>
      <c r="GF9" s="62">
        <f t="shared" si="50"/>
        <v>297.47246687305056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4.9084615384615384</v>
      </c>
      <c r="GU9" s="13">
        <f>IF('Données projet'!$A$270&gt;35,GU8+GT9-HC8,IF(A9&lt;'Données projet'!$A$270,$GR$205^A9,IF(A9='Données projet'!$A$270,'Données projet'!$B$270,GU8+GT9-HC8)))</f>
        <v>2.7140217853749289</v>
      </c>
      <c r="GV9" s="18">
        <f>GU9*VLOOKUP('Données projet'!$B$18,Paramètres!$A$1:$I$89,3,0)*VLOOKUP('Données projet'!$B$18,Paramètres!$A$1:$I$89,5,0)</f>
        <v>1.2701621955554667</v>
      </c>
      <c r="GW9" s="14">
        <f t="shared" si="51"/>
        <v>0.56927490371064715</v>
      </c>
      <c r="GX9" s="22">
        <f t="shared" si="28"/>
        <v>3.203686281221815</v>
      </c>
      <c r="GY9" s="62">
        <f t="shared" si="29"/>
        <v>267.20368628122179</v>
      </c>
      <c r="GZ9" s="62">
        <f ca="1">AVERAGE(OFFSET($GY$3,0,0,'Données projet'!$E$18+1,1))-AVERAGE(OFFSET($H$3,0,0,'Données projet'!$E$18+1,1))</f>
        <v>284.704043530756</v>
      </c>
      <c r="HA9" s="62">
        <f t="shared" si="52"/>
        <v>190.4880882944471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428.8489304403459</v>
      </c>
      <c r="T10" s="62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0.6</v>
      </c>
      <c r="AI10" s="14">
        <f>IF('Données projet'!$A$62&gt;35,AI9+AH10-AQ9,IF(A10&lt;'Données projet'!$A$62,$AF$205^A10,IF(A10='Données projet'!$A$62,'Données projet'!$B$62,AI9+AH10-AQ9)))</f>
        <v>2.788130973628832</v>
      </c>
      <c r="AJ10" s="14">
        <f>AI10*VLOOKUP('Données projet'!$B$10,Paramètres!$A$1:$I$89,3,0)*VLOOKUP('Données projet'!$B$10,Paramètres!$A$1:$I$89,5,0)</f>
        <v>2.4357112185621479</v>
      </c>
      <c r="AK10" s="14">
        <f t="shared" si="35"/>
        <v>1.0119862660170416</v>
      </c>
      <c r="AL10" s="22">
        <f t="shared" si="4"/>
        <v>6.0047397856420881</v>
      </c>
      <c r="AM10" s="62">
        <f t="shared" si="5"/>
        <v>271.2269620078643</v>
      </c>
      <c r="AN10" s="62">
        <f ca="1">AVERAGE(OFFSET($AM$3,0,0,'Données projet'!$E$10+1,1))-AVERAGE(OFFSET($H$3,0,0,'Données projet'!$E$10+1,1))</f>
        <v>274.66236526869056</v>
      </c>
      <c r="AO10" s="62">
        <f t="shared" si="36"/>
        <v>256.90876395053073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3.7512430744326299</v>
      </c>
      <c r="BF10" s="14">
        <f t="shared" si="37"/>
        <v>1.4821538192545303</v>
      </c>
      <c r="BG10" s="22">
        <f t="shared" si="7"/>
        <v>9.1148329231718037</v>
      </c>
      <c r="BH10" s="62">
        <f t="shared" si="8"/>
        <v>274.33705514539406</v>
      </c>
      <c r="BI10" s="62">
        <f ca="1">AVERAGE(OFFSET($BH$3,0,0,'Données projet'!$E$11+1,1))-AVERAGE(OFFSET($H$3,0,0,'Données projet'!$E$11+1,1))</f>
        <v>475.47920969424894</v>
      </c>
      <c r="BJ10" s="62">
        <f t="shared" si="38"/>
        <v>271.73544012419364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2.0085470085470085</v>
      </c>
      <c r="BY10" s="13">
        <f>IF('Données projet'!$A$114&gt;35,BY9+BX10-CG9,IF(A10&lt;'Données projet'!$A$114,$BV$205^A10,IF(A10='Données projet'!$A$114,'Données projet'!$B$114,BY9+BX10-CG9)))</f>
        <v>4.899903433839456</v>
      </c>
      <c r="BZ10" s="14">
        <f>BY10*VLOOKUP('Données projet'!$B$12,Paramètres!$A$1:$I$89,3,0)*VLOOKUP('Données projet'!$B$12,Paramètres!$A$1:$I$89,5,0)</f>
        <v>5.1213790690489995</v>
      </c>
      <c r="CA10" s="14">
        <f t="shared" si="39"/>
        <v>1.9514900860374758</v>
      </c>
      <c r="CB10" s="22">
        <f t="shared" si="10"/>
        <v>12.318580445108942</v>
      </c>
      <c r="CC10" s="62">
        <f t="shared" si="11"/>
        <v>277.54080266733115</v>
      </c>
      <c r="CD10" s="62">
        <f ca="1">AVERAGE(OFFSET($CC$3,0,0,'Données projet'!$E$12+1,1))-AVERAGE(OFFSET($H$3,0,0,'Données projet'!$E$12+1,1))</f>
        <v>490.26236605482961</v>
      </c>
      <c r="CE10" s="62">
        <f t="shared" si="40"/>
        <v>283.40133947156238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1.8</v>
      </c>
      <c r="CT10" s="13">
        <f>IF('Données projet'!$A$140&gt;35,CT9+CS10-DB9,IF(A10&lt;'Données projet'!$A$140,$CQ$205^A10,IF(A10='Données projet'!$A$140,'Données projet'!$B$140,CT9+CS10-DB9)))</f>
        <v>7.5629417171254145</v>
      </c>
      <c r="CU10" s="18">
        <f>CT10*VLOOKUP('Données projet'!$B$13,Paramètres!$A$1:$I$89,3,0)*VLOOKUP('Données projet'!$B$13,Paramètres!$A$1:$I$89,5,0)</f>
        <v>6.6069858840807631</v>
      </c>
      <c r="CV10" s="14">
        <f t="shared" si="41"/>
        <v>2.4440329151477385</v>
      </c>
      <c r="CW10" s="22">
        <f t="shared" si="13"/>
        <v>15.763857741989639</v>
      </c>
      <c r="CX10" s="62">
        <f t="shared" si="14"/>
        <v>280.98607996421185</v>
      </c>
      <c r="CY10" s="62">
        <f ca="1">AVERAGE(OFFSET($CX$3,0,0,'Données projet'!$E$13+1,1))-AVERAGE(OFFSET($H$3,0,0,'Données projet'!$E$13+1,1))</f>
        <v>315.3516976788701</v>
      </c>
      <c r="CZ10" s="62">
        <f t="shared" si="42"/>
        <v>266.32508105927997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3.982088802090022</v>
      </c>
      <c r="EL10" s="14">
        <f t="shared" si="45"/>
        <v>1.5624642602705792</v>
      </c>
      <c r="EM10" s="22">
        <f t="shared" si="19"/>
        <v>9.6567632502780452</v>
      </c>
      <c r="EN10" s="62">
        <f t="shared" si="20"/>
        <v>274.87898547250029</v>
      </c>
      <c r="EO10" s="62">
        <f ca="1">AVERAGE(OFFSET($EN$3,0,0,'Données projet'!$E$15+1,1))-AVERAGE(OFFSET($H$3,0,0,'Données projet'!$E$15+1,1))</f>
        <v>502.07782026233912</v>
      </c>
      <c r="EP10" s="62">
        <f t="shared" si="46"/>
        <v>285.83623046025156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2.4358974358974361</v>
      </c>
      <c r="FE10" s="13">
        <f>IF('Données projet'!$A$218&gt;35,FE9+FD10-FM9,IF(A10&lt;'Données projet'!$A$218,$FB$205^A10,IF(A10='Données projet'!$A$218,'Données projet'!$B$218,FE9+FD10-FM9)))</f>
        <v>5.3614647306823651</v>
      </c>
      <c r="FF10" s="18">
        <f>FE10*VLOOKUP('Données projet'!$B$16,Paramètres!$A$1:$I$89,3,0)*VLOOKUP('Données projet'!$B$16,Paramètres!$A$1:$I$89,5,0)</f>
        <v>5.1019698377173386</v>
      </c>
      <c r="FG10" s="14">
        <f t="shared" si="47"/>
        <v>1.9449536745097864</v>
      </c>
      <c r="FH10" s="22">
        <f t="shared" si="22"/>
        <v>12.273391783795576</v>
      </c>
      <c r="FI10" s="62">
        <f t="shared" si="23"/>
        <v>277.49561400601783</v>
      </c>
      <c r="FJ10" s="62">
        <f ca="1">AVERAGE(OFFSET($FI$3,0,0,'Données projet'!$E$16+1,1))-AVERAGE(OFFSET($H$3,0,0,'Données projet'!$E$16+1,1))</f>
        <v>365.5904647357433</v>
      </c>
      <c r="FK10" s="62">
        <f t="shared" si="48"/>
        <v>256.56280810580841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0.9</v>
      </c>
      <c r="FZ10" s="13">
        <f>IF('Données projet'!$A$244&gt;35,FZ9+FY10-GH9,IF(A10&lt;'Données projet'!$A$244,$FW$205^A10,IF(A10='Données projet'!$A$244,'Données projet'!$B$244,FZ9+FY10-GH9)))</f>
        <v>4.6555367217460804</v>
      </c>
      <c r="GA10" s="18">
        <f>FZ10*VLOOKUP('Données projet'!$B$17,Paramètres!$A$1:$I$89,3,0)*VLOOKUP('Données projet'!$B$17,Paramètres!$A$1:$I$89,5,0)</f>
        <v>3.7765713886804204</v>
      </c>
      <c r="GB10" s="14">
        <f t="shared" si="49"/>
        <v>1.490992954829151</v>
      </c>
      <c r="GC10" s="22">
        <f t="shared" si="25"/>
        <v>9.1743412316125035</v>
      </c>
      <c r="GD10" s="62">
        <f t="shared" si="26"/>
        <v>274.39656345383474</v>
      </c>
      <c r="GE10" s="62">
        <f ca="1">AVERAGE(OFFSET($GD$3,0,0,'Données projet'!$E$17+1,1))-AVERAGE(OFFSET($H$3,0,0,'Données projet'!$E$17+1,1))</f>
        <v>256.19915261735281</v>
      </c>
      <c r="GF10" s="62">
        <f t="shared" si="50"/>
        <v>297.47246687305056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4.9084615384615384</v>
      </c>
      <c r="GU10" s="13">
        <f>IF('Données projet'!$A$270&gt;35,GU9+GT10-HC9,IF(A10&lt;'Données projet'!$A$270,$GR$205^A10,IF(A10='Données projet'!$A$270,'Données projet'!$B$270,GU9+GT10-HC9)))</f>
        <v>3.2053998896536791</v>
      </c>
      <c r="GV10" s="18">
        <f>GU10*VLOOKUP('Données projet'!$B$18,Paramètres!$A$1:$I$89,3,0)*VLOOKUP('Données projet'!$B$18,Paramètres!$A$1:$I$89,5,0)</f>
        <v>1.5001271483579217</v>
      </c>
      <c r="GW10" s="14">
        <f t="shared" si="51"/>
        <v>0.65944537721878049</v>
      </c>
      <c r="GX10" s="22">
        <f t="shared" si="28"/>
        <v>3.7612554820460891</v>
      </c>
      <c r="GY10" s="62">
        <f t="shared" si="29"/>
        <v>268.9834777042683</v>
      </c>
      <c r="GZ10" s="62">
        <f ca="1">AVERAGE(OFFSET($GY$3,0,0,'Données projet'!$E$18+1,1))-AVERAGE(OFFSET($H$3,0,0,'Données projet'!$E$18+1,1))</f>
        <v>284.704043530756</v>
      </c>
      <c r="HA10" s="62">
        <f t="shared" si="52"/>
        <v>190.4880882944471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428.8489304403459</v>
      </c>
      <c r="T11" s="62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0.6</v>
      </c>
      <c r="AI11" s="14">
        <f>IF('Données projet'!$A$62&gt;35,AI10+AH11-AQ10,IF(A11&lt;'Données projet'!$A$62,$AF$205^A11,IF(A11='Données projet'!$A$62,'Données projet'!$B$62,AI10+AH11-AQ10)))</f>
        <v>3.227968874176038</v>
      </c>
      <c r="AJ11" s="14">
        <f>AI11*VLOOKUP('Données projet'!$B$10,Paramètres!$A$1:$I$89,3,0)*VLOOKUP('Données projet'!$B$10,Paramètres!$A$1:$I$89,5,0)</f>
        <v>2.8199536084801871</v>
      </c>
      <c r="AK11" s="14">
        <f t="shared" si="35"/>
        <v>1.1518233118873293</v>
      </c>
      <c r="AL11" s="22">
        <f t="shared" si="4"/>
        <v>6.9175114696400923</v>
      </c>
      <c r="AM11" s="62">
        <f t="shared" si="5"/>
        <v>273.36195591408455</v>
      </c>
      <c r="AN11" s="62">
        <f ca="1">AVERAGE(OFFSET($AM$3,0,0,'Données projet'!$E$10+1,1))-AVERAGE(OFFSET($H$3,0,0,'Données projet'!$E$10+1,1))</f>
        <v>274.66236526869056</v>
      </c>
      <c r="AO11" s="62">
        <f t="shared" si="36"/>
        <v>256.90876395053073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4.5220740647558486</v>
      </c>
      <c r="BF11" s="14">
        <f t="shared" si="37"/>
        <v>1.7482697016499746</v>
      </c>
      <c r="BG11" s="22">
        <f t="shared" si="7"/>
        <v>10.92084872649014</v>
      </c>
      <c r="BH11" s="62">
        <f t="shared" si="8"/>
        <v>277.36529317093459</v>
      </c>
      <c r="BI11" s="62">
        <f ca="1">AVERAGE(OFFSET($BH$3,0,0,'Données projet'!$E$11+1,1))-AVERAGE(OFFSET($H$3,0,0,'Données projet'!$E$11+1,1))</f>
        <v>475.47920969424894</v>
      </c>
      <c r="BJ11" s="62">
        <f t="shared" si="38"/>
        <v>271.73544012419364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2.0085470085470085</v>
      </c>
      <c r="BY11" s="13">
        <f>IF('Données projet'!$A$114&gt;35,BY10+BX11-CG10,IF(A11&lt;'Données projet'!$A$114,$BV$205^A11,IF(A11='Données projet'!$A$114,'Données projet'!$B$114,BY10+BX11-CG10)))</f>
        <v>6.1487344669152542</v>
      </c>
      <c r="BZ11" s="14">
        <f>BY11*VLOOKUP('Données projet'!$B$12,Paramètres!$A$1:$I$89,3,0)*VLOOKUP('Données projet'!$B$12,Paramètres!$A$1:$I$89,5,0)</f>
        <v>6.4266572648198244</v>
      </c>
      <c r="CA11" s="14">
        <f t="shared" si="39"/>
        <v>2.3849964345630501</v>
      </c>
      <c r="CB11" s="22">
        <f t="shared" si="10"/>
        <v>15.346963526425172</v>
      </c>
      <c r="CC11" s="62">
        <f t="shared" si="11"/>
        <v>281.79140797086961</v>
      </c>
      <c r="CD11" s="62">
        <f ca="1">AVERAGE(OFFSET($CC$3,0,0,'Données projet'!$E$12+1,1))-AVERAGE(OFFSET($H$3,0,0,'Données projet'!$E$12+1,1))</f>
        <v>490.26236605482961</v>
      </c>
      <c r="CE11" s="62">
        <f t="shared" si="40"/>
        <v>283.40133947156238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1.8</v>
      </c>
      <c r="CT11" s="13">
        <f>IF('Données projet'!$A$140&gt;35,CT10+CS11-DB10,IF(A11&lt;'Données projet'!$A$140,$CQ$205^A11,IF(A11='Données projet'!$A$140,'Données projet'!$B$140,CT10+CS11-DB10)))</f>
        <v>10.097596309015799</v>
      </c>
      <c r="CU11" s="18">
        <f>CT11*VLOOKUP('Données projet'!$B$13,Paramètres!$A$1:$I$89,3,0)*VLOOKUP('Données projet'!$B$13,Paramètres!$A$1:$I$89,5,0)</f>
        <v>8.8212601355562033</v>
      </c>
      <c r="CV11" s="14">
        <f t="shared" si="41"/>
        <v>3.1551711996443523</v>
      </c>
      <c r="CW11" s="22">
        <f t="shared" si="13"/>
        <v>20.858951242140964</v>
      </c>
      <c r="CX11" s="62">
        <f t="shared" si="14"/>
        <v>287.30339568658542</v>
      </c>
      <c r="CY11" s="62">
        <f ca="1">AVERAGE(OFFSET($CX$3,0,0,'Données projet'!$E$13+1,1))-AVERAGE(OFFSET($H$3,0,0,'Données projet'!$E$13+1,1))</f>
        <v>315.3516976788701</v>
      </c>
      <c r="CZ11" s="62">
        <f t="shared" si="42"/>
        <v>266.32508105927997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4.8003555456638995</v>
      </c>
      <c r="EL11" s="14">
        <f t="shared" si="45"/>
        <v>1.8429996203200378</v>
      </c>
      <c r="EM11" s="22">
        <f t="shared" si="19"/>
        <v>11.570510247422023</v>
      </c>
      <c r="EN11" s="62">
        <f t="shared" si="20"/>
        <v>278.01495469186648</v>
      </c>
      <c r="EO11" s="62">
        <f ca="1">AVERAGE(OFFSET($EN$3,0,0,'Données projet'!$E$15+1,1))-AVERAGE(OFFSET($H$3,0,0,'Données projet'!$E$15+1,1))</f>
        <v>502.07782026233912</v>
      </c>
      <c r="EP11" s="62">
        <f t="shared" si="46"/>
        <v>285.83623046025156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2.4358974358974361</v>
      </c>
      <c r="FE11" s="13">
        <f>IF('Données projet'!$A$218&gt;35,FE10+FD11-FM10,IF(A11&lt;'Données projet'!$A$218,$FB$205^A11,IF(A11='Données projet'!$A$218,'Données projet'!$B$218,FE10+FD11-FM10)))</f>
        <v>6.815014809173471</v>
      </c>
      <c r="FF11" s="18">
        <f>FE11*VLOOKUP('Données projet'!$B$16,Paramètres!$A$1:$I$89,3,0)*VLOOKUP('Données projet'!$B$16,Paramètres!$A$1:$I$89,5,0)</f>
        <v>6.4851680924094746</v>
      </c>
      <c r="FG11" s="14">
        <f t="shared" si="47"/>
        <v>2.4041727487208409</v>
      </c>
      <c r="FH11" s="22">
        <f t="shared" si="22"/>
        <v>15.4822686316353</v>
      </c>
      <c r="FI11" s="62">
        <f t="shared" si="23"/>
        <v>281.92671307607975</v>
      </c>
      <c r="FJ11" s="62">
        <f ca="1">AVERAGE(OFFSET($FI$3,0,0,'Données projet'!$E$16+1,1))-AVERAGE(OFFSET($H$3,0,0,'Données projet'!$E$16+1,1))</f>
        <v>365.5904647357433</v>
      </c>
      <c r="FK11" s="62">
        <f t="shared" si="48"/>
        <v>256.56280810580841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0.9</v>
      </c>
      <c r="FZ11" s="13">
        <f>IF('Données projet'!$A$244&gt;35,FZ10+FY11-GH10,IF(A11&lt;'Données projet'!$A$244,$FW$205^A11,IF(A11='Données projet'!$A$244,'Données projet'!$B$244,FZ10+FY11-GH10)))</f>
        <v>5.7995461347952899</v>
      </c>
      <c r="GA11" s="18">
        <f>FZ11*VLOOKUP('Données projet'!$B$17,Paramètres!$A$1:$I$89,3,0)*VLOOKUP('Données projet'!$B$17,Paramètres!$A$1:$I$89,5,0)</f>
        <v>4.7045918245459397</v>
      </c>
      <c r="GB11" s="14">
        <f t="shared" si="49"/>
        <v>1.8104746967554695</v>
      </c>
      <c r="GC11" s="22">
        <f t="shared" si="25"/>
        <v>11.347074191266621</v>
      </c>
      <c r="GD11" s="62">
        <f t="shared" si="26"/>
        <v>277.7915186357111</v>
      </c>
      <c r="GE11" s="62">
        <f ca="1">AVERAGE(OFFSET($GD$3,0,0,'Données projet'!$E$17+1,1))-AVERAGE(OFFSET($H$3,0,0,'Données projet'!$E$17+1,1))</f>
        <v>256.19915261735281</v>
      </c>
      <c r="GF11" s="62">
        <f t="shared" si="50"/>
        <v>297.47246687305056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4.9084615384615384</v>
      </c>
      <c r="GU11" s="13">
        <f>IF('Données projet'!$A$270&gt;35,GU10+GT11-HC10,IF(A11&lt;'Données projet'!$A$270,$GR$205^A11,IF(A11='Données projet'!$A$270,'Données projet'!$B$270,GU10+GT11-HC10)))</f>
        <v>3.7857428072090569</v>
      </c>
      <c r="GV11" s="18">
        <f>GU11*VLOOKUP('Données projet'!$B$18,Paramètres!$A$1:$I$89,3,0)*VLOOKUP('Données projet'!$B$18,Paramètres!$A$1:$I$89,5,0)</f>
        <v>1.7717276337738388</v>
      </c>
      <c r="GW11" s="14">
        <f t="shared" si="51"/>
        <v>0.76389843061877893</v>
      </c>
      <c r="GX11" s="22">
        <f t="shared" si="28"/>
        <v>4.4162153954838086</v>
      </c>
      <c r="GY11" s="62">
        <f t="shared" si="29"/>
        <v>270.86065983992825</v>
      </c>
      <c r="GZ11" s="62">
        <f ca="1">AVERAGE(OFFSET($GY$3,0,0,'Données projet'!$E$18+1,1))-AVERAGE(OFFSET($H$3,0,0,'Données projet'!$E$18+1,1))</f>
        <v>284.704043530756</v>
      </c>
      <c r="HA11" s="62">
        <f t="shared" si="52"/>
        <v>190.4880882944471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428.8489304403459</v>
      </c>
      <c r="T12" s="62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0.6</v>
      </c>
      <c r="AI12" s="14">
        <f>IF('Données projet'!$A$62&gt;35,AI11+AH12-AQ11,IF(A12&lt;'Données projet'!$A$62,$AF$205^A12,IF(A12='Données projet'!$A$62,'Données projet'!$B$62,AI11+AH12-AQ11)))</f>
        <v>3.7371928188465526</v>
      </c>
      <c r="AJ12" s="14">
        <f>AI12*VLOOKUP('Données projet'!$B$10,Paramètres!$A$1:$I$89,3,0)*VLOOKUP('Données projet'!$B$10,Paramètres!$A$1:$I$89,5,0)</f>
        <v>3.2648116465443486</v>
      </c>
      <c r="AK12" s="14">
        <f t="shared" si="35"/>
        <v>1.310983149038857</v>
      </c>
      <c r="AL12" s="22">
        <f t="shared" si="4"/>
        <v>7.9695092689740825</v>
      </c>
      <c r="AM12" s="62">
        <f t="shared" si="5"/>
        <v>275.63617593564078</v>
      </c>
      <c r="AN12" s="62">
        <f ca="1">AVERAGE(OFFSET($AM$3,0,0,'Données projet'!$E$10+1,1))-AVERAGE(OFFSET($H$3,0,0,'Données projet'!$E$10+1,1))</f>
        <v>274.66236526869056</v>
      </c>
      <c r="AO12" s="62">
        <f t="shared" si="36"/>
        <v>256.90876395053073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5.4513006599100189</v>
      </c>
      <c r="BF12" s="14">
        <f t="shared" si="37"/>
        <v>2.062165822468125</v>
      </c>
      <c r="BG12" s="22">
        <f t="shared" si="7"/>
        <v>13.085954123475267</v>
      </c>
      <c r="BH12" s="62">
        <f t="shared" si="8"/>
        <v>280.75262079014198</v>
      </c>
      <c r="BI12" s="62">
        <f ca="1">AVERAGE(OFFSET($BH$3,0,0,'Données projet'!$E$11+1,1))-AVERAGE(OFFSET($H$3,0,0,'Données projet'!$E$11+1,1))</f>
        <v>475.47920969424894</v>
      </c>
      <c r="BJ12" s="62">
        <f t="shared" si="38"/>
        <v>271.73544012419364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2.0085470085470085</v>
      </c>
      <c r="BY12" s="13">
        <f>IF('Données projet'!$A$114&gt;35,BY11+BX12-CG11,IF(A12&lt;'Données projet'!$A$114,$BV$205^A12,IF(A12='Données projet'!$A$114,'Données projet'!$B$114,BY11+BX12-CG11)))</f>
        <v>7.715853190806035</v>
      </c>
      <c r="BZ12" s="14">
        <f>BY12*VLOOKUP('Données projet'!$B$12,Paramètres!$A$1:$I$89,3,0)*VLOOKUP('Données projet'!$B$12,Paramètres!$A$1:$I$89,5,0)</f>
        <v>8.0646097550304692</v>
      </c>
      <c r="CA12" s="14">
        <f t="shared" si="39"/>
        <v>2.9148024033411493</v>
      </c>
      <c r="CB12" s="22">
        <f t="shared" si="10"/>
        <v>19.122476175830567</v>
      </c>
      <c r="CC12" s="62">
        <f t="shared" si="11"/>
        <v>286.78914284249726</v>
      </c>
      <c r="CD12" s="62">
        <f ca="1">AVERAGE(OFFSET($CC$3,0,0,'Données projet'!$E$12+1,1))-AVERAGE(OFFSET($H$3,0,0,'Données projet'!$E$12+1,1))</f>
        <v>490.26236605482961</v>
      </c>
      <c r="CE12" s="62">
        <f t="shared" si="40"/>
        <v>283.40133947156238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1.8</v>
      </c>
      <c r="CT12" s="13">
        <f>IF('Données projet'!$A$140&gt;35,CT11+CS12-DB11,IF(A12&lt;'Données projet'!$A$140,$CQ$205^A12,IF(A12='Données projet'!$A$140,'Données projet'!$B$140,CT11+CS12-DB11)))</f>
        <v>13.48171849440139</v>
      </c>
      <c r="CU12" s="18">
        <f>CT12*VLOOKUP('Données projet'!$B$13,Paramètres!$A$1:$I$89,3,0)*VLOOKUP('Données projet'!$B$13,Paramètres!$A$1:$I$89,5,0)</f>
        <v>11.777629276709055</v>
      </c>
      <c r="CV12" s="14">
        <f t="shared" si="41"/>
        <v>4.0732288167499631</v>
      </c>
      <c r="CW12" s="22">
        <f t="shared" si="13"/>
        <v>27.606911179441123</v>
      </c>
      <c r="CX12" s="62">
        <f t="shared" si="14"/>
        <v>295.2735778461078</v>
      </c>
      <c r="CY12" s="62">
        <f ca="1">AVERAGE(OFFSET($CX$3,0,0,'Données projet'!$E$13+1,1))-AVERAGE(OFFSET($H$3,0,0,'Données projet'!$E$13+1,1))</f>
        <v>315.3516976788701</v>
      </c>
      <c r="CZ12" s="62">
        <f t="shared" si="42"/>
        <v>266.32508105927997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5.7867653159044812</v>
      </c>
      <c r="EL12" s="14">
        <f t="shared" si="45"/>
        <v>2.1739041889582755</v>
      </c>
      <c r="EM12" s="22">
        <f t="shared" si="19"/>
        <v>13.864832720969302</v>
      </c>
      <c r="EN12" s="62">
        <f t="shared" si="20"/>
        <v>281.53149938763596</v>
      </c>
      <c r="EO12" s="62">
        <f ca="1">AVERAGE(OFFSET($EN$3,0,0,'Données projet'!$E$15+1,1))-AVERAGE(OFFSET($H$3,0,0,'Données projet'!$E$15+1,1))</f>
        <v>502.07782026233912</v>
      </c>
      <c r="EP12" s="62">
        <f t="shared" si="46"/>
        <v>285.83623046025156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2.4358974358974361</v>
      </c>
      <c r="FE12" s="13">
        <f>IF('Données projet'!$A$218&gt;35,FE11+FD12-FM11,IF(A12&lt;'Données projet'!$A$218,$FB$205^A12,IF(A12='Données projet'!$A$218,'Données projet'!$B$218,FE11+FD12-FM11)))</f>
        <v>8.6626377645391397</v>
      </c>
      <c r="FF12" s="18">
        <f>FE12*VLOOKUP('Données projet'!$B$16,Paramètres!$A$1:$I$89,3,0)*VLOOKUP('Données projet'!$B$16,Paramètres!$A$1:$I$89,5,0)</f>
        <v>8.2433660967354445</v>
      </c>
      <c r="FG12" s="14">
        <f t="shared" si="47"/>
        <v>2.9718171087795939</v>
      </c>
      <c r="FH12" s="22">
        <f t="shared" si="22"/>
        <v>19.53311074960536</v>
      </c>
      <c r="FI12" s="62">
        <f t="shared" si="23"/>
        <v>287.19977741627207</v>
      </c>
      <c r="FJ12" s="62">
        <f ca="1">AVERAGE(OFFSET($FI$3,0,0,'Données projet'!$E$16+1,1))-AVERAGE(OFFSET($H$3,0,0,'Données projet'!$E$16+1,1))</f>
        <v>365.5904647357433</v>
      </c>
      <c r="FK12" s="62">
        <f t="shared" si="48"/>
        <v>256.56280810580841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0.9</v>
      </c>
      <c r="FZ12" s="13">
        <f>IF('Données projet'!$A$244&gt;35,FZ11+FY12-GH11,IF(A12&lt;'Données projet'!$A$244,$FW$205^A12,IF(A12='Données projet'!$A$244,'Données projet'!$B$244,FZ11+FY12-GH11)))</f>
        <v>7.2246740558420788</v>
      </c>
      <c r="GA12" s="18">
        <f>FZ12*VLOOKUP('Données projet'!$B$17,Paramètres!$A$1:$I$89,3,0)*VLOOKUP('Données projet'!$B$17,Paramètres!$A$1:$I$89,5,0)</f>
        <v>5.8606555940990948</v>
      </c>
      <c r="GB12" s="14">
        <f t="shared" si="49"/>
        <v>2.1984132231982314</v>
      </c>
      <c r="GC12" s="22">
        <f t="shared" si="25"/>
        <v>14.036211523459508</v>
      </c>
      <c r="GD12" s="62">
        <f t="shared" si="26"/>
        <v>281.70287819012617</v>
      </c>
      <c r="GE12" s="62">
        <f ca="1">AVERAGE(OFFSET($GD$3,0,0,'Données projet'!$E$17+1,1))-AVERAGE(OFFSET($H$3,0,0,'Données projet'!$E$17+1,1))</f>
        <v>256.19915261735281</v>
      </c>
      <c r="GF12" s="62">
        <f t="shared" si="50"/>
        <v>297.47246687305056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4.9084615384615384</v>
      </c>
      <c r="GU12" s="13">
        <f>IF('Données projet'!$A$270&gt;35,GU11+GT12-HC11,IF(A12&lt;'Données projet'!$A$270,$GR$205^A12,IF(A12='Données projet'!$A$270,'Données projet'!$B$270,GU11+GT12-HC11)))</f>
        <v>4.4711577636834461</v>
      </c>
      <c r="GV12" s="18">
        <f>GU12*VLOOKUP('Données projet'!$B$18,Paramètres!$A$1:$I$89,3,0)*VLOOKUP('Données projet'!$B$18,Paramètres!$A$1:$I$89,5,0)</f>
        <v>2.0925018334038525</v>
      </c>
      <c r="GW12" s="14">
        <f t="shared" si="51"/>
        <v>0.8848963575465858</v>
      </c>
      <c r="GX12" s="22">
        <f t="shared" si="28"/>
        <v>5.1856351825720131</v>
      </c>
      <c r="GY12" s="62">
        <f t="shared" si="29"/>
        <v>272.8523018492387</v>
      </c>
      <c r="GZ12" s="62">
        <f ca="1">AVERAGE(OFFSET($GY$3,0,0,'Données projet'!$E$18+1,1))-AVERAGE(OFFSET($H$3,0,0,'Données projet'!$E$18+1,1))</f>
        <v>284.704043530756</v>
      </c>
      <c r="HA12" s="62">
        <f t="shared" si="52"/>
        <v>190.4880882944471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428.8489304403459</v>
      </c>
      <c r="T13" s="62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0.6</v>
      </c>
      <c r="AI13" s="14">
        <f>IF('Données projet'!$A$62&gt;35,AI12+AH13-AQ12,IF(A13&lt;'Données projet'!$A$62,$AF$205^A13,IF(A13='Données projet'!$A$62,'Données projet'!$B$62,AI12+AH13-AQ12)))</f>
        <v>4.3267487109222253</v>
      </c>
      <c r="AJ13" s="14">
        <f>AI13*VLOOKUP('Données projet'!$B$10,Paramètres!$A$1:$I$89,3,0)*VLOOKUP('Données projet'!$B$10,Paramètres!$A$1:$I$89,5,0)</f>
        <v>3.7798476738616569</v>
      </c>
      <c r="AK13" s="14">
        <f t="shared" si="35"/>
        <v>1.4921358157334794</v>
      </c>
      <c r="AL13" s="22">
        <f t="shared" si="4"/>
        <v>9.182037911044862</v>
      </c>
      <c r="AM13" s="62">
        <f t="shared" si="5"/>
        <v>278.07092679993372</v>
      </c>
      <c r="AN13" s="62">
        <f ca="1">AVERAGE(OFFSET($AM$3,0,0,'Données projet'!$E$10+1,1))-AVERAGE(OFFSET($H$3,0,0,'Données projet'!$E$10+1,1))</f>
        <v>274.66236526869056</v>
      </c>
      <c r="AO13" s="62">
        <f t="shared" si="36"/>
        <v>256.90876395053073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6.5714710681855761</v>
      </c>
      <c r="BF13" s="14">
        <f t="shared" si="37"/>
        <v>2.4324209676242781</v>
      </c>
      <c r="BG13" s="22">
        <f t="shared" si="7"/>
        <v>15.681778629035497</v>
      </c>
      <c r="BH13" s="62">
        <f t="shared" si="8"/>
        <v>284.57066751792433</v>
      </c>
      <c r="BI13" s="62">
        <f ca="1">AVERAGE(OFFSET($BH$3,0,0,'Données projet'!$E$11+1,1))-AVERAGE(OFFSET($H$3,0,0,'Données projet'!$E$11+1,1))</f>
        <v>475.47920969424894</v>
      </c>
      <c r="BJ13" s="62">
        <f t="shared" si="38"/>
        <v>271.73544012419364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2.0085470085470085</v>
      </c>
      <c r="BY13" s="13">
        <f>IF('Données projet'!$A$114&gt;35,BY12+BX13-CG12,IF(A13&lt;'Données projet'!$A$114,$BV$205^A13,IF(A13='Données projet'!$A$114,'Données projet'!$B$114,BY12+BX13-CG12)))</f>
        <v>9.6823811114971363</v>
      </c>
      <c r="BZ13" s="14">
        <f>BY13*VLOOKUP('Données projet'!$B$12,Paramètres!$A$1:$I$89,3,0)*VLOOKUP('Données projet'!$B$12,Paramètres!$A$1:$I$89,5,0)</f>
        <v>10.120024737736808</v>
      </c>
      <c r="CA13" s="14">
        <f t="shared" si="39"/>
        <v>3.5623001055261061</v>
      </c>
      <c r="CB13" s="22">
        <f t="shared" si="10"/>
        <v>23.830049102016243</v>
      </c>
      <c r="CC13" s="62">
        <f t="shared" si="11"/>
        <v>292.71893799090509</v>
      </c>
      <c r="CD13" s="62">
        <f ca="1">AVERAGE(OFFSET($CC$3,0,0,'Données projet'!$E$12+1,1))-AVERAGE(OFFSET($H$3,0,0,'Données projet'!$E$12+1,1))</f>
        <v>490.26236605482961</v>
      </c>
      <c r="CE13" s="62">
        <f t="shared" si="40"/>
        <v>283.40133947156238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18</v>
      </c>
      <c r="CR13" s="13">
        <f>VLOOKUP(A13,'Données projet'!$A$139:$I$159,9,0)</f>
        <v>1.8</v>
      </c>
      <c r="CS13" s="13">
        <f t="array" ref="CS13">INDEX(CR:CR,MIN(IF(ISNUMBER(CR13:CR209),ROW(CR13:CR209),"")))</f>
        <v>1.8</v>
      </c>
      <c r="CT13" s="13">
        <f>IF('Données projet'!$A$140&gt;35,CT12+CS13-DB12,IF(A13&lt;'Données projet'!$A$140,$CQ$205^A13,IF(A13='Données projet'!$A$140,'Données projet'!$B$140,CT12+CS13-DB12)))</f>
        <v>18</v>
      </c>
      <c r="CU13" s="18">
        <f>CT13*VLOOKUP('Données projet'!$B$13,Paramètres!$A$1:$I$89,3,0)*VLOOKUP('Données projet'!$B$13,Paramètres!$A$1:$I$89,5,0)</f>
        <v>15.724800000000004</v>
      </c>
      <c r="CV13" s="14">
        <f t="shared" si="41"/>
        <v>5.2584129176484753</v>
      </c>
      <c r="CW13" s="22">
        <f t="shared" si="13"/>
        <v>36.545762498237771</v>
      </c>
      <c r="CX13" s="62">
        <f t="shared" si="14"/>
        <v>305.43465138712662</v>
      </c>
      <c r="CY13" s="62">
        <f ca="1">AVERAGE(OFFSET($CX$3,0,0,'Données projet'!$E$13+1,1))-AVERAGE(OFFSET($H$3,0,0,'Données projet'!$E$13+1,1))</f>
        <v>315.3516976788701</v>
      </c>
      <c r="CZ13" s="62">
        <f t="shared" si="42"/>
        <v>266.32508105927997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6.9758692877662263</v>
      </c>
      <c r="EL13" s="14">
        <f t="shared" si="45"/>
        <v>2.5642215932468222</v>
      </c>
      <c r="EM13" s="22">
        <f t="shared" si="19"/>
        <v>16.61565828443106</v>
      </c>
      <c r="EN13" s="62">
        <f t="shared" si="20"/>
        <v>285.50454717331991</v>
      </c>
      <c r="EO13" s="62">
        <f ca="1">AVERAGE(OFFSET($EN$3,0,0,'Données projet'!$E$15+1,1))-AVERAGE(OFFSET($H$3,0,0,'Données projet'!$E$15+1,1))</f>
        <v>502.07782026233912</v>
      </c>
      <c r="EP13" s="62">
        <f t="shared" si="46"/>
        <v>285.83623046025156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2.4358974358974361</v>
      </c>
      <c r="FE13" s="13">
        <f>IF('Données projet'!$A$218&gt;35,FE12+FD13-FM12,IF(A13&lt;'Données projet'!$A$218,$FB$205^A13,IF(A13='Données projet'!$A$218,'Données projet'!$B$218,FE12+FD13-FM12)))</f>
        <v>11.011170942520771</v>
      </c>
      <c r="FF13" s="18">
        <f>FE13*VLOOKUP('Données projet'!$B$16,Paramètres!$A$1:$I$89,3,0)*VLOOKUP('Données projet'!$B$16,Paramètres!$A$1:$I$89,5,0)</f>
        <v>10.478230268902767</v>
      </c>
      <c r="FG13" s="14">
        <f t="shared" si="47"/>
        <v>3.67348682940279</v>
      </c>
      <c r="FH13" s="22">
        <f t="shared" si="22"/>
        <v>24.647573946215513</v>
      </c>
      <c r="FI13" s="62">
        <f t="shared" si="23"/>
        <v>293.53646283510437</v>
      </c>
      <c r="FJ13" s="62">
        <f ca="1">AVERAGE(OFFSET($FI$3,0,0,'Données projet'!$E$16+1,1))-AVERAGE(OFFSET($H$3,0,0,'Données projet'!$E$16+1,1))</f>
        <v>365.5904647357433</v>
      </c>
      <c r="FK13" s="62">
        <f t="shared" si="48"/>
        <v>256.56280810580841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9</v>
      </c>
      <c r="FX13" s="13">
        <f>VLOOKUP(A13,'Données projet'!$A$243:$I$263,9,0)</f>
        <v>0.9</v>
      </c>
      <c r="FY13" s="13">
        <f t="array" ref="FY13">INDEX(FX:FX,MIN(IF(ISNUMBER(FX13:FX209),ROW(FX13:FX209),"")))</f>
        <v>0.9</v>
      </c>
      <c r="FZ13" s="13">
        <f>IF('Données projet'!$A$244&gt;35,FZ12+FY13-GH12,IF(A13&lt;'Données projet'!$A$244,$FW$205^A13,IF(A13='Données projet'!$A$244,'Données projet'!$B$244,FZ12+FY13-GH12)))</f>
        <v>9</v>
      </c>
      <c r="GA13" s="18">
        <f>FZ13*VLOOKUP('Données projet'!$B$17,Paramètres!$A$1:$I$89,3,0)*VLOOKUP('Données projet'!$B$17,Paramètres!$A$1:$I$89,5,0)</f>
        <v>7.3007999999999997</v>
      </c>
      <c r="GB13" s="14">
        <f t="shared" si="49"/>
        <v>2.6694770761469542</v>
      </c>
      <c r="GC13" s="22">
        <f t="shared" si="25"/>
        <v>17.364899240955943</v>
      </c>
      <c r="GD13" s="62">
        <f t="shared" si="26"/>
        <v>286.25378812984479</v>
      </c>
      <c r="GE13" s="62">
        <f ca="1">AVERAGE(OFFSET($GD$3,0,0,'Données projet'!$E$17+1,1))-AVERAGE(OFFSET($H$3,0,0,'Données projet'!$E$17+1,1))</f>
        <v>256.19915261735281</v>
      </c>
      <c r="GF13" s="62">
        <f t="shared" si="50"/>
        <v>297.47246687305056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4.9084615384615384</v>
      </c>
      <c r="GU13" s="13">
        <f>IF('Données projet'!$A$270&gt;35,GU12+GT13-HC12,IF(A13&lt;'Données projet'!$A$270,$GR$205^A13,IF(A13='Données projet'!$A$270,'Données projet'!$B$270,GU12+GT13-HC12)))</f>
        <v>5.2806682243912917</v>
      </c>
      <c r="GV13" s="18">
        <f>GU13*VLOOKUP('Données projet'!$B$18,Paramètres!$A$1:$I$89,3,0)*VLOOKUP('Données projet'!$B$18,Paramètres!$A$1:$I$89,5,0)</f>
        <v>2.4713527290151243</v>
      </c>
      <c r="GW13" s="14">
        <f t="shared" si="51"/>
        <v>1.0250597883345953</v>
      </c>
      <c r="GX13" s="22">
        <f t="shared" si="28"/>
        <v>6.0895851343840945</v>
      </c>
      <c r="GY13" s="62">
        <f t="shared" si="29"/>
        <v>274.97847402327295</v>
      </c>
      <c r="GZ13" s="62">
        <f ca="1">AVERAGE(OFFSET($GY$3,0,0,'Données projet'!$E$18+1,1))-AVERAGE(OFFSET($H$3,0,0,'Données projet'!$E$18+1,1))</f>
        <v>284.704043530756</v>
      </c>
      <c r="HA13" s="62">
        <f t="shared" si="52"/>
        <v>190.4880882944471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428.8489304403459</v>
      </c>
      <c r="T14" s="62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0.6</v>
      </c>
      <c r="AI14" s="14">
        <f>IF('Données projet'!$A$62&gt;35,AI13+AH14-AQ13,IF(A14&lt;'Données projet'!$A$62,$AF$205^A14,IF(A14='Données projet'!$A$62,'Données projet'!$B$62,AI13+AH14-AQ13)))</f>
        <v>5.0093092101266317</v>
      </c>
      <c r="AJ14" s="14">
        <f>AI14*VLOOKUP('Données projet'!$B$10,Paramètres!$A$1:$I$89,3,0)*VLOOKUP('Données projet'!$B$10,Paramètres!$A$1:$I$89,5,0)</f>
        <v>4.3761325259666259</v>
      </c>
      <c r="AK14" s="14">
        <f t="shared" si="35"/>
        <v>1.69832029818762</v>
      </c>
      <c r="AL14" s="22">
        <f t="shared" si="4"/>
        <v>10.579672002068646</v>
      </c>
      <c r="AM14" s="62">
        <f t="shared" si="5"/>
        <v>280.6907831131798</v>
      </c>
      <c r="AN14" s="62">
        <f ca="1">AVERAGE(OFFSET($AM$3,0,0,'Données projet'!$E$10+1,1))-AVERAGE(OFFSET($H$3,0,0,'Données projet'!$E$10+1,1))</f>
        <v>274.66236526869056</v>
      </c>
      <c r="AO14" s="62">
        <f t="shared" si="36"/>
        <v>256.90876395053073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7.921821725516951</v>
      </c>
      <c r="BF14" s="14">
        <f t="shared" si="37"/>
        <v>2.869154216054651</v>
      </c>
      <c r="BG14" s="22">
        <f t="shared" si="7"/>
        <v>18.794283098237205</v>
      </c>
      <c r="BH14" s="62">
        <f t="shared" si="8"/>
        <v>288.90539420934834</v>
      </c>
      <c r="BI14" s="62">
        <f ca="1">AVERAGE(OFFSET($BH$3,0,0,'Données projet'!$E$11+1,1))-AVERAGE(OFFSET($H$3,0,0,'Données projet'!$E$11+1,1))</f>
        <v>475.47920969424894</v>
      </c>
      <c r="BJ14" s="62">
        <f t="shared" si="38"/>
        <v>271.73544012419364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2.0085470085470085</v>
      </c>
      <c r="BY14" s="13">
        <f>IF('Données projet'!$A$114&gt;35,BY13+BX14-CG13,IF(A14&lt;'Données projet'!$A$114,$BV$205^A14,IF(A14='Données projet'!$A$114,'Données projet'!$B$114,BY13+BX14-CG13)))</f>
        <v>12.150115051435174</v>
      </c>
      <c r="BZ14" s="14">
        <f>BY14*VLOOKUP('Données projet'!$B$12,Paramètres!$A$1:$I$89,3,0)*VLOOKUP('Données projet'!$B$12,Paramètres!$A$1:$I$89,5,0)</f>
        <v>12.699300251760045</v>
      </c>
      <c r="CA14" s="14">
        <f t="shared" si="39"/>
        <v>4.3536337239482048</v>
      </c>
      <c r="CB14" s="22">
        <f t="shared" si="10"/>
        <v>29.700526674358532</v>
      </c>
      <c r="CC14" s="62">
        <f t="shared" si="11"/>
        <v>299.81163778546966</v>
      </c>
      <c r="CD14" s="62">
        <f ca="1">AVERAGE(OFFSET($CC$3,0,0,'Données projet'!$E$12+1,1))-AVERAGE(OFFSET($H$3,0,0,'Données projet'!$E$12+1,1))</f>
        <v>490.26236605482961</v>
      </c>
      <c r="CE14" s="62">
        <f t="shared" si="40"/>
        <v>283.40133947156238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5.8</v>
      </c>
      <c r="CT14" s="13">
        <f>IF('Données projet'!$A$140&gt;35,CT13+CS14-DB13,IF(A14&lt;'Données projet'!$A$140,$CQ$205^A14,IF(A14='Données projet'!$A$140,'Données projet'!$B$140,CT13+CS14-DB13)))</f>
        <v>23.8</v>
      </c>
      <c r="CU14" s="18">
        <f>CT14*VLOOKUP('Données projet'!$B$13,Paramètres!$A$1:$I$89,3,0)*VLOOKUP('Données projet'!$B$13,Paramètres!$A$1:$I$89,5,0)</f>
        <v>20.791680000000003</v>
      </c>
      <c r="CV14" s="14">
        <f t="shared" si="41"/>
        <v>6.7303755760501467</v>
      </c>
      <c r="CW14" s="22">
        <f t="shared" si="13"/>
        <v>47.934246794954014</v>
      </c>
      <c r="CX14" s="62">
        <f t="shared" si="14"/>
        <v>318.04535790606514</v>
      </c>
      <c r="CY14" s="62">
        <f ca="1">AVERAGE(OFFSET($CX$3,0,0,'Données projet'!$E$13+1,1))-AVERAGE(OFFSET($H$3,0,0,'Données projet'!$E$13+1,1))</f>
        <v>315.3516976788701</v>
      </c>
      <c r="CZ14" s="62">
        <f t="shared" si="42"/>
        <v>266.32508105927997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8.4093184470872249</v>
      </c>
      <c r="EL14" s="14">
        <f t="shared" si="45"/>
        <v>3.0246192139792929</v>
      </c>
      <c r="EM14" s="22">
        <f t="shared" si="19"/>
        <v>19.914108093024186</v>
      </c>
      <c r="EN14" s="62">
        <f t="shared" si="20"/>
        <v>290.02521920413534</v>
      </c>
      <c r="EO14" s="62">
        <f ca="1">AVERAGE(OFFSET($EN$3,0,0,'Données projet'!$E$15+1,1))-AVERAGE(OFFSET($H$3,0,0,'Données projet'!$E$15+1,1))</f>
        <v>502.07782026233912</v>
      </c>
      <c r="EP14" s="62">
        <f t="shared" si="46"/>
        <v>285.83623046025156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2.4358974358974361</v>
      </c>
      <c r="FE14" s="13">
        <f>IF('Données projet'!$A$218&gt;35,FE13+FD14-FM13,IF(A14&lt;'Données projet'!$A$218,$FB$205^A14,IF(A14='Données projet'!$A$218,'Données projet'!$B$218,FE13+FD14-FM13)))</f>
        <v>13.996416428924077</v>
      </c>
      <c r="FF14" s="18">
        <f>FE14*VLOOKUP('Données projet'!$B$16,Paramètres!$A$1:$I$89,3,0)*VLOOKUP('Données projet'!$B$16,Paramètres!$A$1:$I$89,5,0)</f>
        <v>13.318989873764153</v>
      </c>
      <c r="FG14" s="14">
        <f t="shared" si="47"/>
        <v>4.5408263671169857</v>
      </c>
      <c r="FH14" s="22">
        <f t="shared" si="22"/>
        <v>31.105846619534645</v>
      </c>
      <c r="FI14" s="62">
        <f t="shared" si="23"/>
        <v>301.21695773064579</v>
      </c>
      <c r="FJ14" s="62">
        <f ca="1">AVERAGE(OFFSET($FI$3,0,0,'Données projet'!$E$16+1,1))-AVERAGE(OFFSET($H$3,0,0,'Données projet'!$E$16+1,1))</f>
        <v>365.5904647357433</v>
      </c>
      <c r="FK14" s="62">
        <f t="shared" si="48"/>
        <v>256.56280810580841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8</v>
      </c>
      <c r="FZ14" s="13">
        <f>IF('Données projet'!$A$244&gt;35,FZ13+FY14-GH13,IF(A14&lt;'Données projet'!$A$244,$FW$205^A14,IF(A14='Données projet'!$A$244,'Données projet'!$B$244,FZ13+FY14-GH13)))</f>
        <v>17</v>
      </c>
      <c r="GA14" s="18">
        <f>FZ14*VLOOKUP('Données projet'!$B$17,Paramètres!$A$1:$I$89,3,0)*VLOOKUP('Données projet'!$B$17,Paramètres!$A$1:$I$89,5,0)</f>
        <v>13.7904</v>
      </c>
      <c r="GB14" s="14">
        <f t="shared" si="49"/>
        <v>4.6825473896592289</v>
      </c>
      <c r="GC14" s="22">
        <f t="shared" si="25"/>
        <v>32.173716703656488</v>
      </c>
      <c r="GD14" s="62">
        <f t="shared" si="26"/>
        <v>302.28482781476765</v>
      </c>
      <c r="GE14" s="62">
        <f ca="1">AVERAGE(OFFSET($GD$3,0,0,'Données projet'!$E$17+1,1))-AVERAGE(OFFSET($H$3,0,0,'Données projet'!$E$17+1,1))</f>
        <v>256.19915261735281</v>
      </c>
      <c r="GF14" s="62">
        <f t="shared" si="50"/>
        <v>297.47246687305056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4.9084615384615384</v>
      </c>
      <c r="GU14" s="13">
        <f>IF('Données projet'!$A$270&gt;35,GU13+GT14-HC13,IF(A14&lt;'Données projet'!$A$270,$GR$205^A14,IF(A14='Données projet'!$A$270,'Données projet'!$B$270,GU13+GT14-HC13)))</f>
        <v>6.2367418843040729</v>
      </c>
      <c r="GV14" s="18">
        <f>GU14*VLOOKUP('Données projet'!$B$18,Paramètres!$A$1:$I$89,3,0)*VLOOKUP('Données projet'!$B$18,Paramètres!$A$1:$I$89,5,0)</f>
        <v>2.9187952018543064</v>
      </c>
      <c r="GW14" s="14">
        <f t="shared" si="51"/>
        <v>1.1874244488629264</v>
      </c>
      <c r="GX14" s="22">
        <f t="shared" si="28"/>
        <v>7.1516658916658464</v>
      </c>
      <c r="GY14" s="62">
        <f t="shared" si="29"/>
        <v>277.262777002777</v>
      </c>
      <c r="GZ14" s="62">
        <f ca="1">AVERAGE(OFFSET($GY$3,0,0,'Données projet'!$E$18+1,1))-AVERAGE(OFFSET($H$3,0,0,'Données projet'!$E$18+1,1))</f>
        <v>284.704043530756</v>
      </c>
      <c r="HA14" s="62">
        <f t="shared" si="52"/>
        <v>190.4880882944471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428.8489304403459</v>
      </c>
      <c r="T15" s="62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0.6</v>
      </c>
      <c r="AI15" s="14">
        <f>IF('Données projet'!$A$62&gt;35,AI14+AH15-AQ14,IF(A15&lt;'Données projet'!$A$62,$AF$205^A15,IF(A15='Données projet'!$A$62,'Données projet'!$B$62,AI14+AH15-AQ14)))</f>
        <v>5.799546134795289</v>
      </c>
      <c r="AJ15" s="14">
        <f>AI15*VLOOKUP('Données projet'!$B$10,Paramètres!$A$1:$I$89,3,0)*VLOOKUP('Données projet'!$B$10,Paramètres!$A$1:$I$89,5,0)</f>
        <v>5.0664835033571656</v>
      </c>
      <c r="AK15" s="14">
        <f t="shared" si="35"/>
        <v>1.9329955120863267</v>
      </c>
      <c r="AL15" s="22">
        <f t="shared" si="4"/>
        <v>12.190759285230749</v>
      </c>
      <c r="AM15" s="62">
        <f t="shared" si="5"/>
        <v>283.52409261856405</v>
      </c>
      <c r="AN15" s="62">
        <f ca="1">AVERAGE(OFFSET($AM$3,0,0,'Données projet'!$E$10+1,1))-AVERAGE(OFFSET($H$3,0,0,'Données projet'!$E$10+1,1))</f>
        <v>274.66236526869056</v>
      </c>
      <c r="AO15" s="62">
        <f t="shared" si="36"/>
        <v>256.90876395053073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9.5496516380767513</v>
      </c>
      <c r="BF15" s="14">
        <f t="shared" si="37"/>
        <v>3.3843014943027487</v>
      </c>
      <c r="BG15" s="22">
        <f t="shared" si="7"/>
        <v>22.526635038894295</v>
      </c>
      <c r="BH15" s="62">
        <f t="shared" si="8"/>
        <v>293.85996837222763</v>
      </c>
      <c r="BI15" s="62">
        <f ca="1">AVERAGE(OFFSET($BH$3,0,0,'Données projet'!$E$11+1,1))-AVERAGE(OFFSET($H$3,0,0,'Données projet'!$E$11+1,1))</f>
        <v>475.47920969424894</v>
      </c>
      <c r="BJ15" s="62">
        <f t="shared" si="38"/>
        <v>271.73544012419364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2.0085470085470085</v>
      </c>
      <c r="BY15" s="13">
        <f>IF('Données projet'!$A$114&gt;35,BY14+BX15-CG14,IF(A15&lt;'Données projet'!$A$114,$BV$205^A15,IF(A15='Données projet'!$A$114,'Données projet'!$B$114,BY14+BX15-CG14)))</f>
        <v>15.246796636399393</v>
      </c>
      <c r="BZ15" s="14">
        <f>BY15*VLOOKUP('Données projet'!$B$12,Paramètres!$A$1:$I$89,3,0)*VLOOKUP('Données projet'!$B$12,Paramètres!$A$1:$I$89,5,0)</f>
        <v>15.935951844364647</v>
      </c>
      <c r="CA15" s="14">
        <f t="shared" si="39"/>
        <v>5.3207551415716088</v>
      </c>
      <c r="CB15" s="22">
        <f t="shared" si="10"/>
        <v>37.022098000505643</v>
      </c>
      <c r="CC15" s="62">
        <f t="shared" si="11"/>
        <v>308.35543133383896</v>
      </c>
      <c r="CD15" s="62">
        <f ca="1">AVERAGE(OFFSET($CC$3,0,0,'Données projet'!$E$12+1,1))-AVERAGE(OFFSET($H$3,0,0,'Données projet'!$E$12+1,1))</f>
        <v>490.26236605482961</v>
      </c>
      <c r="CE15" s="62">
        <f t="shared" si="40"/>
        <v>283.40133947156238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5.8</v>
      </c>
      <c r="CT15" s="13">
        <f>IF('Données projet'!$A$140&gt;35,CT14+CS15-DB14,IF(A15&lt;'Données projet'!$A$140,$CQ$205^A15,IF(A15='Données projet'!$A$140,'Données projet'!$B$140,CT14+CS15-DB14)))</f>
        <v>29.6</v>
      </c>
      <c r="CU15" s="18">
        <f>CT15*VLOOKUP('Données projet'!$B$13,Paramètres!$A$1:$I$89,3,0)*VLOOKUP('Données projet'!$B$13,Paramètres!$A$1:$I$89,5,0)</f>
        <v>25.858560000000008</v>
      </c>
      <c r="CV15" s="14">
        <f t="shared" si="41"/>
        <v>8.1607346448714608</v>
      </c>
      <c r="CW15" s="22">
        <f t="shared" si="13"/>
        <v>59.250271506484466</v>
      </c>
      <c r="CX15" s="62">
        <f t="shared" si="14"/>
        <v>330.58360483981778</v>
      </c>
      <c r="CY15" s="62">
        <f ca="1">AVERAGE(OFFSET($CX$3,0,0,'Données projet'!$E$13+1,1))-AVERAGE(OFFSET($H$3,0,0,'Données projet'!$E$13+1,1))</f>
        <v>315.3516976788701</v>
      </c>
      <c r="CZ15" s="62">
        <f t="shared" si="42"/>
        <v>266.32508105927997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10.137322508112241</v>
      </c>
      <c r="EL15" s="14">
        <f t="shared" si="45"/>
        <v>3.5676797253661268</v>
      </c>
      <c r="EM15" s="22">
        <f t="shared" si="19"/>
        <v>23.869545556641487</v>
      </c>
      <c r="EN15" s="62">
        <f t="shared" si="20"/>
        <v>295.20287888997478</v>
      </c>
      <c r="EO15" s="62">
        <f ca="1">AVERAGE(OFFSET($EN$3,0,0,'Données projet'!$E$15+1,1))-AVERAGE(OFFSET($H$3,0,0,'Données projet'!$E$15+1,1))</f>
        <v>502.07782026233912</v>
      </c>
      <c r="EP15" s="62">
        <f t="shared" si="46"/>
        <v>285.83623046025156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2.4358974358974361</v>
      </c>
      <c r="FE15" s="13">
        <f>IF('Données projet'!$A$218&gt;35,FE14+FD15-FM14,IF(A15&lt;'Données projet'!$A$218,$FB$205^A15,IF(A15='Données projet'!$A$218,'Données projet'!$B$218,FE14+FD15-FM14)))</f>
        <v>17.790993698532919</v>
      </c>
      <c r="FF15" s="18">
        <f>FE15*VLOOKUP('Données projet'!$B$16,Paramètres!$A$1:$I$89,3,0)*VLOOKUP('Données projet'!$B$16,Paramètres!$A$1:$I$89,5,0)</f>
        <v>16.929909603523928</v>
      </c>
      <c r="FG15" s="14">
        <f t="shared" si="47"/>
        <v>5.6129516870098515</v>
      </c>
      <c r="FH15" s="22">
        <f t="shared" si="22"/>
        <v>39.262150081012997</v>
      </c>
      <c r="FI15" s="62">
        <f t="shared" si="23"/>
        <v>310.59548341434629</v>
      </c>
      <c r="FJ15" s="62">
        <f ca="1">AVERAGE(OFFSET($FI$3,0,0,'Données projet'!$E$16+1,1))-AVERAGE(OFFSET($H$3,0,0,'Données projet'!$E$16+1,1))</f>
        <v>365.5904647357433</v>
      </c>
      <c r="FK15" s="62">
        <f t="shared" si="48"/>
        <v>256.56280810580841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8</v>
      </c>
      <c r="FZ15" s="13">
        <f>IF('Données projet'!$A$244&gt;35,FZ14+FY15-GH14,IF(A15&lt;'Données projet'!$A$244,$FW$205^A15,IF(A15='Données projet'!$A$244,'Données projet'!$B$244,FZ14+FY15-GH14)))</f>
        <v>25</v>
      </c>
      <c r="GA15" s="18">
        <f>FZ15*VLOOKUP('Données projet'!$B$17,Paramètres!$A$1:$I$89,3,0)*VLOOKUP('Données projet'!$B$17,Paramètres!$A$1:$I$89,5,0)</f>
        <v>20.28</v>
      </c>
      <c r="GB15" s="14">
        <f t="shared" si="49"/>
        <v>6.5838102554415308</v>
      </c>
      <c r="GC15" s="22">
        <f t="shared" si="25"/>
        <v>46.787802861560664</v>
      </c>
      <c r="GD15" s="62">
        <f t="shared" si="26"/>
        <v>318.12113619489401</v>
      </c>
      <c r="GE15" s="62">
        <f ca="1">AVERAGE(OFFSET($GD$3,0,0,'Données projet'!$E$17+1,1))-AVERAGE(OFFSET($H$3,0,0,'Données projet'!$E$17+1,1))</f>
        <v>256.19915261735281</v>
      </c>
      <c r="GF15" s="62">
        <f t="shared" si="50"/>
        <v>297.47246687305056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4.9084615384615384</v>
      </c>
      <c r="GU15" s="13">
        <f>IF('Données projet'!$A$270&gt;35,GU14+GT15-HC14,IF(A15&lt;'Données projet'!$A$270,$GR$205^A15,IF(A15='Données projet'!$A$270,'Données projet'!$B$270,GU14+GT15-HC14)))</f>
        <v>7.3659142514897171</v>
      </c>
      <c r="GV15" s="18">
        <f>GU15*VLOOKUP('Données projet'!$B$18,Paramètres!$A$1:$I$89,3,0)*VLOOKUP('Données projet'!$B$18,Paramètres!$A$1:$I$89,5,0)</f>
        <v>3.447247869697188</v>
      </c>
      <c r="GW15" s="14">
        <f t="shared" si="51"/>
        <v>1.3755069097464061</v>
      </c>
      <c r="GX15" s="22">
        <f t="shared" si="28"/>
        <v>8.3996312408642595</v>
      </c>
      <c r="GY15" s="62">
        <f t="shared" si="29"/>
        <v>279.73296457419758</v>
      </c>
      <c r="GZ15" s="62">
        <f ca="1">AVERAGE(OFFSET($GY$3,0,0,'Données projet'!$E$18+1,1))-AVERAGE(OFFSET($H$3,0,0,'Données projet'!$E$18+1,1))</f>
        <v>284.704043530756</v>
      </c>
      <c r="HA15" s="62">
        <f t="shared" si="52"/>
        <v>190.4880882944471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428.8489304403459</v>
      </c>
      <c r="T16" s="62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0.6</v>
      </c>
      <c r="AI16" s="14">
        <f>IF('Données projet'!$A$62&gt;35,AI15+AH16-AQ15,IF(A16&lt;'Données projet'!$A$62,$AF$205^A16,IF(A16='Données projet'!$A$62,'Données projet'!$B$62,AI15+AH16-AQ15)))</f>
        <v>6.7144458364886441</v>
      </c>
      <c r="AJ16" s="14">
        <f>AI16*VLOOKUP('Données projet'!$B$10,Paramètres!$A$1:$I$89,3,0)*VLOOKUP('Données projet'!$B$10,Paramètres!$A$1:$I$89,5,0)</f>
        <v>5.86573988275648</v>
      </c>
      <c r="AK16" s="14">
        <f t="shared" si="35"/>
        <v>2.2000983287624218</v>
      </c>
      <c r="AL16" s="22">
        <f t="shared" si="4"/>
        <v>14.048001551728753</v>
      </c>
      <c r="AM16" s="62">
        <f t="shared" si="5"/>
        <v>286.6035571072843</v>
      </c>
      <c r="AN16" s="62">
        <f ca="1">AVERAGE(OFFSET($AM$3,0,0,'Données projet'!$E$10+1,1))-AVERAGE(OFFSET($H$3,0,0,'Données projet'!$E$10+1,1))</f>
        <v>274.66236526869056</v>
      </c>
      <c r="AO16" s="62">
        <f t="shared" si="36"/>
        <v>256.90876395053073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11.511979134151852</v>
      </c>
      <c r="BF16" s="14">
        <f t="shared" si="37"/>
        <v>3.9919417855793822</v>
      </c>
      <c r="BG16" s="22">
        <f t="shared" si="7"/>
        <v>27.002662268531896</v>
      </c>
      <c r="BH16" s="62">
        <f t="shared" si="8"/>
        <v>299.55821782408742</v>
      </c>
      <c r="BI16" s="62">
        <f ca="1">AVERAGE(OFFSET($BH$3,0,0,'Données projet'!$E$11+1,1))-AVERAGE(OFFSET($H$3,0,0,'Données projet'!$E$11+1,1))</f>
        <v>475.47920969424894</v>
      </c>
      <c r="BJ16" s="62">
        <f t="shared" si="38"/>
        <v>271.73544012419364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2.0085470085470085</v>
      </c>
      <c r="BY16" s="13">
        <f>IF('Données projet'!$A$114&gt;35,BY15+BX16-CG15,IF(A16&lt;'Données projet'!$A$114,$BV$205^A16,IF(A16='Données projet'!$A$114,'Données projet'!$B$114,BY15+BX16-CG15)))</f>
        <v>19.132724808582047</v>
      </c>
      <c r="BZ16" s="14">
        <f>BY16*VLOOKUP('Données projet'!$B$12,Paramètres!$A$1:$I$89,3,0)*VLOOKUP('Données projet'!$B$12,Paramètres!$A$1:$I$89,5,0)</f>
        <v>19.997523969929958</v>
      </c>
      <c r="CA16" s="14">
        <f t="shared" si="39"/>
        <v>6.5027140709684383</v>
      </c>
      <c r="CB16" s="22">
        <f t="shared" si="10"/>
        <v>46.154581254564704</v>
      </c>
      <c r="CC16" s="62">
        <f t="shared" si="11"/>
        <v>318.71013681012028</v>
      </c>
      <c r="CD16" s="62">
        <f ca="1">AVERAGE(OFFSET($CC$3,0,0,'Données projet'!$E$12+1,1))-AVERAGE(OFFSET($H$3,0,0,'Données projet'!$E$12+1,1))</f>
        <v>490.26236605482961</v>
      </c>
      <c r="CE16" s="62">
        <f t="shared" si="40"/>
        <v>283.40133947156238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5.8</v>
      </c>
      <c r="CT16" s="13">
        <f>IF('Données projet'!$A$140&gt;35,CT15+CS16-DB15,IF(A16&lt;'Données projet'!$A$140,$CQ$205^A16,IF(A16='Données projet'!$A$140,'Données projet'!$B$140,CT15+CS16-DB15)))</f>
        <v>35.4</v>
      </c>
      <c r="CU16" s="18">
        <f>CT16*VLOOKUP('Données projet'!$B$13,Paramètres!$A$1:$I$89,3,0)*VLOOKUP('Données projet'!$B$13,Paramètres!$A$1:$I$89,5,0)</f>
        <v>30.925440000000002</v>
      </c>
      <c r="CV16" s="14">
        <f t="shared" si="41"/>
        <v>9.5586196975402125</v>
      </c>
      <c r="CW16" s="22">
        <f t="shared" si="13"/>
        <v>70.509737306549212</v>
      </c>
      <c r="CX16" s="62">
        <f t="shared" si="14"/>
        <v>343.06529286210474</v>
      </c>
      <c r="CY16" s="62">
        <f ca="1">AVERAGE(OFFSET($CX$3,0,0,'Données projet'!$E$13+1,1))-AVERAGE(OFFSET($H$3,0,0,'Données projet'!$E$13+1,1))</f>
        <v>315.3516976788701</v>
      </c>
      <c r="CZ16" s="62">
        <f t="shared" si="42"/>
        <v>266.32508105927997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12.220408619330426</v>
      </c>
      <c r="EL16" s="14">
        <f t="shared" si="45"/>
        <v>4.2082449797185175</v>
      </c>
      <c r="EM16" s="22">
        <f t="shared" si="19"/>
        <v>28.613238351676909</v>
      </c>
      <c r="EN16" s="62">
        <f t="shared" si="20"/>
        <v>301.16879390723244</v>
      </c>
      <c r="EO16" s="62">
        <f ca="1">AVERAGE(OFFSET($EN$3,0,0,'Données projet'!$E$15+1,1))-AVERAGE(OFFSET($H$3,0,0,'Données projet'!$E$15+1,1))</f>
        <v>502.07782026233912</v>
      </c>
      <c r="EP16" s="62">
        <f t="shared" si="46"/>
        <v>285.83623046025156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2.4358974358974361</v>
      </c>
      <c r="FE16" s="13">
        <f>IF('Données projet'!$A$218&gt;35,FE15+FD16-FM15,IF(A16&lt;'Données projet'!$A$218,$FB$205^A16,IF(A16='Données projet'!$A$218,'Données projet'!$B$218,FE15+FD16-FM15)))</f>
        <v>22.614321200613873</v>
      </c>
      <c r="FF16" s="18">
        <f>FE16*VLOOKUP('Données projet'!$B$16,Paramètres!$A$1:$I$89,3,0)*VLOOKUP('Données projet'!$B$16,Paramètres!$A$1:$I$89,5,0)</f>
        <v>21.519788054504161</v>
      </c>
      <c r="FG16" s="14">
        <f t="shared" si="47"/>
        <v>6.9382143454892127</v>
      </c>
      <c r="FH16" s="22">
        <f t="shared" si="22"/>
        <v>49.564354179988463</v>
      </c>
      <c r="FI16" s="62">
        <f t="shared" si="23"/>
        <v>322.11990973554401</v>
      </c>
      <c r="FJ16" s="62">
        <f ca="1">AVERAGE(OFFSET($FI$3,0,0,'Données projet'!$E$16+1,1))-AVERAGE(OFFSET($H$3,0,0,'Données projet'!$E$16+1,1))</f>
        <v>365.5904647357433</v>
      </c>
      <c r="FK16" s="62">
        <f t="shared" si="48"/>
        <v>256.56280810580841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8</v>
      </c>
      <c r="FZ16" s="13">
        <f>IF('Données projet'!$A$244&gt;35,FZ15+FY16-GH15,IF(A16&lt;'Données projet'!$A$244,$FW$205^A16,IF(A16='Données projet'!$A$244,'Données projet'!$B$244,FZ15+FY16-GH15)))</f>
        <v>33</v>
      </c>
      <c r="GA16" s="18">
        <f>FZ16*VLOOKUP('Données projet'!$B$17,Paramètres!$A$1:$I$89,3,0)*VLOOKUP('Données projet'!$B$17,Paramètres!$A$1:$I$89,5,0)</f>
        <v>26.769600000000001</v>
      </c>
      <c r="GB16" s="14">
        <f t="shared" si="49"/>
        <v>8.4142697673415618</v>
      </c>
      <c r="GC16" s="22">
        <f t="shared" si="25"/>
        <v>61.278573178119878</v>
      </c>
      <c r="GD16" s="62">
        <f t="shared" si="26"/>
        <v>333.83412873367541</v>
      </c>
      <c r="GE16" s="62">
        <f ca="1">AVERAGE(OFFSET($GD$3,0,0,'Données projet'!$E$17+1,1))-AVERAGE(OFFSET($H$3,0,0,'Données projet'!$E$17+1,1))</f>
        <v>256.19915261735281</v>
      </c>
      <c r="GF16" s="62">
        <f t="shared" si="50"/>
        <v>297.47246687305056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4.9084615384615384</v>
      </c>
      <c r="GU16" s="13">
        <f>IF('Données projet'!$A$270&gt;35,GU15+GT16-HC15,IF(A16&lt;'Données projet'!$A$270,$GR$205^A16,IF(A16='Données projet'!$A$270,'Données projet'!$B$270,GU15+GT16-HC15)))</f>
        <v>8.6995251313584792</v>
      </c>
      <c r="GV16" s="18">
        <f>GU16*VLOOKUP('Données projet'!$B$18,Paramètres!$A$1:$I$89,3,0)*VLOOKUP('Données projet'!$B$18,Paramètres!$A$1:$I$89,5,0)</f>
        <v>4.0713777614757687</v>
      </c>
      <c r="GW16" s="14">
        <f t="shared" si="51"/>
        <v>1.5933807498842545</v>
      </c>
      <c r="GX16" s="22">
        <f t="shared" si="28"/>
        <v>9.8661210739520406</v>
      </c>
      <c r="GY16" s="62">
        <f t="shared" si="29"/>
        <v>282.4216766295076</v>
      </c>
      <c r="GZ16" s="62">
        <f ca="1">AVERAGE(OFFSET($GY$3,0,0,'Données projet'!$E$18+1,1))-AVERAGE(OFFSET($H$3,0,0,'Données projet'!$E$18+1,1))</f>
        <v>284.704043530756</v>
      </c>
      <c r="HA16" s="62">
        <f t="shared" si="52"/>
        <v>190.4880882944471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428.8489304403459</v>
      </c>
      <c r="T17" s="62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0.6</v>
      </c>
      <c r="AI17" s="14">
        <f>IF('Données projet'!$A$62&gt;35,AI16+AH17-AQ16,IF(A17&lt;'Données projet'!$A$62,$AF$205^A17,IF(A17='Données projet'!$A$62,'Données projet'!$B$62,AI16+AH17-AQ16)))</f>
        <v>7.7736743261084582</v>
      </c>
      <c r="AJ17" s="14">
        <f>AI17*VLOOKUP('Données projet'!$B$10,Paramètres!$A$1:$I$89,3,0)*VLOOKUP('Données projet'!$B$10,Paramètres!$A$1:$I$89,5,0)</f>
        <v>6.7910818912883508</v>
      </c>
      <c r="AK17" s="14">
        <f t="shared" si="35"/>
        <v>2.5041096194780144</v>
      </c>
      <c r="AL17" s="22">
        <f t="shared" si="4"/>
        <v>16.189125214584752</v>
      </c>
      <c r="AM17" s="62">
        <f t="shared" si="5"/>
        <v>289.96690299236252</v>
      </c>
      <c r="AN17" s="62">
        <f ca="1">AVERAGE(OFFSET($AM$3,0,0,'Données projet'!$E$10+1,1))-AVERAGE(OFFSET($H$3,0,0,'Données projet'!$E$10+1,1))</f>
        <v>274.66236526869056</v>
      </c>
      <c r="AO17" s="62">
        <f t="shared" si="36"/>
        <v>256.90876395053073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13.877539056685173</v>
      </c>
      <c r="BF17" s="14">
        <f t="shared" si="37"/>
        <v>4.7086819085950955</v>
      </c>
      <c r="BG17" s="22">
        <f t="shared" si="7"/>
        <v>32.371001514529802</v>
      </c>
      <c r="BH17" s="62">
        <f t="shared" si="8"/>
        <v>306.14877929230755</v>
      </c>
      <c r="BI17" s="62">
        <f ca="1">AVERAGE(OFFSET($BH$3,0,0,'Données projet'!$E$11+1,1))-AVERAGE(OFFSET($H$3,0,0,'Données projet'!$E$11+1,1))</f>
        <v>475.47920969424894</v>
      </c>
      <c r="BJ17" s="62">
        <f t="shared" si="38"/>
        <v>271.73544012419364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2.0085470085470085</v>
      </c>
      <c r="BY17" s="13">
        <f>IF('Données projet'!$A$114&gt;35,BY16+BX17-CG16,IF(A17&lt;'Données projet'!$A$114,$BV$205^A17,IF(A17='Données projet'!$A$114,'Données projet'!$B$114,BY16+BX17-CG16)))</f>
        <v>24.009053660951697</v>
      </c>
      <c r="BZ17" s="14">
        <f>BY17*VLOOKUP('Données projet'!$B$12,Paramètres!$A$1:$I$89,3,0)*VLOOKUP('Données projet'!$B$12,Paramètres!$A$1:$I$89,5,0)</f>
        <v>25.094262886426712</v>
      </c>
      <c r="CA17" s="14">
        <f t="shared" si="39"/>
        <v>7.9472347747017285</v>
      </c>
      <c r="CB17" s="22">
        <f t="shared" si="10"/>
        <v>57.547275093132022</v>
      </c>
      <c r="CC17" s="62">
        <f t="shared" si="11"/>
        <v>331.32505287090981</v>
      </c>
      <c r="CD17" s="62">
        <f ca="1">AVERAGE(OFFSET($CC$3,0,0,'Données projet'!$E$12+1,1))-AVERAGE(OFFSET($H$3,0,0,'Données projet'!$E$12+1,1))</f>
        <v>490.26236605482961</v>
      </c>
      <c r="CE17" s="62">
        <f t="shared" si="40"/>
        <v>283.40133947156238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5.8</v>
      </c>
      <c r="CT17" s="13">
        <f>IF('Données projet'!$A$140&gt;35,CT16+CS17-DB16,IF(A17&lt;'Données projet'!$A$140,$CQ$205^A17,IF(A17='Données projet'!$A$140,'Données projet'!$B$140,CT16+CS17-DB16)))</f>
        <v>41.199999999999996</v>
      </c>
      <c r="CU17" s="18">
        <f>CT17*VLOOKUP('Données projet'!$B$13,Paramètres!$A$1:$I$89,3,0)*VLOOKUP('Données projet'!$B$13,Paramètres!$A$1:$I$89,5,0)</f>
        <v>35.992319999999999</v>
      </c>
      <c r="CV17" s="14">
        <f t="shared" si="41"/>
        <v>10.929972788578748</v>
      </c>
      <c r="CW17" s="22">
        <f t="shared" si="13"/>
        <v>81.722993273441304</v>
      </c>
      <c r="CX17" s="62">
        <f t="shared" si="14"/>
        <v>355.50077105121909</v>
      </c>
      <c r="CY17" s="62">
        <f ca="1">AVERAGE(OFFSET($CX$3,0,0,'Données projet'!$E$13+1,1))-AVERAGE(OFFSET($H$3,0,0,'Données projet'!$E$13+1,1))</f>
        <v>315.3516976788701</v>
      </c>
      <c r="CZ17" s="62">
        <f t="shared" si="42"/>
        <v>266.32508105927997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14.731541460173487</v>
      </c>
      <c r="EL17" s="14">
        <f t="shared" si="45"/>
        <v>4.9638216355053304</v>
      </c>
      <c r="EM17" s="22">
        <f t="shared" si="19"/>
        <v>34.302757391640604</v>
      </c>
      <c r="EN17" s="62">
        <f t="shared" si="20"/>
        <v>308.0805351694184</v>
      </c>
      <c r="EO17" s="62">
        <f ca="1">AVERAGE(OFFSET($EN$3,0,0,'Données projet'!$E$15+1,1))-AVERAGE(OFFSET($H$3,0,0,'Données projet'!$E$15+1,1))</f>
        <v>502.07782026233912</v>
      </c>
      <c r="EP17" s="62">
        <f t="shared" si="46"/>
        <v>285.83623046025156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2.4358974358974361</v>
      </c>
      <c r="FE17" s="13">
        <f>IF('Données projet'!$A$218&gt;35,FE16+FD17-FM16,IF(A17&lt;'Données projet'!$A$218,$FB$205^A17,IF(A17='Données projet'!$A$218,'Données projet'!$B$218,FE16+FD17-FM16)))</f>
        <v>28.745304058350921</v>
      </c>
      <c r="FF17" s="18">
        <f>FE17*VLOOKUP('Données projet'!$B$16,Paramètres!$A$1:$I$89,3,0)*VLOOKUP('Données projet'!$B$16,Paramètres!$A$1:$I$89,5,0)</f>
        <v>27.354031341926738</v>
      </c>
      <c r="FG17" s="14">
        <f t="shared" si="47"/>
        <v>8.5763820870506962</v>
      </c>
      <c r="FH17" s="22">
        <f t="shared" si="22"/>
        <v>62.578803388802356</v>
      </c>
      <c r="FI17" s="62">
        <f t="shared" si="23"/>
        <v>336.3565811665801</v>
      </c>
      <c r="FJ17" s="62">
        <f ca="1">AVERAGE(OFFSET($FI$3,0,0,'Données projet'!$E$16+1,1))-AVERAGE(OFFSET($H$3,0,0,'Données projet'!$E$16+1,1))</f>
        <v>365.5904647357433</v>
      </c>
      <c r="FK17" s="62">
        <f t="shared" si="48"/>
        <v>256.56280810580841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8</v>
      </c>
      <c r="FZ17" s="13">
        <f>IF('Données projet'!$A$244&gt;35,FZ16+FY17-GH16,IF(A17&lt;'Données projet'!$A$244,$FW$205^A17,IF(A17='Données projet'!$A$244,'Données projet'!$B$244,FZ16+FY17-GH16)))</f>
        <v>41</v>
      </c>
      <c r="GA17" s="18">
        <f>FZ17*VLOOKUP('Données projet'!$B$17,Paramètres!$A$1:$I$89,3,0)*VLOOKUP('Données projet'!$B$17,Paramètres!$A$1:$I$89,5,0)</f>
        <v>33.2592</v>
      </c>
      <c r="GB17" s="14">
        <f t="shared" si="49"/>
        <v>10.193265358024187</v>
      </c>
      <c r="GC17" s="22">
        <f t="shared" si="25"/>
        <v>75.679710498558791</v>
      </c>
      <c r="GD17" s="62">
        <f t="shared" si="26"/>
        <v>349.45748827633656</v>
      </c>
      <c r="GE17" s="62">
        <f ca="1">AVERAGE(OFFSET($GD$3,0,0,'Données projet'!$E$17+1,1))-AVERAGE(OFFSET($H$3,0,0,'Données projet'!$E$17+1,1))</f>
        <v>256.19915261735281</v>
      </c>
      <c r="GF17" s="62">
        <f t="shared" si="50"/>
        <v>297.47246687305056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4.9084615384615384</v>
      </c>
      <c r="GU17" s="13">
        <f>IF('Données projet'!$A$270&gt;35,GU16+GT17-HC16,IF(A17&lt;'Données projet'!$A$270,$GR$205^A17,IF(A17='Données projet'!$A$270,'Données projet'!$B$270,GU16+GT17-HC16)))</f>
        <v>10.27458845259182</v>
      </c>
      <c r="GV17" s="18">
        <f>GU17*VLOOKUP('Données projet'!$B$18,Paramètres!$A$1:$I$89,3,0)*VLOOKUP('Données projet'!$B$18,Paramètres!$A$1:$I$89,5,0)</f>
        <v>4.8085073958129714</v>
      </c>
      <c r="GW17" s="14">
        <f t="shared" si="51"/>
        <v>1.8457647839586531</v>
      </c>
      <c r="GX17" s="22">
        <f t="shared" si="28"/>
        <v>11.589524046435578</v>
      </c>
      <c r="GY17" s="62">
        <f t="shared" si="29"/>
        <v>285.36730182421337</v>
      </c>
      <c r="GZ17" s="62">
        <f ca="1">AVERAGE(OFFSET($GY$3,0,0,'Données projet'!$E$18+1,1))-AVERAGE(OFFSET($H$3,0,0,'Données projet'!$E$18+1,1))</f>
        <v>284.704043530756</v>
      </c>
      <c r="HA17" s="62">
        <f t="shared" si="52"/>
        <v>190.4880882944471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428.8489304403459</v>
      </c>
      <c r="T18" s="62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</v>
      </c>
      <c r="AG18" s="13">
        <f>VLOOKUP(A18,'Données projet'!$A$61:$I$81,9,0)</f>
        <v>0.6</v>
      </c>
      <c r="AH18" s="13">
        <f t="array" ref="AH18">INDEX(AG:AG,MIN(IF(ISNUMBER(AG18:AG214),ROW(AG18:AG214),"")))</f>
        <v>0.6</v>
      </c>
      <c r="AI18" s="14">
        <f>IF('Données projet'!$A$62&gt;35,AI17+AH18-AQ17,IF(A18&lt;'Données projet'!$A$62,$AF$205^A18,IF(A18='Données projet'!$A$62,'Données projet'!$B$62,AI17+AH18-AQ17)))</f>
        <v>9</v>
      </c>
      <c r="AJ18" s="14">
        <f>AI18*VLOOKUP('Données projet'!$B$10,Paramètres!$A$1:$I$89,3,0)*VLOOKUP('Données projet'!$B$10,Paramètres!$A$1:$I$89,5,0)</f>
        <v>7.8624000000000018</v>
      </c>
      <c r="AK18" s="14">
        <f t="shared" si="35"/>
        <v>2.8501294257559766</v>
      </c>
      <c r="AL18" s="22">
        <f t="shared" si="4"/>
        <v>18.657655416524996</v>
      </c>
      <c r="AM18" s="62">
        <f t="shared" si="5"/>
        <v>293.65765541652502</v>
      </c>
      <c r="AN18" s="62">
        <f ca="1">AVERAGE(OFFSET($AM$3,0,0,'Données projet'!$E$10+1,1))-AVERAGE(OFFSET($H$3,0,0,'Données projet'!$E$10+1,1))</f>
        <v>274.66236526869056</v>
      </c>
      <c r="AO18" s="62">
        <f t="shared" si="36"/>
        <v>256.90876395053073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16.729190352551068</v>
      </c>
      <c r="BF18" s="14">
        <f t="shared" si="37"/>
        <v>5.5541103821765283</v>
      </c>
      <c r="BG18" s="22">
        <f t="shared" si="7"/>
        <v>38.810082112983899</v>
      </c>
      <c r="BH18" s="62">
        <f t="shared" si="8"/>
        <v>313.81008211298388</v>
      </c>
      <c r="BI18" s="62">
        <f ca="1">AVERAGE(OFFSET($BH$3,0,0,'Données projet'!$E$11+1,1))-AVERAGE(OFFSET($H$3,0,0,'Données projet'!$E$11+1,1))</f>
        <v>475.47920969424894</v>
      </c>
      <c r="BJ18" s="62">
        <f t="shared" si="38"/>
        <v>271.73544012419364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30.128205128205128</v>
      </c>
      <c r="BW18" s="13">
        <f>VLOOKUP(A18,'Données projet'!$A$113:$I$133,9,0)</f>
        <v>2.0085470085470085</v>
      </c>
      <c r="BX18" s="13">
        <f t="array" ref="BX18">INDEX(BW:BW,MIN(IF(ISNUMBER(BW18:BW214),ROW(BW18:BW214),"")))</f>
        <v>2.0085470085470085</v>
      </c>
      <c r="BY18" s="13">
        <f>IF('Données projet'!$A$114&gt;35,BY17+BX18-CG17,IF(A18&lt;'Données projet'!$A$114,$BV$205^A18,IF(A18='Données projet'!$A$114,'Données projet'!$B$114,BY17+BX18-CG17)))</f>
        <v>30.128205128205128</v>
      </c>
      <c r="BZ18" s="14">
        <f>BY18*VLOOKUP('Données projet'!$B$12,Paramètres!$A$1:$I$89,3,0)*VLOOKUP('Données projet'!$B$12,Paramètres!$A$1:$I$89,5,0)</f>
        <v>31.490000000000006</v>
      </c>
      <c r="CA18" s="14">
        <f t="shared" si="39"/>
        <v>9.7126430402655597</v>
      </c>
      <c r="CB18" s="22">
        <f t="shared" si="10"/>
        <v>71.761269961795847</v>
      </c>
      <c r="CC18" s="62">
        <f t="shared" si="11"/>
        <v>346.76126996179585</v>
      </c>
      <c r="CD18" s="62">
        <f ca="1">AVERAGE(OFFSET($CC$3,0,0,'Données projet'!$E$12+1,1))-AVERAGE(OFFSET($H$3,0,0,'Données projet'!$E$12+1,1))</f>
        <v>490.26236605482961</v>
      </c>
      <c r="CE18" s="62">
        <f t="shared" si="40"/>
        <v>283.40133947156238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47</v>
      </c>
      <c r="CR18" s="13">
        <f>VLOOKUP(A18,'Données projet'!$A$139:$I$159,9,0)</f>
        <v>5.8</v>
      </c>
      <c r="CS18" s="13">
        <f t="array" ref="CS18">INDEX(CR:CR,MIN(IF(ISNUMBER(CR18:CR214),ROW(CR18:CR214),"")))</f>
        <v>5.8</v>
      </c>
      <c r="CT18" s="13">
        <f>IF('Données projet'!$A$140&gt;35,CT17+CS18-DB17,IF(A18&lt;'Données projet'!$A$140,$CQ$205^A18,IF(A18='Données projet'!$A$140,'Données projet'!$B$140,CT17+CS18-DB17)))</f>
        <v>46.999999999999993</v>
      </c>
      <c r="CU18" s="18">
        <f>CT18*VLOOKUP('Données projet'!$B$13,Paramètres!$A$1:$I$89,3,0)*VLOOKUP('Données projet'!$B$13,Paramètres!$A$1:$I$89,5,0)</f>
        <v>41.059200000000004</v>
      </c>
      <c r="CV18" s="14">
        <f t="shared" si="41"/>
        <v>12.278959527914743</v>
      </c>
      <c r="CW18" s="22">
        <f t="shared" si="13"/>
        <v>92.897294511118176</v>
      </c>
      <c r="CX18" s="62">
        <f t="shared" si="14"/>
        <v>367.89729451111816</v>
      </c>
      <c r="CY18" s="62">
        <f ca="1">AVERAGE(OFFSET($CX$3,0,0,'Données projet'!$E$13+1,1))-AVERAGE(OFFSET($H$3,0,0,'Données projet'!$E$13+1,1))</f>
        <v>315.3516976788701</v>
      </c>
      <c r="CZ18" s="62">
        <f t="shared" si="42"/>
        <v>266.32508105927997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17.758678989631132</v>
      </c>
      <c r="EL18" s="14">
        <f t="shared" si="45"/>
        <v>5.8550596146042126</v>
      </c>
      <c r="EM18" s="22">
        <f t="shared" si="19"/>
        <v>41.127261402376554</v>
      </c>
      <c r="EN18" s="62">
        <f t="shared" si="20"/>
        <v>316.12726140237658</v>
      </c>
      <c r="EO18" s="62">
        <f ca="1">AVERAGE(OFFSET($EN$3,0,0,'Données projet'!$E$15+1,1))-AVERAGE(OFFSET($H$3,0,0,'Données projet'!$E$15+1,1))</f>
        <v>502.07782026233912</v>
      </c>
      <c r="EP18" s="62">
        <f t="shared" si="46"/>
        <v>285.83623046025156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36.53846153846154</v>
      </c>
      <c r="FC18" s="13">
        <f>VLOOKUP(A18,'Données projet'!$A$217:$I$237,9,0)</f>
        <v>2.4358974358974361</v>
      </c>
      <c r="FD18" s="13">
        <f t="array" ref="FD18">INDEX(FC:FC,MIN(IF(ISNUMBER(FC18:FC214),ROW(FC18:FC214),"")))</f>
        <v>2.4358974358974361</v>
      </c>
      <c r="FE18" s="13">
        <f>IF('Données projet'!$A$218&gt;35,FE17+FD18-FM17,IF(A18&lt;'Données projet'!$A$218,$FB$205^A18,IF(A18='Données projet'!$A$218,'Données projet'!$B$218,FE17+FD18-FM17)))</f>
        <v>36.53846153846154</v>
      </c>
      <c r="FF18" s="18">
        <f>FE18*VLOOKUP('Données projet'!$B$16,Paramètres!$A$1:$I$89,3,0)*VLOOKUP('Données projet'!$B$16,Paramètres!$A$1:$I$89,5,0)</f>
        <v>34.770000000000003</v>
      </c>
      <c r="FG18" s="14">
        <f t="shared" si="47"/>
        <v>10.601334297333203</v>
      </c>
      <c r="FH18" s="22">
        <f t="shared" si="22"/>
        <v>79.021740567855332</v>
      </c>
      <c r="FI18" s="62">
        <f t="shared" si="23"/>
        <v>354.02174056785532</v>
      </c>
      <c r="FJ18" s="62">
        <f ca="1">AVERAGE(OFFSET($FI$3,0,0,'Données projet'!$E$16+1,1))-AVERAGE(OFFSET($H$3,0,0,'Données projet'!$E$16+1,1))</f>
        <v>365.5904647357433</v>
      </c>
      <c r="FK18" s="62">
        <f t="shared" si="48"/>
        <v>256.56280810580841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49</v>
      </c>
      <c r="FX18" s="13">
        <f>VLOOKUP(A18,'Données projet'!$A$243:$I$263,9,0)</f>
        <v>8</v>
      </c>
      <c r="FY18" s="13">
        <f t="array" ref="FY18">INDEX(FX:FX,MIN(IF(ISNUMBER(FX18:FX214),ROW(FX18:FX214),"")))</f>
        <v>8</v>
      </c>
      <c r="FZ18" s="13">
        <f>IF('Données projet'!$A$244&gt;35,FZ17+FY18-GH17,IF(A18&lt;'Données projet'!$A$244,$FW$205^A18,IF(A18='Données projet'!$A$244,'Données projet'!$B$244,FZ17+FY18-GH17)))</f>
        <v>49</v>
      </c>
      <c r="GA18" s="18">
        <f>FZ18*VLOOKUP('Données projet'!$B$17,Paramètres!$A$1:$I$89,3,0)*VLOOKUP('Données projet'!$B$17,Paramètres!$A$1:$I$89,5,0)</f>
        <v>39.748800000000003</v>
      </c>
      <c r="GB18" s="14">
        <f t="shared" si="49"/>
        <v>11.932041927023215</v>
      </c>
      <c r="GC18" s="22">
        <f t="shared" si="25"/>
        <v>90.010799689565431</v>
      </c>
      <c r="GD18" s="62">
        <f t="shared" si="26"/>
        <v>365.01079968956543</v>
      </c>
      <c r="GE18" s="62">
        <f ca="1">AVERAGE(OFFSET($GD$3,0,0,'Données projet'!$E$17+1,1))-AVERAGE(OFFSET($H$3,0,0,'Données projet'!$E$17+1,1))</f>
        <v>256.19915261735281</v>
      </c>
      <c r="GF18" s="62">
        <f t="shared" si="50"/>
        <v>297.47246687305056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4.9084615384615384</v>
      </c>
      <c r="GU18" s="13">
        <f>IF('Données projet'!$A$270&gt;35,GU17+GT18-HC17,IF(A18&lt;'Données projet'!$A$270,$GR$205^A18,IF(A18='Données projet'!$A$270,'Données projet'!$B$270,GU17+GT18-HC17)))</f>
        <v>12.134819576485119</v>
      </c>
      <c r="GV18" s="18">
        <f>GU18*VLOOKUP('Données projet'!$B$18,Paramètres!$A$1:$I$89,3,0)*VLOOKUP('Données projet'!$B$18,Paramètres!$A$1:$I$89,5,0)</f>
        <v>5.6790955617950356</v>
      </c>
      <c r="GW18" s="14">
        <f t="shared" si="51"/>
        <v>2.1381252647550886</v>
      </c>
      <c r="GX18" s="22">
        <f t="shared" si="28"/>
        <v>13.614992939574798</v>
      </c>
      <c r="GY18" s="62">
        <f t="shared" si="29"/>
        <v>288.61499293957479</v>
      </c>
      <c r="GZ18" s="62">
        <f ca="1">AVERAGE(OFFSET($GY$3,0,0,'Données projet'!$E$18+1,1))-AVERAGE(OFFSET($H$3,0,0,'Données projet'!$E$18+1,1))</f>
        <v>284.704043530756</v>
      </c>
      <c r="HA18" s="62">
        <f t="shared" si="52"/>
        <v>190.4880882944471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428.8489304403459</v>
      </c>
      <c r="T19" s="62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18.600000000000001</v>
      </c>
      <c r="AJ19" s="14">
        <f>AI19*VLOOKUP('Données projet'!$B$10,Paramètres!$A$1:$I$89,3,0)*VLOOKUP('Données projet'!$B$10,Paramètres!$A$1:$I$89,5,0)</f>
        <v>16.248960000000004</v>
      </c>
      <c r="AK19" s="14">
        <f t="shared" si="35"/>
        <v>5.4129939058841199</v>
      </c>
      <c r="AL19" s="22">
        <f t="shared" si="4"/>
        <v>37.727903052748182</v>
      </c>
      <c r="AM19" s="62">
        <f t="shared" si="5"/>
        <v>313.95012527497039</v>
      </c>
      <c r="AN19" s="62">
        <f ca="1">AVERAGE(OFFSET($AM$3,0,0,'Données projet'!$E$10+1,1))-AVERAGE(OFFSET($H$3,0,0,'Données projet'!$E$10+1,1))</f>
        <v>274.66236526869056</v>
      </c>
      <c r="AO19" s="62">
        <f t="shared" si="36"/>
        <v>256.90876395053073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20.166818389681932</v>
      </c>
      <c r="BF19" s="14">
        <f t="shared" si="37"/>
        <v>6.5513327797938032</v>
      </c>
      <c r="BG19" s="22">
        <f t="shared" si="7"/>
        <v>46.534113286836906</v>
      </c>
      <c r="BH19" s="62">
        <f t="shared" si="8"/>
        <v>322.75633550905911</v>
      </c>
      <c r="BI19" s="62">
        <f ca="1">AVERAGE(OFFSET($BH$3,0,0,'Données projet'!$E$11+1,1))-AVERAGE(OFFSET($H$3,0,0,'Données projet'!$E$11+1,1))</f>
        <v>475.47920969424894</v>
      </c>
      <c r="BJ19" s="62">
        <f t="shared" si="38"/>
        <v>271.73544012419364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4.9999999999999991</v>
      </c>
      <c r="BY19" s="13">
        <f>IF('Données projet'!$A$114&gt;35,BY18+BX19-CG18,IF(A19&lt;'Données projet'!$A$114,$BV$205^A19,IF(A19='Données projet'!$A$114,'Données projet'!$B$114,BY18+BX19-CG18)))</f>
        <v>35.128205128205124</v>
      </c>
      <c r="BZ19" s="14">
        <f>BY19*VLOOKUP('Données projet'!$B$12,Paramètres!$A$1:$I$89,3,0)*VLOOKUP('Données projet'!$B$12,Paramètres!$A$1:$I$89,5,0)</f>
        <v>36.716000000000001</v>
      </c>
      <c r="CA19" s="14">
        <f t="shared" si="39"/>
        <v>11.123930376890504</v>
      </c>
      <c r="CB19" s="22">
        <f t="shared" si="10"/>
        <v>83.321212073084297</v>
      </c>
      <c r="CC19" s="62">
        <f t="shared" si="11"/>
        <v>359.5434342953065</v>
      </c>
      <c r="CD19" s="62">
        <f ca="1">AVERAGE(OFFSET($CC$3,0,0,'Données projet'!$E$12+1,1))-AVERAGE(OFFSET($H$3,0,0,'Données projet'!$E$12+1,1))</f>
        <v>490.26236605482961</v>
      </c>
      <c r="CE19" s="62">
        <f t="shared" si="40"/>
        <v>283.40133947156238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</v>
      </c>
      <c r="CT19" s="13">
        <f>IF('Données projet'!$A$140&gt;35,CT18+CS19-DB18,IF(A19&lt;'Données projet'!$A$140,$CQ$205^A19,IF(A19='Données projet'!$A$140,'Données projet'!$B$140,CT18+CS19-DB18)))</f>
        <v>54.999999999999993</v>
      </c>
      <c r="CU19" s="18">
        <f>CT19*VLOOKUP('Données projet'!$B$13,Paramètres!$A$1:$I$89,3,0)*VLOOKUP('Données projet'!$B$13,Paramètres!$A$1:$I$89,5,0)</f>
        <v>48.048000000000002</v>
      </c>
      <c r="CV19" s="14">
        <f t="shared" si="41"/>
        <v>14.108484750160615</v>
      </c>
      <c r="CW19" s="22">
        <f t="shared" si="13"/>
        <v>108.25587760652974</v>
      </c>
      <c r="CX19" s="62">
        <f t="shared" si="14"/>
        <v>384.47809982875197</v>
      </c>
      <c r="CY19" s="62">
        <f ca="1">AVERAGE(OFFSET($CX$3,0,0,'Données projet'!$E$13+1,1))-AVERAGE(OFFSET($H$3,0,0,'Données projet'!$E$13+1,1))</f>
        <v>315.3516976788701</v>
      </c>
      <c r="CZ19" s="62">
        <f t="shared" si="42"/>
        <v>266.32508105927997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21.407853367508512</v>
      </c>
      <c r="EL19" s="14">
        <f t="shared" si="45"/>
        <v>6.906316464991046</v>
      </c>
      <c r="EM19" s="22">
        <f t="shared" si="19"/>
        <v>49.313845791603399</v>
      </c>
      <c r="EN19" s="62">
        <f t="shared" si="20"/>
        <v>325.53606801382563</v>
      </c>
      <c r="EO19" s="62">
        <f ca="1">AVERAGE(OFFSET($EN$3,0,0,'Données projet'!$E$15+1,1))-AVERAGE(OFFSET($H$3,0,0,'Données projet'!$E$15+1,1))</f>
        <v>502.07782026233912</v>
      </c>
      <c r="EP19" s="62">
        <f t="shared" si="46"/>
        <v>285.83623046025156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6.2820512820512802</v>
      </c>
      <c r="FE19" s="13">
        <f>IF('Données projet'!$A$218&gt;35,FE18+FD19-FM18,IF(A19&lt;'Données projet'!$A$218,$FB$205^A19,IF(A19='Données projet'!$A$218,'Données projet'!$B$218,FE18+FD19-FM18)))</f>
        <v>42.820512820512818</v>
      </c>
      <c r="FF19" s="18">
        <f>FE19*VLOOKUP('Données projet'!$B$16,Paramètres!$A$1:$I$89,3,0)*VLOOKUP('Données projet'!$B$16,Paramètres!$A$1:$I$89,5,0)</f>
        <v>40.747999999999998</v>
      </c>
      <c r="FG19" s="14">
        <f t="shared" si="47"/>
        <v>12.196690104400222</v>
      </c>
      <c r="FH19" s="22">
        <f t="shared" si="22"/>
        <v>92.212001931830386</v>
      </c>
      <c r="FI19" s="62">
        <f t="shared" si="23"/>
        <v>368.43422415405263</v>
      </c>
      <c r="FJ19" s="62">
        <f ca="1">AVERAGE(OFFSET($FI$3,0,0,'Données projet'!$E$16+1,1))-AVERAGE(OFFSET($H$3,0,0,'Données projet'!$E$16+1,1))</f>
        <v>365.5904647357433</v>
      </c>
      <c r="FK19" s="62">
        <f t="shared" si="48"/>
        <v>256.56280810580841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10</v>
      </c>
      <c r="FZ19" s="13">
        <f>IF('Données projet'!$A$244&gt;35,FZ18+FY19-GH18,IF(A19&lt;'Données projet'!$A$244,$FW$205^A19,IF(A19='Données projet'!$A$244,'Données projet'!$B$244,FZ18+FY19-GH18)))</f>
        <v>59</v>
      </c>
      <c r="GA19" s="18">
        <f>FZ19*VLOOKUP('Données projet'!$B$17,Paramètres!$A$1:$I$89,3,0)*VLOOKUP('Données projet'!$B$17,Paramètres!$A$1:$I$89,5,0)</f>
        <v>47.860800000000005</v>
      </c>
      <c r="GB19" s="14">
        <f t="shared" si="49"/>
        <v>14.059903887836867</v>
      </c>
      <c r="GC19" s="22">
        <f t="shared" si="25"/>
        <v>107.84522593798255</v>
      </c>
      <c r="GD19" s="62">
        <f t="shared" si="26"/>
        <v>384.06744816020478</v>
      </c>
      <c r="GE19" s="62">
        <f ca="1">AVERAGE(OFFSET($GD$3,0,0,'Données projet'!$E$17+1,1))-AVERAGE(OFFSET($H$3,0,0,'Données projet'!$E$17+1,1))</f>
        <v>256.19915261735281</v>
      </c>
      <c r="GF19" s="62">
        <f t="shared" si="50"/>
        <v>297.47246687305056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4.9084615384615384</v>
      </c>
      <c r="GU19" s="13">
        <f>IF('Données projet'!$A$270&gt;35,GU18+GT19-HC18,IF(A19&lt;'Données projet'!$A$270,$GR$205^A19,IF(A19='Données projet'!$A$270,'Données projet'!$B$270,GU18+GT19-HC18)))</f>
        <v>14.331848602335111</v>
      </c>
      <c r="GV19" s="18">
        <f>GU19*VLOOKUP('Données projet'!$B$18,Paramètres!$A$1:$I$89,3,0)*VLOOKUP('Données projet'!$B$18,Paramètres!$A$1:$I$89,5,0)</f>
        <v>6.7073051458928319</v>
      </c>
      <c r="GW19" s="14">
        <f t="shared" si="51"/>
        <v>2.4767942738506736</v>
      </c>
      <c r="GX19" s="22">
        <f t="shared" si="28"/>
        <v>15.995639822719939</v>
      </c>
      <c r="GY19" s="62">
        <f t="shared" si="29"/>
        <v>292.21786204494219</v>
      </c>
      <c r="GZ19" s="62">
        <f ca="1">AVERAGE(OFFSET($GY$3,0,0,'Données projet'!$E$18+1,1))-AVERAGE(OFFSET($H$3,0,0,'Données projet'!$E$18+1,1))</f>
        <v>284.704043530756</v>
      </c>
      <c r="HA19" s="62">
        <f t="shared" si="52"/>
        <v>190.4880882944471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428.8489304403459</v>
      </c>
      <c r="T20" s="62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28.200000000000003</v>
      </c>
      <c r="AJ20" s="14">
        <f>AI20*VLOOKUP('Données projet'!$B$10,Paramètres!$A$1:$I$89,3,0)*VLOOKUP('Données projet'!$B$10,Paramètres!$A$1:$I$89,5,0)</f>
        <v>24.635520000000007</v>
      </c>
      <c r="AK20" s="14">
        <f t="shared" si="35"/>
        <v>7.8187263384607988</v>
      </c>
      <c r="AL20" s="22">
        <f t="shared" si="4"/>
        <v>56.524479039485897</v>
      </c>
      <c r="AM20" s="62">
        <f t="shared" si="5"/>
        <v>333.96892348393033</v>
      </c>
      <c r="AN20" s="62">
        <f ca="1">AVERAGE(OFFSET($AM$3,0,0,'Données projet'!$E$10+1,1))-AVERAGE(OFFSET($H$3,0,0,'Données projet'!$E$10+1,1))</f>
        <v>274.66236526869056</v>
      </c>
      <c r="AO20" s="62">
        <f t="shared" si="36"/>
        <v>256.90876395053073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24.31083366209619</v>
      </c>
      <c r="BF20" s="14">
        <f t="shared" si="37"/>
        <v>7.7276032052466093</v>
      </c>
      <c r="BG20" s="22">
        <f t="shared" si="7"/>
        <v>55.800277543955367</v>
      </c>
      <c r="BH20" s="62">
        <f t="shared" si="8"/>
        <v>333.24472198839982</v>
      </c>
      <c r="BI20" s="62">
        <f ca="1">AVERAGE(OFFSET($BH$3,0,0,'Données projet'!$E$11+1,1))-AVERAGE(OFFSET($H$3,0,0,'Données projet'!$E$11+1,1))</f>
        <v>475.47920969424894</v>
      </c>
      <c r="BJ20" s="62">
        <f t="shared" si="38"/>
        <v>271.73544012419364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4.9999999999999991</v>
      </c>
      <c r="BY20" s="13">
        <f>IF('Données projet'!$A$114&gt;35,BY19+BX20-CG19,IF(A20&lt;'Données projet'!$A$114,$BV$205^A20,IF(A20='Données projet'!$A$114,'Données projet'!$B$114,BY19+BX20-CG19)))</f>
        <v>40.128205128205124</v>
      </c>
      <c r="BZ20" s="14">
        <f>BY20*VLOOKUP('Données projet'!$B$12,Paramètres!$A$1:$I$89,3,0)*VLOOKUP('Données projet'!$B$12,Paramètres!$A$1:$I$89,5,0)</f>
        <v>41.942</v>
      </c>
      <c r="CA20" s="14">
        <f t="shared" si="39"/>
        <v>12.511945423855229</v>
      </c>
      <c r="CB20" s="22">
        <f t="shared" si="10"/>
        <v>94.840621613214523</v>
      </c>
      <c r="CC20" s="62">
        <f t="shared" si="11"/>
        <v>372.28506605765898</v>
      </c>
      <c r="CD20" s="62">
        <f ca="1">AVERAGE(OFFSET($CC$3,0,0,'Données projet'!$E$12+1,1))-AVERAGE(OFFSET($H$3,0,0,'Données projet'!$E$12+1,1))</f>
        <v>490.26236605482961</v>
      </c>
      <c r="CE20" s="62">
        <f t="shared" si="40"/>
        <v>283.40133947156238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</v>
      </c>
      <c r="CT20" s="13">
        <f>IF('Données projet'!$A$140&gt;35,CT19+CS20-DB19,IF(A20&lt;'Données projet'!$A$140,$CQ$205^A20,IF(A20='Données projet'!$A$140,'Données projet'!$B$140,CT19+CS20-DB19)))</f>
        <v>62.999999999999993</v>
      </c>
      <c r="CU20" s="18">
        <f>CT20*VLOOKUP('Données projet'!$B$13,Paramètres!$A$1:$I$89,3,0)*VLOOKUP('Données projet'!$B$13,Paramètres!$A$1:$I$89,5,0)</f>
        <v>55.036800000000007</v>
      </c>
      <c r="CV20" s="14">
        <f t="shared" si="41"/>
        <v>15.907180538864345</v>
      </c>
      <c r="CW20" s="22">
        <f t="shared" si="13"/>
        <v>123.56076610518875</v>
      </c>
      <c r="CX20" s="62">
        <f t="shared" si="14"/>
        <v>401.0052105496332</v>
      </c>
      <c r="CY20" s="62">
        <f ca="1">AVERAGE(OFFSET($CX$3,0,0,'Données projet'!$E$13+1,1))-AVERAGE(OFFSET($H$3,0,0,'Données projet'!$E$13+1,1))</f>
        <v>315.3516976788701</v>
      </c>
      <c r="CZ20" s="62">
        <f t="shared" si="42"/>
        <v>266.32508105927997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25.80688496437903</v>
      </c>
      <c r="EL20" s="14">
        <f t="shared" si="45"/>
        <v>8.146323052908933</v>
      </c>
      <c r="EM20" s="22">
        <f t="shared" si="19"/>
        <v>59.135170630109862</v>
      </c>
      <c r="EN20" s="62">
        <f t="shared" si="20"/>
        <v>336.57961507455434</v>
      </c>
      <c r="EO20" s="62">
        <f ca="1">AVERAGE(OFFSET($EN$3,0,0,'Données projet'!$E$15+1,1))-AVERAGE(OFFSET($H$3,0,0,'Données projet'!$E$15+1,1))</f>
        <v>502.07782026233912</v>
      </c>
      <c r="EP20" s="62">
        <f t="shared" si="46"/>
        <v>285.83623046025156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6.2820512820512802</v>
      </c>
      <c r="FE20" s="13">
        <f>IF('Données projet'!$A$218&gt;35,FE19+FD20-FM19,IF(A20&lt;'Données projet'!$A$218,$FB$205^A20,IF(A20='Données projet'!$A$218,'Données projet'!$B$218,FE19+FD20-FM19)))</f>
        <v>49.102564102564095</v>
      </c>
      <c r="FF20" s="18">
        <f>FE20*VLOOKUP('Données projet'!$B$16,Paramètres!$A$1:$I$89,3,0)*VLOOKUP('Données projet'!$B$16,Paramètres!$A$1:$I$89,5,0)</f>
        <v>46.725999999999992</v>
      </c>
      <c r="FG20" s="14">
        <f t="shared" si="47"/>
        <v>13.764931291666562</v>
      </c>
      <c r="FH20" s="22">
        <f t="shared" si="22"/>
        <v>105.35503866631923</v>
      </c>
      <c r="FI20" s="62">
        <f t="shared" si="23"/>
        <v>382.79948311076367</v>
      </c>
      <c r="FJ20" s="62">
        <f ca="1">AVERAGE(OFFSET($FI$3,0,0,'Données projet'!$E$16+1,1))-AVERAGE(OFFSET($H$3,0,0,'Données projet'!$E$16+1,1))</f>
        <v>365.5904647357433</v>
      </c>
      <c r="FK20" s="62">
        <f t="shared" si="48"/>
        <v>256.56280810580841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10</v>
      </c>
      <c r="FZ20" s="13">
        <f>IF('Données projet'!$A$244&gt;35,FZ19+FY20-GH19,IF(A20&lt;'Données projet'!$A$244,$FW$205^A20,IF(A20='Données projet'!$A$244,'Données projet'!$B$244,FZ19+FY20-GH19)))</f>
        <v>69</v>
      </c>
      <c r="GA20" s="18">
        <f>FZ20*VLOOKUP('Données projet'!$B$17,Paramètres!$A$1:$I$89,3,0)*VLOOKUP('Données projet'!$B$17,Paramètres!$A$1:$I$89,5,0)</f>
        <v>55.972800000000007</v>
      </c>
      <c r="GB20" s="14">
        <f t="shared" si="49"/>
        <v>16.145985978099571</v>
      </c>
      <c r="GC20" s="22">
        <f t="shared" si="25"/>
        <v>125.60688557852342</v>
      </c>
      <c r="GD20" s="62">
        <f t="shared" si="26"/>
        <v>403.05133002296787</v>
      </c>
      <c r="GE20" s="62">
        <f ca="1">AVERAGE(OFFSET($GD$3,0,0,'Données projet'!$E$17+1,1))-AVERAGE(OFFSET($H$3,0,0,'Données projet'!$E$17+1,1))</f>
        <v>256.19915261735281</v>
      </c>
      <c r="GF20" s="62">
        <f t="shared" si="50"/>
        <v>297.47246687305056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4.9084615384615384</v>
      </c>
      <c r="GU20" s="13">
        <f>IF('Données projet'!$A$270&gt;35,GU19+GT20-HC19,IF(A20&lt;'Données projet'!$A$270,$GR$205^A20,IF(A20='Données projet'!$A$270,'Données projet'!$B$270,GU19+GT20-HC19)))</f>
        <v>16.926653343761537</v>
      </c>
      <c r="GV20" s="18">
        <f>GU20*VLOOKUP('Données projet'!$B$18,Paramètres!$A$1:$I$89,3,0)*VLOOKUP('Données projet'!$B$18,Paramètres!$A$1:$I$89,5,0)</f>
        <v>7.9216737648803992</v>
      </c>
      <c r="GW20" s="14">
        <f t="shared" si="51"/>
        <v>2.8691068648319642</v>
      </c>
      <c r="GX20" s="22">
        <f t="shared" si="28"/>
        <v>18.793942930082366</v>
      </c>
      <c r="GY20" s="62">
        <f t="shared" si="29"/>
        <v>296.23838737452684</v>
      </c>
      <c r="GZ20" s="62">
        <f ca="1">AVERAGE(OFFSET($GY$3,0,0,'Données projet'!$E$18+1,1))-AVERAGE(OFFSET($H$3,0,0,'Données projet'!$E$18+1,1))</f>
        <v>284.704043530756</v>
      </c>
      <c r="HA20" s="62">
        <f t="shared" si="52"/>
        <v>190.4880882944471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428.8489304403459</v>
      </c>
      <c r="T21" s="62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37.800000000000004</v>
      </c>
      <c r="AJ21" s="14">
        <f>AI21*VLOOKUP('Données projet'!$B$10,Paramètres!$A$1:$I$89,3,0)*VLOOKUP('Données projet'!$B$10,Paramètres!$A$1:$I$89,5,0)</f>
        <v>33.022080000000003</v>
      </c>
      <c r="AK21" s="14">
        <f t="shared" si="35"/>
        <v>10.129025278332465</v>
      </c>
      <c r="AL21" s="22">
        <f t="shared" si="4"/>
        <v>75.154841693095705</v>
      </c>
      <c r="AM21" s="62">
        <f t="shared" si="5"/>
        <v>353.82150835976239</v>
      </c>
      <c r="AN21" s="62">
        <f ca="1">AVERAGE(OFFSET($AM$3,0,0,'Données projet'!$E$10+1,1))-AVERAGE(OFFSET($H$3,0,0,'Données projet'!$E$10+1,1))</f>
        <v>274.66236526869056</v>
      </c>
      <c r="AO21" s="62">
        <f t="shared" si="36"/>
        <v>256.90876395053073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29.306389432677911</v>
      </c>
      <c r="BF21" s="14">
        <f t="shared" si="37"/>
        <v>9.1150691477493808</v>
      </c>
      <c r="BG21" s="22">
        <f t="shared" si="7"/>
        <v>66.917373694244205</v>
      </c>
      <c r="BH21" s="62">
        <f t="shared" si="8"/>
        <v>345.58404036091088</v>
      </c>
      <c r="BI21" s="62">
        <f ca="1">AVERAGE(OFFSET($BH$3,0,0,'Données projet'!$E$11+1,1))-AVERAGE(OFFSET($H$3,0,0,'Données projet'!$E$11+1,1))</f>
        <v>475.47920969424894</v>
      </c>
      <c r="BJ21" s="62">
        <f t="shared" si="38"/>
        <v>271.73544012419364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4.9999999999999991</v>
      </c>
      <c r="BY21" s="13">
        <f>IF('Données projet'!$A$114&gt;35,BY20+BX21-CG20,IF(A21&lt;'Données projet'!$A$114,$BV$205^A21,IF(A21='Données projet'!$A$114,'Données projet'!$B$114,BY20+BX21-CG20)))</f>
        <v>45.128205128205124</v>
      </c>
      <c r="BZ21" s="14">
        <f>BY21*VLOOKUP('Données projet'!$B$12,Paramètres!$A$1:$I$89,3,0)*VLOOKUP('Données projet'!$B$12,Paramètres!$A$1:$I$89,5,0)</f>
        <v>47.167999999999999</v>
      </c>
      <c r="CA21" s="14">
        <f t="shared" si="39"/>
        <v>13.879919973811372</v>
      </c>
      <c r="CB21" s="22">
        <f t="shared" si="10"/>
        <v>106.32512728772149</v>
      </c>
      <c r="CC21" s="62">
        <f t="shared" si="11"/>
        <v>384.99179395438819</v>
      </c>
      <c r="CD21" s="62">
        <f ca="1">AVERAGE(OFFSET($CC$3,0,0,'Données projet'!$E$12+1,1))-AVERAGE(OFFSET($H$3,0,0,'Données projet'!$E$12+1,1))</f>
        <v>490.26236605482961</v>
      </c>
      <c r="CE21" s="62">
        <f t="shared" si="40"/>
        <v>283.40133947156238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</v>
      </c>
      <c r="CT21" s="13">
        <f>IF('Données projet'!$A$140&gt;35,CT20+CS21-DB20,IF(A21&lt;'Données projet'!$A$140,$CQ$205^A21,IF(A21='Données projet'!$A$140,'Données projet'!$B$140,CT20+CS21-DB20)))</f>
        <v>71</v>
      </c>
      <c r="CU21" s="18">
        <f>CT21*VLOOKUP('Données projet'!$B$13,Paramètres!$A$1:$I$89,3,0)*VLOOKUP('Données projet'!$B$13,Paramètres!$A$1:$I$89,5,0)</f>
        <v>62.025600000000011</v>
      </c>
      <c r="CV21" s="14">
        <f t="shared" si="41"/>
        <v>17.679410406677221</v>
      </c>
      <c r="CW21" s="22">
        <f t="shared" si="13"/>
        <v>138.8195597916295</v>
      </c>
      <c r="CX21" s="62">
        <f t="shared" si="14"/>
        <v>417.48622645829619</v>
      </c>
      <c r="CY21" s="62">
        <f ca="1">AVERAGE(OFFSET($CX$3,0,0,'Données projet'!$E$13+1,1))-AVERAGE(OFFSET($H$3,0,0,'Données projet'!$E$13+1,1))</f>
        <v>315.3516976788701</v>
      </c>
      <c r="CZ21" s="62">
        <f t="shared" si="42"/>
        <v>266.32508105927997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31.109859551611933</v>
      </c>
      <c r="EL21" s="14">
        <f t="shared" si="45"/>
        <v>9.6089687778941872</v>
      </c>
      <c r="EM21" s="22">
        <f t="shared" si="19"/>
        <v>70.918626007223153</v>
      </c>
      <c r="EN21" s="62">
        <f t="shared" si="20"/>
        <v>349.58529267388985</v>
      </c>
      <c r="EO21" s="62">
        <f ca="1">AVERAGE(OFFSET($EN$3,0,0,'Données projet'!$E$15+1,1))-AVERAGE(OFFSET($H$3,0,0,'Données projet'!$E$15+1,1))</f>
        <v>502.07782026233912</v>
      </c>
      <c r="EP21" s="62">
        <f t="shared" si="46"/>
        <v>285.83623046025156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6.2820512820512802</v>
      </c>
      <c r="FE21" s="13">
        <f>IF('Données projet'!$A$218&gt;35,FE20+FD21-FM20,IF(A21&lt;'Données projet'!$A$218,$FB$205^A21,IF(A21='Données projet'!$A$218,'Données projet'!$B$218,FE20+FD21-FM20)))</f>
        <v>55.384615384615373</v>
      </c>
      <c r="FF21" s="18">
        <f>FE21*VLOOKUP('Données projet'!$B$16,Paramètres!$A$1:$I$89,3,0)*VLOOKUP('Données projet'!$B$16,Paramètres!$A$1:$I$89,5,0)</f>
        <v>52.703999999999994</v>
      </c>
      <c r="FG21" s="14">
        <f t="shared" si="47"/>
        <v>15.30992453291827</v>
      </c>
      <c r="FH21" s="22">
        <f t="shared" si="22"/>
        <v>118.45758522816597</v>
      </c>
      <c r="FI21" s="62">
        <f t="shared" si="23"/>
        <v>397.12425189483264</v>
      </c>
      <c r="FJ21" s="62">
        <f ca="1">AVERAGE(OFFSET($FI$3,0,0,'Données projet'!$E$16+1,1))-AVERAGE(OFFSET($H$3,0,0,'Données projet'!$E$16+1,1))</f>
        <v>365.5904647357433</v>
      </c>
      <c r="FK21" s="62">
        <f t="shared" si="48"/>
        <v>256.56280810580841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10</v>
      </c>
      <c r="FZ21" s="13">
        <f>IF('Données projet'!$A$244&gt;35,FZ20+FY21-GH20,IF(A21&lt;'Données projet'!$A$244,$FW$205^A21,IF(A21='Données projet'!$A$244,'Données projet'!$B$244,FZ20+FY21-GH20)))</f>
        <v>79</v>
      </c>
      <c r="GA21" s="18">
        <f>FZ21*VLOOKUP('Données projet'!$B$17,Paramètres!$A$1:$I$89,3,0)*VLOOKUP('Données projet'!$B$17,Paramètres!$A$1:$I$89,5,0)</f>
        <v>64.084800000000001</v>
      </c>
      <c r="GB21" s="14">
        <f t="shared" si="49"/>
        <v>18.197042620605469</v>
      </c>
      <c r="GC21" s="22">
        <f t="shared" si="25"/>
        <v>143.30754256422119</v>
      </c>
      <c r="GD21" s="62">
        <f t="shared" si="26"/>
        <v>421.97420923088788</v>
      </c>
      <c r="GE21" s="62">
        <f ca="1">AVERAGE(OFFSET($GD$3,0,0,'Données projet'!$E$17+1,1))-AVERAGE(OFFSET($H$3,0,0,'Données projet'!$E$17+1,1))</f>
        <v>256.19915261735281</v>
      </c>
      <c r="GF21" s="62">
        <f t="shared" si="50"/>
        <v>297.47246687305056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4.9084615384615384</v>
      </c>
      <c r="GU21" s="13">
        <f>IF('Données projet'!$A$270&gt;35,GU20+GT21-HC20,IF(A21&lt;'Données projet'!$A$270,$GR$205^A21,IF(A21='Données projet'!$A$270,'Données projet'!$B$270,GU20+GT21-HC20)))</f>
        <v>19.991251747746755</v>
      </c>
      <c r="GV21" s="18">
        <f>GU21*VLOOKUP('Données projet'!$B$18,Paramètres!$A$1:$I$89,3,0)*VLOOKUP('Données projet'!$B$18,Paramètres!$A$1:$I$89,5,0)</f>
        <v>9.3559058179454802</v>
      </c>
      <c r="GW21" s="14">
        <f t="shared" si="51"/>
        <v>3.3235599293549551</v>
      </c>
      <c r="GX21" s="22">
        <f t="shared" si="28"/>
        <v>22.083402843214927</v>
      </c>
      <c r="GY21" s="62">
        <f t="shared" si="29"/>
        <v>300.7500695098816</v>
      </c>
      <c r="GZ21" s="62">
        <f ca="1">AVERAGE(OFFSET($GY$3,0,0,'Données projet'!$E$18+1,1))-AVERAGE(OFFSET($H$3,0,0,'Données projet'!$E$18+1,1))</f>
        <v>284.704043530756</v>
      </c>
      <c r="HA21" s="62">
        <f t="shared" si="52"/>
        <v>190.4880882944471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428.8489304403459</v>
      </c>
      <c r="T22" s="62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47.400000000000006</v>
      </c>
      <c r="AJ22" s="14">
        <f>AI22*VLOOKUP('Données projet'!$B$10,Paramètres!$A$1:$I$89,3,0)*VLOOKUP('Données projet'!$B$10,Paramètres!$A$1:$I$89,5,0)</f>
        <v>41.408640000000005</v>
      </c>
      <c r="AK22" s="14">
        <f t="shared" si="35"/>
        <v>12.371251711099637</v>
      </c>
      <c r="AL22" s="22">
        <f t="shared" si="4"/>
        <v>93.666644730165203</v>
      </c>
      <c r="AM22" s="62">
        <f t="shared" si="5"/>
        <v>373.55553361905407</v>
      </c>
      <c r="AN22" s="62">
        <f ca="1">AVERAGE(OFFSET($AM$3,0,0,'Données projet'!$E$10+1,1))-AVERAGE(OFFSET($H$3,0,0,'Données projet'!$E$10+1,1))</f>
        <v>274.66236526869056</v>
      </c>
      <c r="AO22" s="62">
        <f t="shared" si="36"/>
        <v>256.90876395053073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35.328466045936516</v>
      </c>
      <c r="BF22" s="14">
        <f t="shared" si="37"/>
        <v>10.751650073316766</v>
      </c>
      <c r="BG22" s="22">
        <f t="shared" si="7"/>
        <v>80.256202241032796</v>
      </c>
      <c r="BH22" s="62">
        <f t="shared" si="8"/>
        <v>360.14509112992164</v>
      </c>
      <c r="BI22" s="62">
        <f ca="1">AVERAGE(OFFSET($BH$3,0,0,'Données projet'!$E$11+1,1))-AVERAGE(OFFSET($H$3,0,0,'Données projet'!$E$11+1,1))</f>
        <v>475.47920969424894</v>
      </c>
      <c r="BJ22" s="62">
        <f t="shared" si="38"/>
        <v>271.73544012419364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4.9999999999999991</v>
      </c>
      <c r="BY22" s="13">
        <f>IF('Données projet'!$A$114&gt;35,BY21+BX22-CG21,IF(A22&lt;'Données projet'!$A$114,$BV$205^A22,IF(A22='Données projet'!$A$114,'Données projet'!$B$114,BY21+BX22-CG21)))</f>
        <v>50.128205128205124</v>
      </c>
      <c r="BZ22" s="14">
        <f>BY22*VLOOKUP('Données projet'!$B$12,Paramètres!$A$1:$I$89,3,0)*VLOOKUP('Données projet'!$B$12,Paramètres!$A$1:$I$89,5,0)</f>
        <v>52.394000000000005</v>
      </c>
      <c r="CA22" s="14">
        <f t="shared" si="39"/>
        <v>15.230327689524884</v>
      </c>
      <c r="CB22" s="22">
        <f t="shared" si="10"/>
        <v>117.77903739258919</v>
      </c>
      <c r="CC22" s="62">
        <f t="shared" si="11"/>
        <v>397.66792628147806</v>
      </c>
      <c r="CD22" s="62">
        <f ca="1">AVERAGE(OFFSET($CC$3,0,0,'Données projet'!$E$12+1,1))-AVERAGE(OFFSET($H$3,0,0,'Données projet'!$E$12+1,1))</f>
        <v>490.26236605482961</v>
      </c>
      <c r="CE22" s="62">
        <f t="shared" si="40"/>
        <v>283.40133947156238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</v>
      </c>
      <c r="CT22" s="13">
        <f>IF('Données projet'!$A$140&gt;35,CT21+CS22-DB21,IF(A22&lt;'Données projet'!$A$140,$CQ$205^A22,IF(A22='Données projet'!$A$140,'Données projet'!$B$140,CT21+CS22-DB21)))</f>
        <v>79</v>
      </c>
      <c r="CU22" s="18">
        <f>CT22*VLOOKUP('Données projet'!$B$13,Paramètres!$A$1:$I$89,3,0)*VLOOKUP('Données projet'!$B$13,Paramètres!$A$1:$I$89,5,0)</f>
        <v>69.014400000000009</v>
      </c>
      <c r="CV22" s="14">
        <f t="shared" si="41"/>
        <v>19.428496726251055</v>
      </c>
      <c r="CW22" s="22">
        <f t="shared" si="13"/>
        <v>154.03804513155393</v>
      </c>
      <c r="CX22" s="62">
        <f t="shared" si="14"/>
        <v>433.92693402044279</v>
      </c>
      <c r="CY22" s="62">
        <f ca="1">AVERAGE(OFFSET($CX$3,0,0,'Données projet'!$E$13+1,1))-AVERAGE(OFFSET($H$3,0,0,'Données projet'!$E$13+1,1))</f>
        <v>315.3516976788701</v>
      </c>
      <c r="CZ22" s="62">
        <f t="shared" si="42"/>
        <v>266.32508105927997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37.502525494917215</v>
      </c>
      <c r="EL22" s="14">
        <f t="shared" si="45"/>
        <v>11.334227770598273</v>
      </c>
      <c r="EM22" s="22">
        <f t="shared" si="19"/>
        <v>85.057345270772814</v>
      </c>
      <c r="EN22" s="62">
        <f t="shared" si="20"/>
        <v>364.94623415966169</v>
      </c>
      <c r="EO22" s="62">
        <f ca="1">AVERAGE(OFFSET($EN$3,0,0,'Données projet'!$E$15+1,1))-AVERAGE(OFFSET($H$3,0,0,'Données projet'!$E$15+1,1))</f>
        <v>502.07782026233912</v>
      </c>
      <c r="EP22" s="62">
        <f t="shared" si="46"/>
        <v>285.83623046025156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6.2820512820512802</v>
      </c>
      <c r="FE22" s="13">
        <f>IF('Données projet'!$A$218&gt;35,FE21+FD22-FM21,IF(A22&lt;'Données projet'!$A$218,$FB$205^A22,IF(A22='Données projet'!$A$218,'Données projet'!$B$218,FE21+FD22-FM21)))</f>
        <v>61.66666666666665</v>
      </c>
      <c r="FF22" s="18">
        <f>FE22*VLOOKUP('Données projet'!$B$16,Paramètres!$A$1:$I$89,3,0)*VLOOKUP('Données projet'!$B$16,Paramètres!$A$1:$I$89,5,0)</f>
        <v>58.681999999999981</v>
      </c>
      <c r="FG22" s="14">
        <f t="shared" si="47"/>
        <v>16.834607713213735</v>
      </c>
      <c r="FH22" s="22">
        <f t="shared" si="22"/>
        <v>131.52475843384721</v>
      </c>
      <c r="FI22" s="62">
        <f t="shared" si="23"/>
        <v>411.4136473227361</v>
      </c>
      <c r="FJ22" s="62">
        <f ca="1">AVERAGE(OFFSET($FI$3,0,0,'Données projet'!$E$16+1,1))-AVERAGE(OFFSET($H$3,0,0,'Données projet'!$E$16+1,1))</f>
        <v>365.5904647357433</v>
      </c>
      <c r="FK22" s="62">
        <f t="shared" si="48"/>
        <v>256.56280810580841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10</v>
      </c>
      <c r="FZ22" s="13">
        <f>IF('Données projet'!$A$244&gt;35,FZ21+FY22-GH21,IF(A22&lt;'Données projet'!$A$244,$FW$205^A22,IF(A22='Données projet'!$A$244,'Données projet'!$B$244,FZ21+FY22-GH21)))</f>
        <v>89</v>
      </c>
      <c r="GA22" s="18">
        <f>FZ22*VLOOKUP('Données projet'!$B$17,Paramètres!$A$1:$I$89,3,0)*VLOOKUP('Données projet'!$B$17,Paramètres!$A$1:$I$89,5,0)</f>
        <v>72.19680000000001</v>
      </c>
      <c r="GB22" s="14">
        <f t="shared" si="49"/>
        <v>20.218015459285922</v>
      </c>
      <c r="GC22" s="22">
        <f t="shared" si="25"/>
        <v>160.95580359158967</v>
      </c>
      <c r="GD22" s="62">
        <f t="shared" si="26"/>
        <v>440.84469248047856</v>
      </c>
      <c r="GE22" s="62">
        <f ca="1">AVERAGE(OFFSET($GD$3,0,0,'Données projet'!$E$17+1,1))-AVERAGE(OFFSET($H$3,0,0,'Données projet'!$E$17+1,1))</f>
        <v>256.19915261735281</v>
      </c>
      <c r="GF22" s="62">
        <f t="shared" si="50"/>
        <v>297.47246687305056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4.9084615384615384</v>
      </c>
      <c r="GU22" s="13">
        <f>IF('Données projet'!$A$270&gt;35,GU21+GT22-HC21,IF(A22&lt;'Données projet'!$A$270,$GR$205^A22,IF(A22='Données projet'!$A$270,'Données projet'!$B$270,GU21+GT22-HC21)))</f>
        <v>23.610700728923604</v>
      </c>
      <c r="GV22" s="18">
        <f>GU22*VLOOKUP('Données projet'!$B$18,Paramètres!$A$1:$I$89,3,0)*VLOOKUP('Données projet'!$B$18,Paramètres!$A$1:$I$89,5,0)</f>
        <v>11.049807941136248</v>
      </c>
      <c r="GW22" s="14">
        <f t="shared" si="51"/>
        <v>3.8499962268435248</v>
      </c>
      <c r="GX22" s="22">
        <f t="shared" si="28"/>
        <v>25.950492259231435</v>
      </c>
      <c r="GY22" s="62">
        <f t="shared" si="29"/>
        <v>305.83938114812031</v>
      </c>
      <c r="GZ22" s="62">
        <f ca="1">AVERAGE(OFFSET($GY$3,0,0,'Données projet'!$E$18+1,1))-AVERAGE(OFFSET($H$3,0,0,'Données projet'!$E$18+1,1))</f>
        <v>284.704043530756</v>
      </c>
      <c r="HA22" s="62">
        <f t="shared" si="52"/>
        <v>190.4880882944471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428.8489304403459</v>
      </c>
      <c r="T23" s="62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57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57.000000000000007</v>
      </c>
      <c r="AJ23" s="14">
        <f>AI23*VLOOKUP('Données projet'!$B$10,Paramètres!$A$1:$I$89,3,0)*VLOOKUP('Données projet'!$B$10,Paramètres!$A$1:$I$89,5,0)</f>
        <v>49.795200000000008</v>
      </c>
      <c r="AK23" s="14">
        <f t="shared" si="35"/>
        <v>14.560856542690781</v>
      </c>
      <c r="AL23" s="22">
        <f t="shared" si="4"/>
        <v>112.08679847851981</v>
      </c>
      <c r="AM23" s="62">
        <f t="shared" si="5"/>
        <v>393.19790958963097</v>
      </c>
      <c r="AN23" s="62">
        <f ca="1">AVERAGE(OFFSET($AM$3,0,0,'Données projet'!$E$10+1,1))-AVERAGE(OFFSET($H$3,0,0,'Données projet'!$E$10+1,1))</f>
        <v>274.66236526869056</v>
      </c>
      <c r="AO23" s="62">
        <f t="shared" si="36"/>
        <v>256.90876395053073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42.588000000000001</v>
      </c>
      <c r="BF23" s="14">
        <f t="shared" si="37"/>
        <v>12.682073764365764</v>
      </c>
      <c r="BG23" s="22">
        <f t="shared" si="7"/>
        <v>96.262045139603686</v>
      </c>
      <c r="BH23" s="62">
        <f t="shared" si="8"/>
        <v>377.37315625071483</v>
      </c>
      <c r="BI23" s="62">
        <f ca="1">AVERAGE(OFFSET($BH$3,0,0,'Données projet'!$E$11+1,1))-AVERAGE(OFFSET($H$3,0,0,'Données projet'!$E$11+1,1))</f>
        <v>475.47920969424894</v>
      </c>
      <c r="BJ23" s="62">
        <f t="shared" si="38"/>
        <v>271.73544012419364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55.128205128205124</v>
      </c>
      <c r="BW23" s="13">
        <f>VLOOKUP(A23,'Données projet'!$A$113:$I$133,9,0)</f>
        <v>4.9999999999999991</v>
      </c>
      <c r="BX23" s="13">
        <f t="array" ref="BX23">INDEX(BW:BW,MIN(IF(ISNUMBER(BW23:BW219),ROW(BW23:BW219),"")))</f>
        <v>4.9999999999999991</v>
      </c>
      <c r="BY23" s="13">
        <f>IF('Données projet'!$A$114&gt;35,BY22+BX23-CG22,IF(A23&lt;'Données projet'!$A$114,$BV$205^A23,IF(A23='Données projet'!$A$114,'Données projet'!$B$114,BY22+BX23-CG22)))</f>
        <v>55.128205128205124</v>
      </c>
      <c r="BZ23" s="14">
        <f>BY23*VLOOKUP('Données projet'!$B$12,Paramètres!$A$1:$I$89,3,0)*VLOOKUP('Données projet'!$B$12,Paramètres!$A$1:$I$89,5,0)</f>
        <v>57.620000000000005</v>
      </c>
      <c r="CA23" s="14">
        <f t="shared" si="39"/>
        <v>16.565120218812034</v>
      </c>
      <c r="CB23" s="22">
        <f t="shared" si="10"/>
        <v>129.20575104776432</v>
      </c>
      <c r="CC23" s="62">
        <f t="shared" si="11"/>
        <v>410.31686215887544</v>
      </c>
      <c r="CD23" s="62">
        <f ca="1">AVERAGE(OFFSET($CC$3,0,0,'Données projet'!$E$12+1,1))-AVERAGE(OFFSET($H$3,0,0,'Données projet'!$E$12+1,1))</f>
        <v>490.26236605482961</v>
      </c>
      <c r="CE23" s="62">
        <f t="shared" si="40"/>
        <v>283.40133947156238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87</v>
      </c>
      <c r="CR23" s="13">
        <f>VLOOKUP(A23,'Données projet'!$A$139:$I$159,9,0)</f>
        <v>8</v>
      </c>
      <c r="CS23" s="13">
        <f t="array" ref="CS23">INDEX(CR:CR,MIN(IF(ISNUMBER(CR23:CR219),ROW(CR23:CR219),"")))</f>
        <v>8</v>
      </c>
      <c r="CT23" s="13">
        <f>IF('Données projet'!$A$140&gt;35,CT22+CS23-DB22,IF(A23&lt;'Données projet'!$A$140,$CQ$205^A23,IF(A23='Données projet'!$A$140,'Données projet'!$B$140,CT22+CS23-DB22)))</f>
        <v>87</v>
      </c>
      <c r="CU23" s="18">
        <f>CT23*VLOOKUP('Données projet'!$B$13,Paramètres!$A$1:$I$89,3,0)*VLOOKUP('Données projet'!$B$13,Paramètres!$A$1:$I$89,5,0)</f>
        <v>76.003200000000007</v>
      </c>
      <c r="CV23" s="14">
        <f t="shared" si="41"/>
        <v>21.157049992000456</v>
      </c>
      <c r="CW23" s="22">
        <f t="shared" si="13"/>
        <v>169.22076873606747</v>
      </c>
      <c r="CX23" s="62">
        <f t="shared" si="14"/>
        <v>450.33187984717858</v>
      </c>
      <c r="CY23" s="62">
        <f ca="1">AVERAGE(OFFSET($CX$3,0,0,'Données projet'!$E$13+1,1))-AVERAGE(OFFSET($H$3,0,0,'Données projet'!$E$13+1,1))</f>
        <v>315.3516976788701</v>
      </c>
      <c r="CZ23" s="62">
        <f t="shared" si="42"/>
        <v>266.32508105927997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45.208799999999997</v>
      </c>
      <c r="EL23" s="14">
        <f t="shared" si="45"/>
        <v>13.369251386406743</v>
      </c>
      <c r="EM23" s="22">
        <f t="shared" si="19"/>
        <v>102.02343949799173</v>
      </c>
      <c r="EN23" s="62">
        <f t="shared" si="20"/>
        <v>383.13455060910286</v>
      </c>
      <c r="EO23" s="62">
        <f ca="1">AVERAGE(OFFSET($EN$3,0,0,'Données projet'!$E$15+1,1))-AVERAGE(OFFSET($H$3,0,0,'Données projet'!$E$15+1,1))</f>
        <v>502.07782026233912</v>
      </c>
      <c r="EP23" s="62">
        <f t="shared" si="46"/>
        <v>285.83623046025156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67.948717948717942</v>
      </c>
      <c r="FC23" s="13">
        <f>VLOOKUP(A23,'Données projet'!$A$217:$I$237,9,0)</f>
        <v>6.2820512820512802</v>
      </c>
      <c r="FD23" s="13">
        <f t="array" ref="FD23">INDEX(FC:FC,MIN(IF(ISNUMBER(FC23:FC219),ROW(FC23:FC219),"")))</f>
        <v>6.2820512820512802</v>
      </c>
      <c r="FE23" s="13">
        <f>IF('Données projet'!$A$218&gt;35,FE22+FD23-FM22,IF(A23&lt;'Données projet'!$A$218,$FB$205^A23,IF(A23='Données projet'!$A$218,'Données projet'!$B$218,FE22+FD23-FM22)))</f>
        <v>67.948717948717928</v>
      </c>
      <c r="FF23" s="18">
        <f>FE23*VLOOKUP('Données projet'!$B$16,Paramètres!$A$1:$I$89,3,0)*VLOOKUP('Données projet'!$B$16,Paramètres!$A$1:$I$89,5,0)</f>
        <v>64.659999999999982</v>
      </c>
      <c r="FG23" s="14">
        <f t="shared" si="47"/>
        <v>18.341285436472681</v>
      </c>
      <c r="FH23" s="22">
        <f t="shared" si="22"/>
        <v>144.56057213518989</v>
      </c>
      <c r="FI23" s="62">
        <f t="shared" si="23"/>
        <v>425.67168324630103</v>
      </c>
      <c r="FJ23" s="62">
        <f ca="1">AVERAGE(OFFSET($FI$3,0,0,'Données projet'!$E$16+1,1))-AVERAGE(OFFSET($H$3,0,0,'Données projet'!$E$16+1,1))</f>
        <v>365.5904647357433</v>
      </c>
      <c r="FK23" s="62">
        <f t="shared" si="48"/>
        <v>256.56280810580841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99</v>
      </c>
      <c r="FX23" s="13">
        <f>VLOOKUP(A23,'Données projet'!$A$243:$I$263,9,0)</f>
        <v>10</v>
      </c>
      <c r="FY23" s="13">
        <f t="array" ref="FY23">INDEX(FX:FX,MIN(IF(ISNUMBER(FX23:FX219),ROW(FX23:FX219),"")))</f>
        <v>10</v>
      </c>
      <c r="FZ23" s="13">
        <f>IF('Données projet'!$A$244&gt;35,FZ22+FY23-GH22,IF(A23&lt;'Données projet'!$A$244,$FW$205^A23,IF(A23='Données projet'!$A$244,'Données projet'!$B$244,FZ22+FY23-GH22)))</f>
        <v>99</v>
      </c>
      <c r="GA23" s="18">
        <f>FZ23*VLOOKUP('Données projet'!$B$17,Paramètres!$A$1:$I$89,3,0)*VLOOKUP('Données projet'!$B$17,Paramètres!$A$1:$I$89,5,0)</f>
        <v>80.308800000000005</v>
      </c>
      <c r="GB23" s="14">
        <f t="shared" si="49"/>
        <v>22.212670396389218</v>
      </c>
      <c r="GC23" s="22">
        <f t="shared" si="25"/>
        <v>178.55822760704453</v>
      </c>
      <c r="GD23" s="62">
        <f t="shared" si="26"/>
        <v>459.6693387181557</v>
      </c>
      <c r="GE23" s="62">
        <f ca="1">AVERAGE(OFFSET($GD$3,0,0,'Données projet'!$E$17+1,1))-AVERAGE(OFFSET($H$3,0,0,'Données projet'!$E$17+1,1))</f>
        <v>256.19915261735281</v>
      </c>
      <c r="GF23" s="62">
        <f t="shared" si="50"/>
        <v>297.47246687305056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40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4.9084615384615384</v>
      </c>
      <c r="GU23" s="13">
        <f>IF('Données projet'!$A$270&gt;35,GU22+GT23-HC22,IF(A23&lt;'Données projet'!$A$270,$GR$205^A23,IF(A23='Données projet'!$A$270,'Données projet'!$B$270,GU22+GT23-HC22)))</f>
        <v>27.885456896095882</v>
      </c>
      <c r="GV23" s="18">
        <f>GU23*VLOOKUP('Données projet'!$B$18,Paramètres!$A$1:$I$89,3,0)*VLOOKUP('Données projet'!$B$18,Paramètres!$A$1:$I$89,5,0)</f>
        <v>13.050393827372874</v>
      </c>
      <c r="GW23" s="14">
        <f t="shared" si="51"/>
        <v>4.459817563628576</v>
      </c>
      <c r="GX23" s="22">
        <f t="shared" si="28"/>
        <v>30.49695150599419</v>
      </c>
      <c r="GY23" s="62">
        <f t="shared" si="29"/>
        <v>311.60806261710536</v>
      </c>
      <c r="GZ23" s="62">
        <f ca="1">AVERAGE(OFFSET($GY$3,0,0,'Données projet'!$E$18+1,1))-AVERAGE(OFFSET($H$3,0,0,'Données projet'!$E$18+1,1))</f>
        <v>284.704043530756</v>
      </c>
      <c r="HA23" s="62">
        <f t="shared" si="52"/>
        <v>190.4880882944471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428.8489304403459</v>
      </c>
      <c r="T24" s="62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</v>
      </c>
      <c r="AI24" s="14">
        <f>IF('Données projet'!$A$62&gt;35,AI23+AH24-AQ23,IF(A24&lt;'Données projet'!$A$62,$AF$205^A24,IF(A24='Données projet'!$A$62,'Données projet'!$B$62,AI23+AH24-AQ23)))</f>
        <v>67</v>
      </c>
      <c r="AJ24" s="14">
        <f>AI24*VLOOKUP('Données projet'!$B$10,Paramètres!$A$1:$I$89,3,0)*VLOOKUP('Données projet'!$B$10,Paramètres!$A$1:$I$89,5,0)</f>
        <v>58.531200000000005</v>
      </c>
      <c r="AK24" s="14">
        <f t="shared" si="35"/>
        <v>16.796376317470752</v>
      </c>
      <c r="AL24" s="22">
        <f t="shared" si="4"/>
        <v>131.19552875292825</v>
      </c>
      <c r="AM24" s="62">
        <f t="shared" si="5"/>
        <v>413.5288620862616</v>
      </c>
      <c r="AN24" s="62">
        <f ca="1">AVERAGE(OFFSET($AM$3,0,0,'Données projet'!$E$10+1,1))-AVERAGE(OFFSET($H$3,0,0,'Données projet'!$E$10+1,1))</f>
        <v>274.66236526869056</v>
      </c>
      <c r="AO24" s="62">
        <f t="shared" si="36"/>
        <v>256.90876395053073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48.266400000000004</v>
      </c>
      <c r="BF24" s="14">
        <f t="shared" si="37"/>
        <v>14.165134590154434</v>
      </c>
      <c r="BG24" s="22">
        <f t="shared" si="7"/>
        <v>108.73492274451898</v>
      </c>
      <c r="BH24" s="62">
        <f t="shared" si="8"/>
        <v>391.06825607785231</v>
      </c>
      <c r="BI24" s="62">
        <f ca="1">AVERAGE(OFFSET($BH$3,0,0,'Données projet'!$E$11+1,1))-AVERAGE(OFFSET($H$3,0,0,'Données projet'!$E$11+1,1))</f>
        <v>475.47920969424894</v>
      </c>
      <c r="BJ24" s="62">
        <f t="shared" si="38"/>
        <v>271.73544012419364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7.3076923076923066</v>
      </c>
      <c r="BY24" s="13">
        <f>IF('Données projet'!$A$114&gt;35,BY23+BX24-CG23,IF(A24&lt;'Données projet'!$A$114,$BV$205^A24,IF(A24='Données projet'!$A$114,'Données projet'!$B$114,BY23+BX24-CG23)))</f>
        <v>62.435897435897431</v>
      </c>
      <c r="BZ24" s="14">
        <f>BY24*VLOOKUP('Données projet'!$B$12,Paramètres!$A$1:$I$89,3,0)*VLOOKUP('Données projet'!$B$12,Paramètres!$A$1:$I$89,5,0)</f>
        <v>65.257999999999996</v>
      </c>
      <c r="CA24" s="14">
        <f t="shared" si="39"/>
        <v>18.491087548785647</v>
      </c>
      <c r="CB24" s="22">
        <f t="shared" si="10"/>
        <v>145.86299414746833</v>
      </c>
      <c r="CC24" s="62">
        <f t="shared" si="11"/>
        <v>428.19632748080164</v>
      </c>
      <c r="CD24" s="62">
        <f ca="1">AVERAGE(OFFSET($CC$3,0,0,'Données projet'!$E$12+1,1))-AVERAGE(OFFSET($H$3,0,0,'Données projet'!$E$12+1,1))</f>
        <v>490.26236605482961</v>
      </c>
      <c r="CE24" s="62">
        <f t="shared" si="40"/>
        <v>283.40133947156238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</v>
      </c>
      <c r="CT24" s="13">
        <f>IF('Données projet'!$A$140&gt;35,CT23+CS24-DB23,IF(A24&lt;'Données projet'!$A$140,$CQ$205^A24,IF(A24='Données projet'!$A$140,'Données projet'!$B$140,CT23+CS24-DB23)))</f>
        <v>95</v>
      </c>
      <c r="CU24" s="18">
        <f>CT24*VLOOKUP('Données projet'!$B$13,Paramètres!$A$1:$I$89,3,0)*VLOOKUP('Données projet'!$B$13,Paramètres!$A$1:$I$89,5,0)</f>
        <v>82.992000000000004</v>
      </c>
      <c r="CV24" s="14">
        <f t="shared" si="41"/>
        <v>22.867173045817324</v>
      </c>
      <c r="CW24" s="22">
        <f t="shared" si="13"/>
        <v>184.37139305479852</v>
      </c>
      <c r="CX24" s="62">
        <f t="shared" si="14"/>
        <v>466.7047263881318</v>
      </c>
      <c r="CY24" s="62">
        <f ca="1">AVERAGE(OFFSET($CX$3,0,0,'Données projet'!$E$13+1,1))-AVERAGE(OFFSET($H$3,0,0,'Données projet'!$E$13+1,1))</f>
        <v>315.3516976788701</v>
      </c>
      <c r="CZ24" s="62">
        <f t="shared" si="42"/>
        <v>266.32508105927997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51.236640000000001</v>
      </c>
      <c r="EL24" s="14">
        <f t="shared" si="45"/>
        <v>14.932671799321549</v>
      </c>
      <c r="EM24" s="22">
        <f t="shared" si="19"/>
        <v>115.24488471715169</v>
      </c>
      <c r="EN24" s="62">
        <f t="shared" si="20"/>
        <v>397.57821805048502</v>
      </c>
      <c r="EO24" s="62">
        <f ca="1">AVERAGE(OFFSET($EN$3,0,0,'Données projet'!$E$15+1,1))-AVERAGE(OFFSET($H$3,0,0,'Données projet'!$E$15+1,1))</f>
        <v>502.07782026233912</v>
      </c>
      <c r="EP24" s="62">
        <f t="shared" si="46"/>
        <v>285.83623046025156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6.5384615384615383</v>
      </c>
      <c r="FE24" s="13">
        <f>IF('Données projet'!$A$218&gt;35,FE23+FD24-FM23,IF(A24&lt;'Données projet'!$A$218,$FB$205^A24,IF(A24='Données projet'!$A$218,'Données projet'!$B$218,FE23+FD24-FM23)))</f>
        <v>74.487179487179461</v>
      </c>
      <c r="FF24" s="18">
        <f>FE24*VLOOKUP('Données projet'!$B$16,Paramètres!$A$1:$I$89,3,0)*VLOOKUP('Données projet'!$B$16,Paramètres!$A$1:$I$89,5,0)</f>
        <v>70.881999999999977</v>
      </c>
      <c r="FG24" s="14">
        <f t="shared" si="47"/>
        <v>19.892329384797868</v>
      </c>
      <c r="FH24" s="22">
        <f t="shared" si="22"/>
        <v>158.0986236785229</v>
      </c>
      <c r="FI24" s="62">
        <f t="shared" si="23"/>
        <v>440.43195701185618</v>
      </c>
      <c r="FJ24" s="62">
        <f ca="1">AVERAGE(OFFSET($FI$3,0,0,'Données projet'!$E$16+1,1))-AVERAGE(OFFSET($H$3,0,0,'Données projet'!$E$16+1,1))</f>
        <v>365.5904647357433</v>
      </c>
      <c r="FK24" s="62">
        <f t="shared" si="48"/>
        <v>256.56280810580841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8.6</v>
      </c>
      <c r="FZ24" s="13">
        <f>IF('Données projet'!$A$244&gt;35,FZ23+FY24-GH23,IF(A24&lt;'Données projet'!$A$244,$FW$205^A24,IF(A24='Données projet'!$A$244,'Données projet'!$B$244,FZ23+FY24-GH23)))</f>
        <v>67.599999999999994</v>
      </c>
      <c r="GA24" s="18">
        <f>FZ24*VLOOKUP('Données projet'!$B$17,Paramètres!$A$1:$I$89,3,0)*VLOOKUP('Données projet'!$B$17,Paramètres!$A$1:$I$89,5,0)</f>
        <v>54.837120000000006</v>
      </c>
      <c r="GB24" s="14">
        <f t="shared" si="49"/>
        <v>15.856174437579886</v>
      </c>
      <c r="GC24" s="22">
        <f t="shared" si="25"/>
        <v>123.12415447878497</v>
      </c>
      <c r="GD24" s="62">
        <f t="shared" si="26"/>
        <v>405.4574878121183</v>
      </c>
      <c r="GE24" s="62">
        <f ca="1">AVERAGE(OFFSET($GD$3,0,0,'Données projet'!$E$17+1,1))-AVERAGE(OFFSET($H$3,0,0,'Données projet'!$E$17+1,1))</f>
        <v>256.19915261735281</v>
      </c>
      <c r="GF24" s="62">
        <f t="shared" si="50"/>
        <v>297.47246687305056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4.9084615384615384</v>
      </c>
      <c r="GU24" s="13">
        <f>IF('Données projet'!$A$270&gt;35,GU23+GT24-HC23,IF(A24&lt;'Données projet'!$A$270,$GR$205^A24,IF(A24='Données projet'!$A$270,'Données projet'!$B$270,GU23+GT24-HC23)))</f>
        <v>32.934164692174789</v>
      </c>
      <c r="GV24" s="18">
        <f>GU24*VLOOKUP('Données projet'!$B$18,Paramètres!$A$1:$I$89,3,0)*VLOOKUP('Données projet'!$B$18,Paramètres!$A$1:$I$89,5,0)</f>
        <v>15.413189075937803</v>
      </c>
      <c r="GW24" s="14">
        <f t="shared" si="51"/>
        <v>5.166231738662507</v>
      </c>
      <c r="GX24" s="22">
        <f t="shared" si="28"/>
        <v>35.842491252095542</v>
      </c>
      <c r="GY24" s="62">
        <f t="shared" si="29"/>
        <v>318.17582458542887</v>
      </c>
      <c r="GZ24" s="62">
        <f ca="1">AVERAGE(OFFSET($GY$3,0,0,'Données projet'!$E$18+1,1))-AVERAGE(OFFSET($H$3,0,0,'Données projet'!$E$18+1,1))</f>
        <v>284.704043530756</v>
      </c>
      <c r="HA24" s="62">
        <f t="shared" si="52"/>
        <v>190.4880882944471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428.8489304403459</v>
      </c>
      <c r="T25" s="62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</v>
      </c>
      <c r="AI25" s="14">
        <f>IF('Données projet'!$A$62&gt;35,AI24+AH25-AQ24,IF(A25&lt;'Données projet'!$A$62,$AF$205^A25,IF(A25='Données projet'!$A$62,'Données projet'!$B$62,AI24+AH25-AQ24)))</f>
        <v>77</v>
      </c>
      <c r="AJ25" s="14">
        <f>AI25*VLOOKUP('Données projet'!$B$10,Paramètres!$A$1:$I$89,3,0)*VLOOKUP('Données projet'!$B$10,Paramètres!$A$1:$I$89,5,0)</f>
        <v>67.267200000000003</v>
      </c>
      <c r="AK25" s="14">
        <f t="shared" si="35"/>
        <v>18.993242158132926</v>
      </c>
      <c r="AL25" s="22">
        <f t="shared" si="4"/>
        <v>150.23693675874819</v>
      </c>
      <c r="AM25" s="62">
        <f t="shared" si="5"/>
        <v>433.79249231430373</v>
      </c>
      <c r="AN25" s="62">
        <f ca="1">AVERAGE(OFFSET($AM$3,0,0,'Données projet'!$E$10+1,1))-AVERAGE(OFFSET($H$3,0,0,'Données projet'!$E$10+1,1))</f>
        <v>274.66236526869056</v>
      </c>
      <c r="AO25" s="62">
        <f t="shared" si="36"/>
        <v>256.90876395053073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53.944800000000008</v>
      </c>
      <c r="BF25" s="14">
        <f t="shared" si="37"/>
        <v>15.627975445731321</v>
      </c>
      <c r="BG25" s="22">
        <f t="shared" si="7"/>
        <v>121.17258390131538</v>
      </c>
      <c r="BH25" s="62">
        <f t="shared" si="8"/>
        <v>404.72813945687091</v>
      </c>
      <c r="BI25" s="62">
        <f ca="1">AVERAGE(OFFSET($BH$3,0,0,'Données projet'!$E$11+1,1))-AVERAGE(OFFSET($H$3,0,0,'Données projet'!$E$11+1,1))</f>
        <v>475.47920969424894</v>
      </c>
      <c r="BJ25" s="62">
        <f t="shared" si="38"/>
        <v>271.73544012419364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7.3076923076923066</v>
      </c>
      <c r="BY25" s="13">
        <f>IF('Données projet'!$A$114&gt;35,BY24+BX25-CG24,IF(A25&lt;'Données projet'!$A$114,$BV$205^A25,IF(A25='Données projet'!$A$114,'Données projet'!$B$114,BY24+BX25-CG24)))</f>
        <v>69.743589743589737</v>
      </c>
      <c r="BZ25" s="14">
        <f>BY25*VLOOKUP('Données projet'!$B$12,Paramètres!$A$1:$I$89,3,0)*VLOOKUP('Données projet'!$B$12,Paramètres!$A$1:$I$89,5,0)</f>
        <v>72.896000000000001</v>
      </c>
      <c r="CA25" s="14">
        <f t="shared" si="39"/>
        <v>20.390930879058295</v>
      </c>
      <c r="CB25" s="22">
        <f t="shared" si="10"/>
        <v>162.47473794769323</v>
      </c>
      <c r="CC25" s="62">
        <f t="shared" si="11"/>
        <v>446.0302935032488</v>
      </c>
      <c r="CD25" s="62">
        <f ca="1">AVERAGE(OFFSET($CC$3,0,0,'Données projet'!$E$12+1,1))-AVERAGE(OFFSET($H$3,0,0,'Données projet'!$E$12+1,1))</f>
        <v>490.26236605482961</v>
      </c>
      <c r="CE25" s="62">
        <f t="shared" si="40"/>
        <v>283.40133947156238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</v>
      </c>
      <c r="CT25" s="13">
        <f>IF('Données projet'!$A$140&gt;35,CT24+CS25-DB24,IF(A25&lt;'Données projet'!$A$140,$CQ$205^A25,IF(A25='Données projet'!$A$140,'Données projet'!$B$140,CT24+CS25-DB24)))</f>
        <v>103</v>
      </c>
      <c r="CU25" s="18">
        <f>CT25*VLOOKUP('Données projet'!$B$13,Paramètres!$A$1:$I$89,3,0)*VLOOKUP('Données projet'!$B$13,Paramètres!$A$1:$I$89,5,0)</f>
        <v>89.980800000000016</v>
      </c>
      <c r="CV25" s="14">
        <f t="shared" si="41"/>
        <v>24.560594358746648</v>
      </c>
      <c r="CW25" s="22">
        <f t="shared" si="13"/>
        <v>199.49292850815041</v>
      </c>
      <c r="CX25" s="62">
        <f t="shared" si="14"/>
        <v>483.04848406370593</v>
      </c>
      <c r="CY25" s="62">
        <f ca="1">AVERAGE(OFFSET($CX$3,0,0,'Données projet'!$E$13+1,1))-AVERAGE(OFFSET($H$3,0,0,'Données projet'!$E$13+1,1))</f>
        <v>315.3516976788701</v>
      </c>
      <c r="CZ25" s="62">
        <f t="shared" si="42"/>
        <v>266.32508105927997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57.264479999999999</v>
      </c>
      <c r="EL25" s="14">
        <f t="shared" si="45"/>
        <v>16.474776623807379</v>
      </c>
      <c r="EM25" s="22">
        <f t="shared" si="19"/>
        <v>128.42920528646451</v>
      </c>
      <c r="EN25" s="62">
        <f t="shared" si="20"/>
        <v>411.98476084202002</v>
      </c>
      <c r="EO25" s="62">
        <f ca="1">AVERAGE(OFFSET($EN$3,0,0,'Données projet'!$E$15+1,1))-AVERAGE(OFFSET($H$3,0,0,'Données projet'!$E$15+1,1))</f>
        <v>502.07782026233912</v>
      </c>
      <c r="EP25" s="62">
        <f t="shared" si="46"/>
        <v>285.83623046025156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6.5384615384615383</v>
      </c>
      <c r="FE25" s="13">
        <f>IF('Données projet'!$A$218&gt;35,FE24+FD25-FM24,IF(A25&lt;'Données projet'!$A$218,$FB$205^A25,IF(A25='Données projet'!$A$218,'Données projet'!$B$218,FE24+FD25-FM24)))</f>
        <v>81.025641025640994</v>
      </c>
      <c r="FF25" s="18">
        <f>FE25*VLOOKUP('Données projet'!$B$16,Paramètres!$A$1:$I$89,3,0)*VLOOKUP('Données projet'!$B$16,Paramètres!$A$1:$I$89,5,0)</f>
        <v>77.103999999999971</v>
      </c>
      <c r="FG25" s="14">
        <f t="shared" si="47"/>
        <v>21.427584756535701</v>
      </c>
      <c r="FH25" s="22">
        <f t="shared" si="22"/>
        <v>171.60917678429962</v>
      </c>
      <c r="FI25" s="62">
        <f t="shared" si="23"/>
        <v>455.16473233985516</v>
      </c>
      <c r="FJ25" s="62">
        <f ca="1">AVERAGE(OFFSET($FI$3,0,0,'Données projet'!$E$16+1,1))-AVERAGE(OFFSET($H$3,0,0,'Données projet'!$E$16+1,1))</f>
        <v>365.5904647357433</v>
      </c>
      <c r="FK25" s="62">
        <f t="shared" si="48"/>
        <v>256.56280810580841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8.6</v>
      </c>
      <c r="FZ25" s="13">
        <f>IF('Données projet'!$A$244&gt;35,FZ24+FY25-GH24,IF(A25&lt;'Données projet'!$A$244,$FW$205^A25,IF(A25='Données projet'!$A$244,'Données projet'!$B$244,FZ24+FY25-GH24)))</f>
        <v>76.199999999999989</v>
      </c>
      <c r="GA25" s="18">
        <f>FZ25*VLOOKUP('Données projet'!$B$17,Paramètres!$A$1:$I$89,3,0)*VLOOKUP('Données projet'!$B$17,Paramètres!$A$1:$I$89,5,0)</f>
        <v>61.813439999999993</v>
      </c>
      <c r="GB25" s="14">
        <f t="shared" si="49"/>
        <v>17.625965961121132</v>
      </c>
      <c r="GC25" s="22">
        <f t="shared" si="25"/>
        <v>138.35696538228595</v>
      </c>
      <c r="GD25" s="62">
        <f t="shared" si="26"/>
        <v>421.91252093784146</v>
      </c>
      <c r="GE25" s="62">
        <f ca="1">AVERAGE(OFFSET($GD$3,0,0,'Données projet'!$E$17+1,1))-AVERAGE(OFFSET($H$3,0,0,'Données projet'!$E$17+1,1))</f>
        <v>256.19915261735281</v>
      </c>
      <c r="GF25" s="62">
        <f t="shared" si="50"/>
        <v>297.47246687305056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4.9084615384615384</v>
      </c>
      <c r="GU25" s="13">
        <f>IF('Données projet'!$A$270&gt;35,GU24+GT25-HC24,IF(A25&lt;'Données projet'!$A$270,$GR$205^A25,IF(A25='Données projet'!$A$270,'Données projet'!$B$270,GU24+GT25-HC24)))</f>
        <v>38.896949331432715</v>
      </c>
      <c r="GV25" s="18">
        <f>GU25*VLOOKUP('Données projet'!$B$18,Paramètres!$A$1:$I$89,3,0)*VLOOKUP('Données projet'!$B$18,Paramètres!$A$1:$I$89,5,0)</f>
        <v>18.20377228711051</v>
      </c>
      <c r="GW25" s="14">
        <f t="shared" si="51"/>
        <v>5.9845386042761088</v>
      </c>
      <c r="GX25" s="22">
        <f t="shared" si="28"/>
        <v>42.127974802498365</v>
      </c>
      <c r="GY25" s="62">
        <f t="shared" si="29"/>
        <v>325.68353035805393</v>
      </c>
      <c r="GZ25" s="62">
        <f ca="1">AVERAGE(OFFSET($GY$3,0,0,'Données projet'!$E$18+1,1))-AVERAGE(OFFSET($H$3,0,0,'Données projet'!$E$18+1,1))</f>
        <v>284.704043530756</v>
      </c>
      <c r="HA25" s="62">
        <f t="shared" si="52"/>
        <v>190.4880882944471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428.8489304403459</v>
      </c>
      <c r="T26" s="62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</v>
      </c>
      <c r="AI26" s="14">
        <f>IF('Données projet'!$A$62&gt;35,AI25+AH26-AQ25,IF(A26&lt;'Données projet'!$A$62,$AF$205^A26,IF(A26='Données projet'!$A$62,'Données projet'!$B$62,AI25+AH26-AQ25)))</f>
        <v>87</v>
      </c>
      <c r="AJ26" s="14">
        <f>AI26*VLOOKUP('Données projet'!$B$10,Paramètres!$A$1:$I$89,3,0)*VLOOKUP('Données projet'!$B$10,Paramètres!$A$1:$I$89,5,0)</f>
        <v>76.003200000000007</v>
      </c>
      <c r="AK26" s="14">
        <f t="shared" si="35"/>
        <v>21.157049992000456</v>
      </c>
      <c r="AL26" s="22">
        <f t="shared" si="4"/>
        <v>169.22076873606747</v>
      </c>
      <c r="AM26" s="62">
        <f t="shared" si="5"/>
        <v>453.99854651384521</v>
      </c>
      <c r="AN26" s="62">
        <f ca="1">AVERAGE(OFFSET($AM$3,0,0,'Données projet'!$E$10+1,1))-AVERAGE(OFFSET($H$3,0,0,'Données projet'!$E$10+1,1))</f>
        <v>274.66236526869056</v>
      </c>
      <c r="AO26" s="62">
        <f t="shared" si="36"/>
        <v>256.90876395053073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59.623200000000011</v>
      </c>
      <c r="BF26" s="14">
        <f t="shared" si="37"/>
        <v>17.072967249098898</v>
      </c>
      <c r="BG26" s="22">
        <f t="shared" si="7"/>
        <v>133.57915795884725</v>
      </c>
      <c r="BH26" s="62">
        <f t="shared" si="8"/>
        <v>418.35693573662502</v>
      </c>
      <c r="BI26" s="62">
        <f ca="1">AVERAGE(OFFSET($BH$3,0,0,'Données projet'!$E$11+1,1))-AVERAGE(OFFSET($H$3,0,0,'Données projet'!$E$11+1,1))</f>
        <v>475.47920969424894</v>
      </c>
      <c r="BJ26" s="62">
        <f t="shared" si="38"/>
        <v>271.73544012419364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7.3076923076923066</v>
      </c>
      <c r="BY26" s="13">
        <f>IF('Données projet'!$A$114&gt;35,BY25+BX26-CG25,IF(A26&lt;'Données projet'!$A$114,$BV$205^A26,IF(A26='Données projet'!$A$114,'Données projet'!$B$114,BY25+BX26-CG25)))</f>
        <v>77.051282051282044</v>
      </c>
      <c r="BZ26" s="14">
        <f>BY26*VLOOKUP('Données projet'!$B$12,Paramètres!$A$1:$I$89,3,0)*VLOOKUP('Données projet'!$B$12,Paramètres!$A$1:$I$89,5,0)</f>
        <v>80.533999999999992</v>
      </c>
      <c r="CA26" s="14">
        <f t="shared" si="39"/>
        <v>22.267699307474086</v>
      </c>
      <c r="CB26" s="22">
        <f t="shared" si="10"/>
        <v>179.04629296051735</v>
      </c>
      <c r="CC26" s="62">
        <f t="shared" si="11"/>
        <v>463.82407073829512</v>
      </c>
      <c r="CD26" s="62">
        <f ca="1">AVERAGE(OFFSET($CC$3,0,0,'Données projet'!$E$12+1,1))-AVERAGE(OFFSET($H$3,0,0,'Données projet'!$E$12+1,1))</f>
        <v>490.26236605482961</v>
      </c>
      <c r="CE26" s="62">
        <f t="shared" si="40"/>
        <v>283.40133947156238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</v>
      </c>
      <c r="CT26" s="13">
        <f>IF('Données projet'!$A$140&gt;35,CT25+CS26-DB25,IF(A26&lt;'Données projet'!$A$140,$CQ$205^A26,IF(A26='Données projet'!$A$140,'Données projet'!$B$140,CT25+CS26-DB25)))</f>
        <v>111</v>
      </c>
      <c r="CU26" s="18">
        <f>CT26*VLOOKUP('Données projet'!$B$13,Paramètres!$A$1:$I$89,3,0)*VLOOKUP('Données projet'!$B$13,Paramètres!$A$1:$I$89,5,0)</f>
        <v>96.969600000000014</v>
      </c>
      <c r="CV26" s="14">
        <f t="shared" si="41"/>
        <v>26.238758642904337</v>
      </c>
      <c r="CW26" s="22">
        <f t="shared" si="13"/>
        <v>214.58789130305843</v>
      </c>
      <c r="CX26" s="62">
        <f t="shared" si="14"/>
        <v>499.3656690808362</v>
      </c>
      <c r="CY26" s="62">
        <f ca="1">AVERAGE(OFFSET($CX$3,0,0,'Données projet'!$E$13+1,1))-AVERAGE(OFFSET($H$3,0,0,'Données projet'!$E$13+1,1))</f>
        <v>315.3516976788701</v>
      </c>
      <c r="CZ26" s="62">
        <f t="shared" si="42"/>
        <v>266.32508105927997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63.292320000000004</v>
      </c>
      <c r="EL26" s="14">
        <f t="shared" si="45"/>
        <v>17.998065245956816</v>
      </c>
      <c r="EM26" s="22">
        <f t="shared" si="19"/>
        <v>141.58075430337479</v>
      </c>
      <c r="EN26" s="62">
        <f t="shared" si="20"/>
        <v>426.35853208115259</v>
      </c>
      <c r="EO26" s="62">
        <f ca="1">AVERAGE(OFFSET($EN$3,0,0,'Données projet'!$E$15+1,1))-AVERAGE(OFFSET($H$3,0,0,'Données projet'!$E$15+1,1))</f>
        <v>502.07782026233912</v>
      </c>
      <c r="EP26" s="62">
        <f t="shared" si="46"/>
        <v>285.83623046025156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6.5384615384615383</v>
      </c>
      <c r="FE26" s="13">
        <f>IF('Données projet'!$A$218&gt;35,FE25+FD26-FM25,IF(A26&lt;'Données projet'!$A$218,$FB$205^A26,IF(A26='Données projet'!$A$218,'Données projet'!$B$218,FE25+FD26-FM25)))</f>
        <v>87.564102564102527</v>
      </c>
      <c r="FF26" s="18">
        <f>FE26*VLOOKUP('Données projet'!$B$16,Paramètres!$A$1:$I$89,3,0)*VLOOKUP('Données projet'!$B$16,Paramètres!$A$1:$I$89,5,0)</f>
        <v>83.325999999999965</v>
      </c>
      <c r="FG26" s="14">
        <f t="shared" si="47"/>
        <v>22.948470480010226</v>
      </c>
      <c r="FH26" s="22">
        <f t="shared" si="22"/>
        <v>185.09470275268441</v>
      </c>
      <c r="FI26" s="62">
        <f t="shared" si="23"/>
        <v>469.87248053046221</v>
      </c>
      <c r="FJ26" s="62">
        <f ca="1">AVERAGE(OFFSET($FI$3,0,0,'Données projet'!$E$16+1,1))-AVERAGE(OFFSET($H$3,0,0,'Données projet'!$E$16+1,1))</f>
        <v>365.5904647357433</v>
      </c>
      <c r="FK26" s="62">
        <f t="shared" si="48"/>
        <v>256.56280810580841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8.6</v>
      </c>
      <c r="FZ26" s="13">
        <f>IF('Données projet'!$A$244&gt;35,FZ25+FY26-GH25,IF(A26&lt;'Données projet'!$A$244,$FW$205^A26,IF(A26='Données projet'!$A$244,'Données projet'!$B$244,FZ25+FY26-GH25)))</f>
        <v>84.799999999999983</v>
      </c>
      <c r="GA26" s="18">
        <f>FZ26*VLOOKUP('Données projet'!$B$17,Paramètres!$A$1:$I$89,3,0)*VLOOKUP('Données projet'!$B$17,Paramètres!$A$1:$I$89,5,0)</f>
        <v>68.789759999999987</v>
      </c>
      <c r="GB26" s="14">
        <f t="shared" si="49"/>
        <v>19.372607944380292</v>
      </c>
      <c r="GC26" s="22">
        <f t="shared" si="25"/>
        <v>153.54945750312899</v>
      </c>
      <c r="GD26" s="62">
        <f t="shared" si="26"/>
        <v>438.32723528090673</v>
      </c>
      <c r="GE26" s="62">
        <f ca="1">AVERAGE(OFFSET($GD$3,0,0,'Données projet'!$E$17+1,1))-AVERAGE(OFFSET($H$3,0,0,'Données projet'!$E$17+1,1))</f>
        <v>256.19915261735281</v>
      </c>
      <c r="GF26" s="62">
        <f t="shared" si="50"/>
        <v>297.47246687305056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4.9084615384615384</v>
      </c>
      <c r="GU26" s="13">
        <f>IF('Données projet'!$A$270&gt;35,GU25+GT26-HC25,IF(A26&lt;'Données projet'!$A$270,$GR$205^A26,IF(A26='Données projet'!$A$270,'Données projet'!$B$270,GU25+GT26-HC25)))</f>
        <v>45.939305928458197</v>
      </c>
      <c r="GV26" s="18">
        <f>GU26*VLOOKUP('Données projet'!$B$18,Paramètres!$A$1:$I$89,3,0)*VLOOKUP('Données projet'!$B$18,Paramètres!$A$1:$I$89,5,0)</f>
        <v>21.499595174518436</v>
      </c>
      <c r="GW26" s="14">
        <f t="shared" si="51"/>
        <v>6.9324614376170377</v>
      </c>
      <c r="GX26" s="22">
        <f t="shared" si="28"/>
        <v>49.51916526613595</v>
      </c>
      <c r="GY26" s="62">
        <f t="shared" si="29"/>
        <v>334.2969430439137</v>
      </c>
      <c r="GZ26" s="62">
        <f ca="1">AVERAGE(OFFSET($GY$3,0,0,'Données projet'!$E$18+1,1))-AVERAGE(OFFSET($H$3,0,0,'Données projet'!$E$18+1,1))</f>
        <v>284.704043530756</v>
      </c>
      <c r="HA26" s="62">
        <f t="shared" si="52"/>
        <v>190.4880882944471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428.8489304403459</v>
      </c>
      <c r="T27" s="62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</v>
      </c>
      <c r="AI27" s="14">
        <f>IF('Données projet'!$A$62&gt;35,AI26+AH27-AQ26,IF(A27&lt;'Données projet'!$A$62,$AF$205^A27,IF(A27='Données projet'!$A$62,'Données projet'!$B$62,AI26+AH27-AQ26)))</f>
        <v>97</v>
      </c>
      <c r="AJ27" s="14">
        <f>AI27*VLOOKUP('Données projet'!$B$10,Paramètres!$A$1:$I$89,3,0)*VLOOKUP('Données projet'!$B$10,Paramètres!$A$1:$I$89,5,0)</f>
        <v>84.739200000000011</v>
      </c>
      <c r="AK27" s="14">
        <f t="shared" si="35"/>
        <v>23.292033444816514</v>
      </c>
      <c r="AL27" s="22">
        <f t="shared" si="4"/>
        <v>188.15439824972211</v>
      </c>
      <c r="AM27" s="62">
        <f t="shared" si="5"/>
        <v>474.15439824972214</v>
      </c>
      <c r="AN27" s="62">
        <f ca="1">AVERAGE(OFFSET($AM$3,0,0,'Données projet'!$E$10+1,1))-AVERAGE(OFFSET($H$3,0,0,'Données projet'!$E$10+1,1))</f>
        <v>274.66236526869056</v>
      </c>
      <c r="AO27" s="62">
        <f t="shared" si="36"/>
        <v>256.90876395053073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65.301600000000008</v>
      </c>
      <c r="BF27" s="14">
        <f t="shared" si="37"/>
        <v>18.502003309535596</v>
      </c>
      <c r="BG27" s="22">
        <f t="shared" si="7"/>
        <v>145.95794243077449</v>
      </c>
      <c r="BH27" s="62">
        <f t="shared" si="8"/>
        <v>431.95794243077449</v>
      </c>
      <c r="BI27" s="62">
        <f ca="1">AVERAGE(OFFSET($BH$3,0,0,'Données projet'!$E$11+1,1))-AVERAGE(OFFSET($H$3,0,0,'Données projet'!$E$11+1,1))</f>
        <v>475.47920969424894</v>
      </c>
      <c r="BJ27" s="62">
        <f t="shared" si="38"/>
        <v>271.73544012419364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7.3076923076923066</v>
      </c>
      <c r="BY27" s="13">
        <f>IF('Données projet'!$A$114&gt;35,BY26+BX27-CG26,IF(A27&lt;'Données projet'!$A$114,$BV$205^A27,IF(A27='Données projet'!$A$114,'Données projet'!$B$114,BY26+BX27-CG26)))</f>
        <v>84.358974358974351</v>
      </c>
      <c r="BZ27" s="14">
        <f>BY27*VLOOKUP('Données projet'!$B$12,Paramètres!$A$1:$I$89,3,0)*VLOOKUP('Données projet'!$B$12,Paramètres!$A$1:$I$89,5,0)</f>
        <v>88.171999999999997</v>
      </c>
      <c r="CA27" s="14">
        <f t="shared" si="39"/>
        <v>24.123830275189544</v>
      </c>
      <c r="CB27" s="22">
        <f t="shared" si="10"/>
        <v>195.58190439595512</v>
      </c>
      <c r="CC27" s="62">
        <f t="shared" si="11"/>
        <v>481.58190439595512</v>
      </c>
      <c r="CD27" s="62">
        <f ca="1">AVERAGE(OFFSET($CC$3,0,0,'Données projet'!$E$12+1,1))-AVERAGE(OFFSET($H$3,0,0,'Données projet'!$E$12+1,1))</f>
        <v>490.26236605482961</v>
      </c>
      <c r="CE27" s="62">
        <f t="shared" si="40"/>
        <v>283.40133947156238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</v>
      </c>
      <c r="CT27" s="13">
        <f>IF('Données projet'!$A$140&gt;35,CT26+CS27-DB26,IF(A27&lt;'Données projet'!$A$140,$CQ$205^A27,IF(A27='Données projet'!$A$140,'Données projet'!$B$140,CT26+CS27-DB26)))</f>
        <v>119</v>
      </c>
      <c r="CU27" s="18">
        <f>CT27*VLOOKUP('Données projet'!$B$13,Paramètres!$A$1:$I$89,3,0)*VLOOKUP('Données projet'!$B$13,Paramètres!$A$1:$I$89,5,0)</f>
        <v>103.9584</v>
      </c>
      <c r="CV27" s="14">
        <f t="shared" si="41"/>
        <v>27.902890560352166</v>
      </c>
      <c r="CW27" s="22">
        <f t="shared" si="13"/>
        <v>229.65841439261331</v>
      </c>
      <c r="CX27" s="62">
        <f t="shared" si="14"/>
        <v>515.65841439261328</v>
      </c>
      <c r="CY27" s="62">
        <f ca="1">AVERAGE(OFFSET($CX$3,0,0,'Données projet'!$E$13+1,1))-AVERAGE(OFFSET($H$3,0,0,'Données projet'!$E$13+1,1))</f>
        <v>315.3516976788701</v>
      </c>
      <c r="CZ27" s="62">
        <f t="shared" si="42"/>
        <v>266.32508105927997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69.320160000000001</v>
      </c>
      <c r="EL27" s="14">
        <f t="shared" si="45"/>
        <v>19.50453356393022</v>
      </c>
      <c r="EM27" s="22">
        <f t="shared" si="19"/>
        <v>154.70300795717847</v>
      </c>
      <c r="EN27" s="62">
        <f t="shared" si="20"/>
        <v>440.70300795717844</v>
      </c>
      <c r="EO27" s="62">
        <f ca="1">AVERAGE(OFFSET($EN$3,0,0,'Données projet'!$E$15+1,1))-AVERAGE(OFFSET($H$3,0,0,'Données projet'!$E$15+1,1))</f>
        <v>502.07782026233912</v>
      </c>
      <c r="EP27" s="62">
        <f t="shared" si="46"/>
        <v>285.83623046025156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6.5384615384615383</v>
      </c>
      <c r="FE27" s="13">
        <f>IF('Données projet'!$A$218&gt;35,FE26+FD27-FM26,IF(A27&lt;'Données projet'!$A$218,$FB$205^A27,IF(A27='Données projet'!$A$218,'Données projet'!$B$218,FE26+FD27-FM26)))</f>
        <v>94.10256410256406</v>
      </c>
      <c r="FF27" s="18">
        <f>FE27*VLOOKUP('Données projet'!$B$16,Paramètres!$A$1:$I$89,3,0)*VLOOKUP('Données projet'!$B$16,Paramètres!$A$1:$I$89,5,0)</f>
        <v>89.547999999999959</v>
      </c>
      <c r="FG27" s="14">
        <f t="shared" si="47"/>
        <v>24.456181554997588</v>
      </c>
      <c r="FH27" s="22">
        <f t="shared" si="22"/>
        <v>198.55728287495404</v>
      </c>
      <c r="FI27" s="62">
        <f t="shared" si="23"/>
        <v>484.55728287495401</v>
      </c>
      <c r="FJ27" s="62">
        <f ca="1">AVERAGE(OFFSET($FI$3,0,0,'Données projet'!$E$16+1,1))-AVERAGE(OFFSET($H$3,0,0,'Données projet'!$E$16+1,1))</f>
        <v>365.5904647357433</v>
      </c>
      <c r="FK27" s="62">
        <f t="shared" si="48"/>
        <v>256.56280810580841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8.6</v>
      </c>
      <c r="FZ27" s="13">
        <f>IF('Données projet'!$A$244&gt;35,FZ26+FY27-GH26,IF(A27&lt;'Données projet'!$A$244,$FW$205^A27,IF(A27='Données projet'!$A$244,'Données projet'!$B$244,FZ26+FY27-GH26)))</f>
        <v>93.399999999999977</v>
      </c>
      <c r="GA27" s="18">
        <f>FZ27*VLOOKUP('Données projet'!$B$17,Paramètres!$A$1:$I$89,3,0)*VLOOKUP('Données projet'!$B$17,Paramètres!$A$1:$I$89,5,0)</f>
        <v>75.766079999999988</v>
      </c>
      <c r="GB27" s="14">
        <f t="shared" si="49"/>
        <v>21.09871541273251</v>
      </c>
      <c r="GC27" s="22">
        <f t="shared" si="25"/>
        <v>168.70618534384241</v>
      </c>
      <c r="GD27" s="62">
        <f t="shared" si="26"/>
        <v>454.70618534384244</v>
      </c>
      <c r="GE27" s="62">
        <f ca="1">AVERAGE(OFFSET($GD$3,0,0,'Données projet'!$E$17+1,1))-AVERAGE(OFFSET($H$3,0,0,'Données projet'!$E$17+1,1))</f>
        <v>256.19915261735281</v>
      </c>
      <c r="GF27" s="62">
        <f t="shared" si="50"/>
        <v>297.47246687305056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4.9084615384615384</v>
      </c>
      <c r="GU27" s="13">
        <f>IF('Données projet'!$A$270&gt;35,GU26+GT27-HC26,IF(A27&lt;'Données projet'!$A$270,$GR$205^A27,IF(A27='Données projet'!$A$270,'Données projet'!$B$270,GU26+GT27-HC26)))</f>
        <v>54.256692760299323</v>
      </c>
      <c r="GV27" s="18">
        <f>GU27*VLOOKUP('Données projet'!$B$18,Paramètres!$A$1:$I$89,3,0)*VLOOKUP('Données projet'!$B$18,Paramètres!$A$1:$I$89,5,0)</f>
        <v>25.392132211820083</v>
      </c>
      <c r="GW27" s="14">
        <f t="shared" si="51"/>
        <v>8.0305307997692346</v>
      </c>
      <c r="GX27" s="22">
        <f t="shared" si="28"/>
        <v>58.211138078518069</v>
      </c>
      <c r="GY27" s="62">
        <f t="shared" si="29"/>
        <v>344.21113807851805</v>
      </c>
      <c r="GZ27" s="62">
        <f ca="1">AVERAGE(OFFSET($GY$3,0,0,'Données projet'!$E$18+1,1))-AVERAGE(OFFSET($H$3,0,0,'Données projet'!$E$18+1,1))</f>
        <v>284.704043530756</v>
      </c>
      <c r="HA27" s="62">
        <f t="shared" si="52"/>
        <v>190.4880882944471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428.8489304403459</v>
      </c>
      <c r="T28" s="62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107</v>
      </c>
      <c r="AG28" s="13">
        <f>VLOOKUP(A28,'Données projet'!$A$61:$I$81,9,0)</f>
        <v>10</v>
      </c>
      <c r="AH28" s="13">
        <f t="array" ref="AH28">INDEX(AG:AG,MIN(IF(ISNUMBER(AG28:AG224),ROW(AG28:AG224),"")))</f>
        <v>10</v>
      </c>
      <c r="AI28" s="14">
        <f>IF('Données projet'!$A$62&gt;35,AI27+AH28-AQ27,IF(A28&lt;'Données projet'!$A$62,$AF$205^A28,IF(A28='Données projet'!$A$62,'Données projet'!$B$62,AI27+AH28-AQ27)))</f>
        <v>107</v>
      </c>
      <c r="AJ28" s="14">
        <f>AI28*VLOOKUP('Données projet'!$B$10,Paramètres!$A$1:$I$89,3,0)*VLOOKUP('Données projet'!$B$10,Paramètres!$A$1:$I$89,5,0)</f>
        <v>93.475200000000015</v>
      </c>
      <c r="AK28" s="14">
        <f t="shared" si="35"/>
        <v>25.401502539965662</v>
      </c>
      <c r="AL28" s="22">
        <f t="shared" si="4"/>
        <v>207.04359025710687</v>
      </c>
      <c r="AM28" s="62">
        <f t="shared" si="5"/>
        <v>494.2658124793291</v>
      </c>
      <c r="AN28" s="62">
        <f ca="1">AVERAGE(OFFSET($AM$3,0,0,'Données projet'!$E$10+1,1))-AVERAGE(OFFSET($H$3,0,0,'Données projet'!$E$10+1,1))</f>
        <v>274.66236526869056</v>
      </c>
      <c r="AO28" s="62">
        <f t="shared" si="36"/>
        <v>256.90876395053073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2">
        <f t="shared" si="8"/>
        <v>445.53385078478129</v>
      </c>
      <c r="BI28" s="62">
        <f ca="1">AVERAGE(OFFSET($BH$3,0,0,'Données projet'!$E$11+1,1))-AVERAGE(OFFSET($H$3,0,0,'Données projet'!$E$11+1,1))</f>
        <v>475.47920969424894</v>
      </c>
      <c r="BJ28" s="62">
        <f t="shared" si="38"/>
        <v>271.73544012419364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91.666666666666657</v>
      </c>
      <c r="BW28" s="13">
        <f>VLOOKUP(A28,'Données projet'!$A$113:$I$133,9,0)</f>
        <v>7.3076923076923066</v>
      </c>
      <c r="BX28" s="13">
        <f t="array" ref="BX28">INDEX(BW:BW,MIN(IF(ISNUMBER(BW28:BW224),ROW(BW28:BW224),"")))</f>
        <v>7.3076923076923066</v>
      </c>
      <c r="BY28" s="13">
        <f>IF('Données projet'!$A$114&gt;35,BY27+BX28-CG27,IF(A28&lt;'Données projet'!$A$114,$BV$205^A28,IF(A28='Données projet'!$A$114,'Données projet'!$B$114,BY27+BX28-CG27)))</f>
        <v>91.666666666666657</v>
      </c>
      <c r="BZ28" s="14">
        <f>BY28*VLOOKUP('Données projet'!$B$12,Paramètres!$A$1:$I$89,3,0)*VLOOKUP('Données projet'!$B$12,Paramètres!$A$1:$I$89,5,0)</f>
        <v>95.81</v>
      </c>
      <c r="CA28" s="14">
        <f t="shared" si="39"/>
        <v>25.961314793499493</v>
      </c>
      <c r="CB28" s="22">
        <f t="shared" si="10"/>
        <v>212.08503993201165</v>
      </c>
      <c r="CC28" s="62">
        <f t="shared" si="11"/>
        <v>499.30726215423385</v>
      </c>
      <c r="CD28" s="62">
        <f ca="1">AVERAGE(OFFSET($CC$3,0,0,'Données projet'!$E$12+1,1))-AVERAGE(OFFSET($H$3,0,0,'Données projet'!$E$12+1,1))</f>
        <v>490.26236605482961</v>
      </c>
      <c r="CE28" s="62">
        <f t="shared" si="40"/>
        <v>283.40133947156238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18.589743589743588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127</v>
      </c>
      <c r="CR28" s="13">
        <f>VLOOKUP(A28,'Données projet'!$A$139:$I$159,9,0)</f>
        <v>8</v>
      </c>
      <c r="CS28" s="13">
        <f t="array" ref="CS28">INDEX(CR:CR,MIN(IF(ISNUMBER(CR28:CR224),ROW(CR28:CR224),"")))</f>
        <v>8</v>
      </c>
      <c r="CT28" s="13">
        <f>IF('Données projet'!$A$140&gt;35,CT27+CS28-DB27,IF(A28&lt;'Données projet'!$A$140,$CQ$205^A28,IF(A28='Données projet'!$A$140,'Données projet'!$B$140,CT27+CS28-DB27)))</f>
        <v>127</v>
      </c>
      <c r="CU28" s="18">
        <f>CT28*VLOOKUP('Données projet'!$B$13,Paramètres!$A$1:$I$89,3,0)*VLOOKUP('Données projet'!$B$13,Paramètres!$A$1:$I$89,5,0)</f>
        <v>110.94720000000001</v>
      </c>
      <c r="CV28" s="14">
        <f t="shared" si="41"/>
        <v>29.554040795615634</v>
      </c>
      <c r="CW28" s="22">
        <f t="shared" si="13"/>
        <v>244.70632771903058</v>
      </c>
      <c r="CX28" s="62">
        <f t="shared" si="14"/>
        <v>531.92854994125287</v>
      </c>
      <c r="CY28" s="62">
        <f ca="1">AVERAGE(OFFSET($CX$3,0,0,'Données projet'!$E$13+1,1))-AVERAGE(OFFSET($H$3,0,0,'Données projet'!$E$13+1,1))</f>
        <v>315.3516976788701</v>
      </c>
      <c r="CZ28" s="62">
        <f t="shared" si="42"/>
        <v>266.32508105927997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48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75.347999999999999</v>
      </c>
      <c r="EL28" s="14">
        <f t="shared" si="45"/>
        <v>20.99581051771704</v>
      </c>
      <c r="EM28" s="22">
        <f t="shared" si="19"/>
        <v>167.79880331835713</v>
      </c>
      <c r="EN28" s="62">
        <f t="shared" si="20"/>
        <v>455.02102554057933</v>
      </c>
      <c r="EO28" s="62">
        <f ca="1">AVERAGE(OFFSET($EN$3,0,0,'Données projet'!$E$15+1,1))-AVERAGE(OFFSET($H$3,0,0,'Données projet'!$E$15+1,1))</f>
        <v>502.07782026233912</v>
      </c>
      <c r="EP28" s="62">
        <f t="shared" si="46"/>
        <v>285.83623046025156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100.64102564102564</v>
      </c>
      <c r="FC28" s="13">
        <f>VLOOKUP(A28,'Données projet'!$A$217:$I$237,9,0)</f>
        <v>6.5384615384615383</v>
      </c>
      <c r="FD28" s="13">
        <f t="array" ref="FD28">INDEX(FC:FC,MIN(IF(ISNUMBER(FC28:FC224),ROW(FC28:FC224),"")))</f>
        <v>6.5384615384615383</v>
      </c>
      <c r="FE28" s="13">
        <f>IF('Données projet'!$A$218&gt;35,FE27+FD28-FM27,IF(A28&lt;'Données projet'!$A$218,$FB$205^A28,IF(A28='Données projet'!$A$218,'Données projet'!$B$218,FE27+FD28-FM27)))</f>
        <v>100.64102564102559</v>
      </c>
      <c r="FF28" s="18">
        <f>FE28*VLOOKUP('Données projet'!$B$16,Paramètres!$A$1:$I$89,3,0)*VLOOKUP('Données projet'!$B$16,Paramètres!$A$1:$I$89,5,0)</f>
        <v>95.769999999999953</v>
      </c>
      <c r="FG28" s="14">
        <f t="shared" si="47"/>
        <v>25.951737515460781</v>
      </c>
      <c r="FH28" s="22">
        <f t="shared" si="22"/>
        <v>211.99869283942743</v>
      </c>
      <c r="FI28" s="62">
        <f t="shared" si="23"/>
        <v>499.22091506164963</v>
      </c>
      <c r="FJ28" s="62">
        <f ca="1">AVERAGE(OFFSET($FI$3,0,0,'Données projet'!$E$16+1,1))-AVERAGE(OFFSET($H$3,0,0,'Données projet'!$E$16+1,1))</f>
        <v>365.5904647357433</v>
      </c>
      <c r="FK28" s="62">
        <f t="shared" si="48"/>
        <v>256.56280810580841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28.846153846153847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102</v>
      </c>
      <c r="FX28" s="13">
        <f>VLOOKUP(A28,'Données projet'!$A$243:$I$263,9,0)</f>
        <v>8.6</v>
      </c>
      <c r="FY28" s="13">
        <f t="array" ref="FY28">INDEX(FX:FX,MIN(IF(ISNUMBER(FX28:FX224),ROW(FX28:FX224),"")))</f>
        <v>8.6</v>
      </c>
      <c r="FZ28" s="13">
        <f>IF('Données projet'!$A$244&gt;35,FZ27+FY28-GH27,IF(A28&lt;'Données projet'!$A$244,$FW$205^A28,IF(A28='Données projet'!$A$244,'Données projet'!$B$244,FZ27+FY28-GH27)))</f>
        <v>101.99999999999997</v>
      </c>
      <c r="GA28" s="18">
        <f>FZ28*VLOOKUP('Données projet'!$B$17,Paramètres!$A$1:$I$89,3,0)*VLOOKUP('Données projet'!$B$17,Paramètres!$A$1:$I$89,5,0)</f>
        <v>82.742399999999975</v>
      </c>
      <c r="GB28" s="14">
        <f t="shared" si="49"/>
        <v>22.806394174303183</v>
      </c>
      <c r="GC28" s="22">
        <f t="shared" si="25"/>
        <v>183.83081652024464</v>
      </c>
      <c r="GD28" s="62">
        <f t="shared" si="26"/>
        <v>471.05303874246687</v>
      </c>
      <c r="GE28" s="62">
        <f ca="1">AVERAGE(OFFSET($GD$3,0,0,'Données projet'!$E$17+1,1))-AVERAGE(OFFSET($H$3,0,0,'Données projet'!$E$17+1,1))</f>
        <v>256.19915261735281</v>
      </c>
      <c r="GF28" s="62">
        <f t="shared" si="50"/>
        <v>297.47246687305056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4.9084615384615384</v>
      </c>
      <c r="GU28" s="13">
        <f>IF('Données projet'!$A$270&gt;35,GU27+GT28-HC27,IF(A28&lt;'Données projet'!$A$270,$GR$205^A28,IF(A28='Données projet'!$A$270,'Données projet'!$B$270,GU27+GT28-HC27)))</f>
        <v>64.079956146266369</v>
      </c>
      <c r="GV28" s="18">
        <f>GU28*VLOOKUP('Données projet'!$B$18,Paramètres!$A$1:$I$89,3,0)*VLOOKUP('Données projet'!$B$18,Paramètres!$A$1:$I$89,5,0)</f>
        <v>29.98941947645266</v>
      </c>
      <c r="GW28" s="14">
        <f t="shared" si="51"/>
        <v>9.3025291963556676</v>
      </c>
      <c r="GX28" s="22">
        <f t="shared" si="28"/>
        <v>68.433477271807831</v>
      </c>
      <c r="GY28" s="62">
        <f t="shared" si="29"/>
        <v>355.65569949403005</v>
      </c>
      <c r="GZ28" s="62">
        <f ca="1">AVERAGE(OFFSET($GY$3,0,0,'Données projet'!$E$18+1,1))-AVERAGE(OFFSET($H$3,0,0,'Données projet'!$E$18+1,1))</f>
        <v>284.704043530756</v>
      </c>
      <c r="HA28" s="62">
        <f t="shared" si="52"/>
        <v>190.4880882944471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2">
        <f t="shared" si="0"/>
        <v>443.90732670063346</v>
      </c>
      <c r="S29" s="62">
        <f ca="1">AVERAGE(OFFSET($R$3,0,0,'Données projet'!$E$9+1,1))-AVERAGE(OFFSET($H$3,0,0,'Données projet'!$E$9+1,1))</f>
        <v>428.8489304403459</v>
      </c>
      <c r="T29" s="62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9.8000000000000007</v>
      </c>
      <c r="AI29" s="14">
        <f>IF('Données projet'!$A$62&gt;35,AI28+AH29-AQ28,IF(A29&lt;'Données projet'!$A$62,$AF$205^A29,IF(A29='Données projet'!$A$62,'Données projet'!$B$62,AI28+AH29-AQ28)))</f>
        <v>74.8</v>
      </c>
      <c r="AJ29" s="14">
        <f>AI29*VLOOKUP('Données projet'!$B$10,Paramètres!$A$1:$I$89,3,0)*VLOOKUP('Données projet'!$B$10,Paramètres!$A$1:$I$89,5,0)</f>
        <v>65.345280000000017</v>
      </c>
      <c r="AK29" s="14">
        <f t="shared" si="35"/>
        <v>18.512938248561991</v>
      </c>
      <c r="AL29" s="22">
        <f t="shared" si="4"/>
        <v>146.05306344957884</v>
      </c>
      <c r="AM29" s="62">
        <f t="shared" si="5"/>
        <v>434.49750789402333</v>
      </c>
      <c r="AN29" s="62">
        <f ca="1">AVERAGE(OFFSET($AM$3,0,0,'Données projet'!$E$10+1,1))-AVERAGE(OFFSET($H$3,0,0,'Données projet'!$E$10+1,1))</f>
        <v>274.66236526869056</v>
      </c>
      <c r="AO29" s="62">
        <f t="shared" si="36"/>
        <v>256.90876395053073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78.078000000000003</v>
      </c>
      <c r="BF29" s="14">
        <f t="shared" si="37"/>
        <v>21.666582091642084</v>
      </c>
      <c r="BG29" s="22">
        <f t="shared" si="7"/>
        <v>173.72181380960993</v>
      </c>
      <c r="BH29" s="62">
        <f t="shared" si="8"/>
        <v>462.16625825405436</v>
      </c>
      <c r="BI29" s="62">
        <f ca="1">AVERAGE(OFFSET($BH$3,0,0,'Données projet'!$E$11+1,1))-AVERAGE(OFFSET($H$3,0,0,'Données projet'!$E$11+1,1))</f>
        <v>475.47920969424894</v>
      </c>
      <c r="BJ29" s="62">
        <f t="shared" si="38"/>
        <v>271.73544012419364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6.7948717948717956</v>
      </c>
      <c r="BY29" s="13">
        <f>IF('Données projet'!$A$114&gt;35,BY28+BX29-CG28,IF(A29&lt;'Données projet'!$A$114,$BV$205^A29,IF(A29='Données projet'!$A$114,'Données projet'!$B$114,BY28+BX29-CG28)))</f>
        <v>79.871794871794862</v>
      </c>
      <c r="BZ29" s="14">
        <f>BY29*VLOOKUP('Données projet'!$B$12,Paramètres!$A$1:$I$89,3,0)*VLOOKUP('Données projet'!$B$12,Paramètres!$A$1:$I$89,5,0)</f>
        <v>83.481999999999999</v>
      </c>
      <c r="CA29" s="14">
        <f t="shared" si="39"/>
        <v>22.98642873386018</v>
      </c>
      <c r="CB29" s="22">
        <f t="shared" si="10"/>
        <v>185.43251337813982</v>
      </c>
      <c r="CC29" s="62">
        <f t="shared" si="11"/>
        <v>473.87695782258425</v>
      </c>
      <c r="CD29" s="62">
        <f ca="1">AVERAGE(OFFSET($CC$3,0,0,'Données projet'!$E$12+1,1))-AVERAGE(OFFSET($H$3,0,0,'Données projet'!$E$12+1,1))</f>
        <v>490.26236605482961</v>
      </c>
      <c r="CE29" s="62">
        <f t="shared" si="40"/>
        <v>283.40133947156238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</v>
      </c>
      <c r="CT29" s="13">
        <f>IF('Données projet'!$A$140&gt;35,CT28+CS29-DB28,IF(A29&lt;'Données projet'!$A$140,$CQ$205^A29,IF(A29='Données projet'!$A$140,'Données projet'!$B$140,CT28+CS29-DB28)))</f>
        <v>87</v>
      </c>
      <c r="CU29" s="18">
        <f>CT29*VLOOKUP('Données projet'!$B$13,Paramètres!$A$1:$I$89,3,0)*VLOOKUP('Données projet'!$B$13,Paramètres!$A$1:$I$89,5,0)</f>
        <v>76.003200000000007</v>
      </c>
      <c r="CV29" s="14">
        <f t="shared" si="41"/>
        <v>21.157049992000456</v>
      </c>
      <c r="CW29" s="22">
        <f t="shared" si="13"/>
        <v>169.22076873606747</v>
      </c>
      <c r="CX29" s="62">
        <f t="shared" si="14"/>
        <v>457.66521318051196</v>
      </c>
      <c r="CY29" s="62">
        <f ca="1">AVERAGE(OFFSET($CX$3,0,0,'Données projet'!$E$13+1,1))-AVERAGE(OFFSET($H$3,0,0,'Données projet'!$E$13+1,1))</f>
        <v>315.3516976788701</v>
      </c>
      <c r="CZ29" s="62">
        <f t="shared" si="42"/>
        <v>266.32508105927997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82.882799999999989</v>
      </c>
      <c r="EL29" s="14">
        <f t="shared" si="45"/>
        <v>22.840584911380041</v>
      </c>
      <c r="EM29" s="22">
        <f t="shared" si="19"/>
        <v>184.1348953873202</v>
      </c>
      <c r="EN29" s="62">
        <f t="shared" si="20"/>
        <v>472.57933983176463</v>
      </c>
      <c r="EO29" s="62">
        <f ca="1">AVERAGE(OFFSET($EN$3,0,0,'Données projet'!$E$15+1,1))-AVERAGE(OFFSET($H$3,0,0,'Données projet'!$E$15+1,1))</f>
        <v>502.07782026233912</v>
      </c>
      <c r="EP29" s="62">
        <f t="shared" si="46"/>
        <v>285.83623046025156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6.5384615384615383</v>
      </c>
      <c r="FE29" s="13">
        <f>IF('Données projet'!$A$218&gt;35,FE28+FD29-FM28,IF(A29&lt;'Données projet'!$A$218,$FB$205^A29,IF(A29='Données projet'!$A$218,'Données projet'!$B$218,FE28+FD29-FM28)))</f>
        <v>78.333333333333286</v>
      </c>
      <c r="FF29" s="18">
        <f>FE29*VLOOKUP('Données projet'!$B$16,Paramètres!$A$1:$I$89,3,0)*VLOOKUP('Données projet'!$B$16,Paramètres!$A$1:$I$89,5,0)</f>
        <v>74.541999999999959</v>
      </c>
      <c r="FG29" s="14">
        <f t="shared" si="47"/>
        <v>20.797236217950161</v>
      </c>
      <c r="FH29" s="22">
        <f t="shared" si="22"/>
        <v>166.04916974626312</v>
      </c>
      <c r="FI29" s="62">
        <f t="shared" si="23"/>
        <v>454.4936141907076</v>
      </c>
      <c r="FJ29" s="62">
        <f ca="1">AVERAGE(OFFSET($FI$3,0,0,'Données projet'!$E$16+1,1))-AVERAGE(OFFSET($H$3,0,0,'Données projet'!$E$16+1,1))</f>
        <v>365.5904647357433</v>
      </c>
      <c r="FK29" s="62">
        <f t="shared" si="48"/>
        <v>256.56280810580841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8.8000000000000007</v>
      </c>
      <c r="FZ29" s="13">
        <f>IF('Données projet'!$A$244&gt;35,FZ28+FY29-GH28,IF(A29&lt;'Données projet'!$A$244,$FW$205^A29,IF(A29='Données projet'!$A$244,'Données projet'!$B$244,FZ28+FY29-GH28)))</f>
        <v>110.79999999999997</v>
      </c>
      <c r="GA29" s="18">
        <f>FZ29*VLOOKUP('Données projet'!$B$17,Paramètres!$A$1:$I$89,3,0)*VLOOKUP('Données projet'!$B$17,Paramètres!$A$1:$I$89,5,0)</f>
        <v>89.880959999999973</v>
      </c>
      <c r="GB29" s="14">
        <f t="shared" si="49"/>
        <v>24.536513201257339</v>
      </c>
      <c r="GC29" s="22">
        <f t="shared" si="25"/>
        <v>199.27709915885649</v>
      </c>
      <c r="GD29" s="62">
        <f t="shared" si="26"/>
        <v>487.72154360330092</v>
      </c>
      <c r="GE29" s="62">
        <f ca="1">AVERAGE(OFFSET($GD$3,0,0,'Données projet'!$E$17+1,1))-AVERAGE(OFFSET($H$3,0,0,'Données projet'!$E$17+1,1))</f>
        <v>256.19915261735281</v>
      </c>
      <c r="GF29" s="62">
        <f t="shared" si="50"/>
        <v>297.47246687305056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4.9084615384615384</v>
      </c>
      <c r="GU29" s="13">
        <f>IF('Données projet'!$A$270&gt;35,GU28+GT29-HC28,IF(A29&lt;'Données projet'!$A$270,$GR$205^A29,IF(A29='Données projet'!$A$270,'Données projet'!$B$270,GU28+GT29-HC28)))</f>
        <v>75.681737511137769</v>
      </c>
      <c r="GV29" s="18">
        <f>GU29*VLOOKUP('Données projet'!$B$18,Paramètres!$A$1:$I$89,3,0)*VLOOKUP('Données projet'!$B$18,Paramètres!$A$1:$I$89,5,0)</f>
        <v>35.419053155212474</v>
      </c>
      <c r="GW29" s="14">
        <f t="shared" si="51"/>
        <v>10.776006170294048</v>
      </c>
      <c r="GX29" s="22">
        <f t="shared" si="28"/>
        <v>80.456394991923858</v>
      </c>
      <c r="GY29" s="62">
        <f t="shared" si="29"/>
        <v>368.9008394363683</v>
      </c>
      <c r="GZ29" s="62">
        <f ca="1">AVERAGE(OFFSET($GY$3,0,0,'Données projet'!$E$18+1,1))-AVERAGE(OFFSET($H$3,0,0,'Données projet'!$E$18+1,1))</f>
        <v>284.704043530756</v>
      </c>
      <c r="HA29" s="62">
        <f t="shared" si="52"/>
        <v>190.4880882944471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2">
        <f t="shared" si="0"/>
        <v>458.88743540273413</v>
      </c>
      <c r="S30" s="62">
        <f ca="1">AVERAGE(OFFSET($R$3,0,0,'Données projet'!$E$9+1,1))-AVERAGE(OFFSET($H$3,0,0,'Données projet'!$E$9+1,1))</f>
        <v>428.8489304403459</v>
      </c>
      <c r="T30" s="62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9.8000000000000007</v>
      </c>
      <c r="AI30" s="14">
        <f>IF('Données projet'!$A$62&gt;35,AI29+AH30-AQ29,IF(A30&lt;'Données projet'!$A$62,$AF$205^A30,IF(A30='Données projet'!$A$62,'Données projet'!$B$62,AI29+AH30-AQ29)))</f>
        <v>84.6</v>
      </c>
      <c r="AJ30" s="14">
        <f>AI30*VLOOKUP('Données projet'!$B$10,Paramètres!$A$1:$I$89,3,0)*VLOOKUP('Données projet'!$B$10,Paramètres!$A$1:$I$89,5,0)</f>
        <v>73.906560000000013</v>
      </c>
      <c r="AK30" s="14">
        <f t="shared" si="35"/>
        <v>20.640506648584481</v>
      </c>
      <c r="AL30" s="22">
        <f t="shared" si="4"/>
        <v>164.6694744129513</v>
      </c>
      <c r="AM30" s="62">
        <f t="shared" si="5"/>
        <v>454.33614107961796</v>
      </c>
      <c r="AN30" s="62">
        <f ca="1">AVERAGE(OFFSET($AM$3,0,0,'Données projet'!$E$10+1,1))-AVERAGE(OFFSET($H$3,0,0,'Données projet'!$E$10+1,1))</f>
        <v>274.66236526869056</v>
      </c>
      <c r="AO30" s="62">
        <f t="shared" si="36"/>
        <v>256.90876395053073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85.176000000000002</v>
      </c>
      <c r="BF30" s="14">
        <f t="shared" si="37"/>
        <v>23.398088487656441</v>
      </c>
      <c r="BG30" s="22">
        <f t="shared" si="7"/>
        <v>189.09987078266829</v>
      </c>
      <c r="BH30" s="62">
        <f t="shared" si="8"/>
        <v>478.76653744933498</v>
      </c>
      <c r="BI30" s="62">
        <f ca="1">AVERAGE(OFFSET($BH$3,0,0,'Données projet'!$E$11+1,1))-AVERAGE(OFFSET($H$3,0,0,'Données projet'!$E$11+1,1))</f>
        <v>475.47920969424894</v>
      </c>
      <c r="BJ30" s="62">
        <f t="shared" si="38"/>
        <v>271.73544012419364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6.7948717948717956</v>
      </c>
      <c r="BY30" s="13">
        <f>IF('Données projet'!$A$114&gt;35,BY29+BX30-CG29,IF(A30&lt;'Données projet'!$A$114,$BV$205^A30,IF(A30='Données projet'!$A$114,'Données projet'!$B$114,BY29+BX30-CG29)))</f>
        <v>86.666666666666657</v>
      </c>
      <c r="BZ30" s="14">
        <f>BY30*VLOOKUP('Données projet'!$B$12,Paramètres!$A$1:$I$89,3,0)*VLOOKUP('Données projet'!$B$12,Paramètres!$A$1:$I$89,5,0)</f>
        <v>90.584000000000003</v>
      </c>
      <c r="CA30" s="14">
        <f t="shared" si="39"/>
        <v>24.706018667982956</v>
      </c>
      <c r="CB30" s="22">
        <f t="shared" si="10"/>
        <v>200.79678251340366</v>
      </c>
      <c r="CC30" s="62">
        <f t="shared" si="11"/>
        <v>490.46344918007037</v>
      </c>
      <c r="CD30" s="62">
        <f ca="1">AVERAGE(OFFSET($CC$3,0,0,'Données projet'!$E$12+1,1))-AVERAGE(OFFSET($H$3,0,0,'Données projet'!$E$12+1,1))</f>
        <v>490.26236605482961</v>
      </c>
      <c r="CE30" s="62">
        <f t="shared" si="40"/>
        <v>283.40133947156238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</v>
      </c>
      <c r="CT30" s="13">
        <f>IF('Données projet'!$A$140&gt;35,CT29+CS30-DB29,IF(A30&lt;'Données projet'!$A$140,$CQ$205^A30,IF(A30='Données projet'!$A$140,'Données projet'!$B$140,CT29+CS30-DB29)))</f>
        <v>95</v>
      </c>
      <c r="CU30" s="18">
        <f>CT30*VLOOKUP('Données projet'!$B$13,Paramètres!$A$1:$I$89,3,0)*VLOOKUP('Données projet'!$B$13,Paramètres!$A$1:$I$89,5,0)</f>
        <v>82.992000000000004</v>
      </c>
      <c r="CV30" s="14">
        <f t="shared" si="41"/>
        <v>22.867173045817324</v>
      </c>
      <c r="CW30" s="22">
        <f t="shared" si="13"/>
        <v>184.37139305479852</v>
      </c>
      <c r="CX30" s="62">
        <f t="shared" si="14"/>
        <v>474.03805972146517</v>
      </c>
      <c r="CY30" s="62">
        <f ca="1">AVERAGE(OFFSET($CX$3,0,0,'Données projet'!$E$13+1,1))-AVERAGE(OFFSET($H$3,0,0,'Données projet'!$E$13+1,1))</f>
        <v>315.3516976788701</v>
      </c>
      <c r="CZ30" s="62">
        <f t="shared" si="42"/>
        <v>266.32508105927997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90.417599999999993</v>
      </c>
      <c r="EL30" s="14">
        <f t="shared" si="45"/>
        <v>24.665912907068826</v>
      </c>
      <c r="EM30" s="22">
        <f t="shared" si="19"/>
        <v>200.43711831314488</v>
      </c>
      <c r="EN30" s="62">
        <f t="shared" si="20"/>
        <v>490.10378497981156</v>
      </c>
      <c r="EO30" s="62">
        <f ca="1">AVERAGE(OFFSET($EN$3,0,0,'Données projet'!$E$15+1,1))-AVERAGE(OFFSET($H$3,0,0,'Données projet'!$E$15+1,1))</f>
        <v>502.07782026233912</v>
      </c>
      <c r="EP30" s="62">
        <f t="shared" si="46"/>
        <v>285.83623046025156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6.5384615384615383</v>
      </c>
      <c r="FE30" s="13">
        <f>IF('Données projet'!$A$218&gt;35,FE29+FD30-FM29,IF(A30&lt;'Données projet'!$A$218,$FB$205^A30,IF(A30='Données projet'!$A$218,'Données projet'!$B$218,FE29+FD30-FM29)))</f>
        <v>84.871794871794819</v>
      </c>
      <c r="FF30" s="18">
        <f>FE30*VLOOKUP('Données projet'!$B$16,Paramètres!$A$1:$I$89,3,0)*VLOOKUP('Données projet'!$B$16,Paramètres!$A$1:$I$89,5,0)</f>
        <v>80.763999999999953</v>
      </c>
      <c r="FG30" s="14">
        <f t="shared" si="47"/>
        <v>22.323882641197464</v>
      </c>
      <c r="FH30" s="22">
        <f t="shared" si="22"/>
        <v>179.54472893341881</v>
      </c>
      <c r="FI30" s="62">
        <f t="shared" si="23"/>
        <v>469.2113956000855</v>
      </c>
      <c r="FJ30" s="62">
        <f ca="1">AVERAGE(OFFSET($FI$3,0,0,'Données projet'!$E$16+1,1))-AVERAGE(OFFSET($H$3,0,0,'Données projet'!$E$16+1,1))</f>
        <v>365.5904647357433</v>
      </c>
      <c r="FK30" s="62">
        <f t="shared" si="48"/>
        <v>256.56280810580841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8.8000000000000007</v>
      </c>
      <c r="FZ30" s="13">
        <f>IF('Données projet'!$A$244&gt;35,FZ29+FY30-GH29,IF(A30&lt;'Données projet'!$A$244,$FW$205^A30,IF(A30='Données projet'!$A$244,'Données projet'!$B$244,FZ29+FY30-GH29)))</f>
        <v>119.59999999999997</v>
      </c>
      <c r="GA30" s="18">
        <f>FZ30*VLOOKUP('Données projet'!$B$17,Paramètres!$A$1:$I$89,3,0)*VLOOKUP('Données projet'!$B$17,Paramètres!$A$1:$I$89,5,0)</f>
        <v>97.019519999999986</v>
      </c>
      <c r="GB30" s="14">
        <f t="shared" si="49"/>
        <v>26.250693712468323</v>
      </c>
      <c r="GC30" s="22">
        <f t="shared" si="25"/>
        <v>214.69562221588228</v>
      </c>
      <c r="GD30" s="62">
        <f t="shared" si="26"/>
        <v>504.36228888254897</v>
      </c>
      <c r="GE30" s="62">
        <f ca="1">AVERAGE(OFFSET($GD$3,0,0,'Données projet'!$E$17+1,1))-AVERAGE(OFFSET($H$3,0,0,'Données projet'!$E$17+1,1))</f>
        <v>256.19915261735281</v>
      </c>
      <c r="GF30" s="62">
        <f t="shared" si="50"/>
        <v>297.47246687305056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4.9084615384615384</v>
      </c>
      <c r="GU30" s="13">
        <f>IF('Données projet'!$A$270&gt;35,GU29+GT30-HC29,IF(A30&lt;'Données projet'!$A$270,$GR$205^A30,IF(A30='Données projet'!$A$270,'Données projet'!$B$270,GU29+GT30-HC29)))</f>
        <v>89.384040457688172</v>
      </c>
      <c r="GV30" s="18">
        <f>GU30*VLOOKUP('Données projet'!$B$18,Paramètres!$A$1:$I$89,3,0)*VLOOKUP('Données projet'!$B$18,Paramètres!$A$1:$I$89,5,0)</f>
        <v>41.831730934198063</v>
      </c>
      <c r="GW30" s="14">
        <f t="shared" si="51"/>
        <v>12.482874982828019</v>
      </c>
      <c r="GX30" s="22">
        <f t="shared" si="28"/>
        <v>94.597938638820423</v>
      </c>
      <c r="GY30" s="62">
        <f t="shared" si="29"/>
        <v>384.26460530548712</v>
      </c>
      <c r="GZ30" s="62">
        <f ca="1">AVERAGE(OFFSET($GY$3,0,0,'Données projet'!$E$18+1,1))-AVERAGE(OFFSET($H$3,0,0,'Données projet'!$E$18+1,1))</f>
        <v>284.704043530756</v>
      </c>
      <c r="HA30" s="62">
        <f t="shared" si="52"/>
        <v>190.4880882944471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2">
        <f t="shared" si="0"/>
        <v>473.84118919501418</v>
      </c>
      <c r="S31" s="62">
        <f ca="1">AVERAGE(OFFSET($R$3,0,0,'Données projet'!$E$9+1,1))-AVERAGE(OFFSET($H$3,0,0,'Données projet'!$E$9+1,1))</f>
        <v>428.8489304403459</v>
      </c>
      <c r="T31" s="62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9.8000000000000007</v>
      </c>
      <c r="AI31" s="14">
        <f>IF('Données projet'!$A$62&gt;35,AI30+AH31-AQ30,IF(A31&lt;'Données projet'!$A$62,$AF$205^A31,IF(A31='Données projet'!$A$62,'Données projet'!$B$62,AI30+AH31-AQ30)))</f>
        <v>94.399999999999991</v>
      </c>
      <c r="AJ31" s="14">
        <f>AI31*VLOOKUP('Données projet'!$B$10,Paramètres!$A$1:$I$89,3,0)*VLOOKUP('Données projet'!$B$10,Paramètres!$A$1:$I$89,5,0)</f>
        <v>82.467839999999995</v>
      </c>
      <c r="AK31" s="14">
        <f t="shared" si="35"/>
        <v>22.739512759227473</v>
      </c>
      <c r="AL31" s="22">
        <f t="shared" si="4"/>
        <v>183.23613938898782</v>
      </c>
      <c r="AM31" s="62">
        <f t="shared" si="5"/>
        <v>474.12502827787671</v>
      </c>
      <c r="AN31" s="62">
        <f ca="1">AVERAGE(OFFSET($AM$3,0,0,'Données projet'!$E$10+1,1))-AVERAGE(OFFSET($H$3,0,0,'Données projet'!$E$10+1,1))</f>
        <v>274.66236526869056</v>
      </c>
      <c r="AO31" s="62">
        <f t="shared" si="36"/>
        <v>256.90876395053073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92.274000000000001</v>
      </c>
      <c r="BF31" s="14">
        <f t="shared" si="37"/>
        <v>25.112860036087575</v>
      </c>
      <c r="BG31" s="22">
        <f t="shared" si="7"/>
        <v>204.4487812295192</v>
      </c>
      <c r="BH31" s="62">
        <f t="shared" si="8"/>
        <v>495.33767011840803</v>
      </c>
      <c r="BI31" s="62">
        <f ca="1">AVERAGE(OFFSET($BH$3,0,0,'Données projet'!$E$11+1,1))-AVERAGE(OFFSET($H$3,0,0,'Données projet'!$E$11+1,1))</f>
        <v>475.47920969424894</v>
      </c>
      <c r="BJ31" s="62">
        <f t="shared" si="38"/>
        <v>271.73544012419364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6.7948717948717956</v>
      </c>
      <c r="BY31" s="13">
        <f>IF('Données projet'!$A$114&gt;35,BY30+BX31-CG30,IF(A31&lt;'Données projet'!$A$114,$BV$205^A31,IF(A31='Données projet'!$A$114,'Données projet'!$B$114,BY30+BX31-CG30)))</f>
        <v>93.461538461538453</v>
      </c>
      <c r="BZ31" s="14">
        <f>BY31*VLOOKUP('Données projet'!$B$12,Paramètres!$A$1:$I$89,3,0)*VLOOKUP('Données projet'!$B$12,Paramètres!$A$1:$I$89,5,0)</f>
        <v>97.686000000000007</v>
      </c>
      <c r="CA31" s="14">
        <f t="shared" si="39"/>
        <v>26.409970051653204</v>
      </c>
      <c r="CB31" s="22">
        <f t="shared" si="10"/>
        <v>216.13381450662936</v>
      </c>
      <c r="CC31" s="62">
        <f t="shared" si="11"/>
        <v>507.02270339551819</v>
      </c>
      <c r="CD31" s="62">
        <f ca="1">AVERAGE(OFFSET($CC$3,0,0,'Données projet'!$E$12+1,1))-AVERAGE(OFFSET($H$3,0,0,'Données projet'!$E$12+1,1))</f>
        <v>490.26236605482961</v>
      </c>
      <c r="CE31" s="62">
        <f t="shared" si="40"/>
        <v>283.40133947156238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</v>
      </c>
      <c r="CT31" s="13">
        <f>IF('Données projet'!$A$140&gt;35,CT30+CS31-DB30,IF(A31&lt;'Données projet'!$A$140,$CQ$205^A31,IF(A31='Données projet'!$A$140,'Données projet'!$B$140,CT30+CS31-DB30)))</f>
        <v>103</v>
      </c>
      <c r="CU31" s="18">
        <f>CT31*VLOOKUP('Données projet'!$B$13,Paramètres!$A$1:$I$89,3,0)*VLOOKUP('Données projet'!$B$13,Paramètres!$A$1:$I$89,5,0)</f>
        <v>89.980800000000016</v>
      </c>
      <c r="CV31" s="14">
        <f t="shared" si="41"/>
        <v>24.560594358746648</v>
      </c>
      <c r="CW31" s="22">
        <f t="shared" si="13"/>
        <v>199.49292850815041</v>
      </c>
      <c r="CX31" s="62">
        <f t="shared" si="14"/>
        <v>490.3818173970393</v>
      </c>
      <c r="CY31" s="62">
        <f ca="1">AVERAGE(OFFSET($CX$3,0,0,'Données projet'!$E$13+1,1))-AVERAGE(OFFSET($H$3,0,0,'Données projet'!$E$13+1,1))</f>
        <v>315.3516976788701</v>
      </c>
      <c r="CZ31" s="62">
        <f t="shared" si="42"/>
        <v>266.32508105927997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97.952399999999997</v>
      </c>
      <c r="EL31" s="14">
        <f t="shared" si="45"/>
        <v>26.473599278177087</v>
      </c>
      <c r="EM31" s="22">
        <f t="shared" si="19"/>
        <v>216.70861540949173</v>
      </c>
      <c r="EN31" s="62">
        <f t="shared" si="20"/>
        <v>507.59750429838061</v>
      </c>
      <c r="EO31" s="62">
        <f ca="1">AVERAGE(OFFSET($EN$3,0,0,'Données projet'!$E$15+1,1))-AVERAGE(OFFSET($H$3,0,0,'Données projet'!$E$15+1,1))</f>
        <v>502.07782026233912</v>
      </c>
      <c r="EP31" s="62">
        <f t="shared" si="46"/>
        <v>285.83623046025156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6.5384615384615383</v>
      </c>
      <c r="FE31" s="13">
        <f>IF('Données projet'!$A$218&gt;35,FE30+FD31-FM30,IF(A31&lt;'Données projet'!$A$218,$FB$205^A31,IF(A31='Données projet'!$A$218,'Données projet'!$B$218,FE30+FD31-FM30)))</f>
        <v>91.410256410256352</v>
      </c>
      <c r="FF31" s="18">
        <f>FE31*VLOOKUP('Données projet'!$B$16,Paramètres!$A$1:$I$89,3,0)*VLOOKUP('Données projet'!$B$16,Paramètres!$A$1:$I$89,5,0)</f>
        <v>86.985999999999947</v>
      </c>
      <c r="FG31" s="14">
        <f t="shared" si="47"/>
        <v>23.836886019918609</v>
      </c>
      <c r="FH31" s="22">
        <f t="shared" si="22"/>
        <v>193.01652648469147</v>
      </c>
      <c r="FI31" s="62">
        <f t="shared" si="23"/>
        <v>483.90541537358035</v>
      </c>
      <c r="FJ31" s="62">
        <f ca="1">AVERAGE(OFFSET($FI$3,0,0,'Données projet'!$E$16+1,1))-AVERAGE(OFFSET($H$3,0,0,'Données projet'!$E$16+1,1))</f>
        <v>365.5904647357433</v>
      </c>
      <c r="FK31" s="62">
        <f t="shared" si="48"/>
        <v>256.56280810580841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8.8000000000000007</v>
      </c>
      <c r="FZ31" s="13">
        <f>IF('Données projet'!$A$244&gt;35,FZ30+FY31-GH30,IF(A31&lt;'Données projet'!$A$244,$FW$205^A31,IF(A31='Données projet'!$A$244,'Données projet'!$B$244,FZ30+FY31-GH30)))</f>
        <v>128.39999999999998</v>
      </c>
      <c r="GA31" s="18">
        <f>FZ31*VLOOKUP('Données projet'!$B$17,Paramètres!$A$1:$I$89,3,0)*VLOOKUP('Données projet'!$B$17,Paramètres!$A$1:$I$89,5,0)</f>
        <v>104.15807999999998</v>
      </c>
      <c r="GB31" s="14">
        <f t="shared" si="49"/>
        <v>27.950241801489337</v>
      </c>
      <c r="GC31" s="22">
        <f t="shared" si="25"/>
        <v>230.08866047092724</v>
      </c>
      <c r="GD31" s="62">
        <f t="shared" si="26"/>
        <v>520.97754935981607</v>
      </c>
      <c r="GE31" s="62">
        <f ca="1">AVERAGE(OFFSET($GD$3,0,0,'Données projet'!$E$17+1,1))-AVERAGE(OFFSET($H$3,0,0,'Données projet'!$E$17+1,1))</f>
        <v>256.19915261735281</v>
      </c>
      <c r="GF31" s="62">
        <f t="shared" si="50"/>
        <v>297.47246687305056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4.9084615384615384</v>
      </c>
      <c r="GU31" s="13">
        <f>IF('Données projet'!$A$270&gt;35,GU30+GT31-HC30,IF(A31&lt;'Données projet'!$A$270,$GR$205^A31,IF(A31='Données projet'!$A$270,'Données projet'!$B$270,GU30+GT31-HC30)))</f>
        <v>105.56716787013318</v>
      </c>
      <c r="GV31" s="18">
        <f>GU31*VLOOKUP('Données projet'!$B$18,Paramètres!$A$1:$I$89,3,0)*VLOOKUP('Données projet'!$B$18,Paramètres!$A$1:$I$89,5,0)</f>
        <v>49.405434563222322</v>
      </c>
      <c r="GW31" s="14">
        <f t="shared" si="51"/>
        <v>14.46010380603388</v>
      </c>
      <c r="GX31" s="22">
        <f t="shared" si="28"/>
        <v>111.23247932645454</v>
      </c>
      <c r="GY31" s="62">
        <f t="shared" si="29"/>
        <v>402.12136821534341</v>
      </c>
      <c r="GZ31" s="62">
        <f ca="1">AVERAGE(OFFSET($GY$3,0,0,'Données projet'!$E$18+1,1))-AVERAGE(OFFSET($H$3,0,0,'Données projet'!$E$18+1,1))</f>
        <v>284.704043530756</v>
      </c>
      <c r="HA31" s="62">
        <f t="shared" si="52"/>
        <v>190.4880882944471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2">
        <f t="shared" si="0"/>
        <v>488.77084588054998</v>
      </c>
      <c r="S32" s="62">
        <f ca="1">AVERAGE(OFFSET($R$3,0,0,'Données projet'!$E$9+1,1))-AVERAGE(OFFSET($H$3,0,0,'Données projet'!$E$9+1,1))</f>
        <v>428.8489304403459</v>
      </c>
      <c r="T32" s="62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9.8000000000000007</v>
      </c>
      <c r="AI32" s="14">
        <f>IF('Données projet'!$A$62&gt;35,AI31+AH32-AQ31,IF(A32&lt;'Données projet'!$A$62,$AF$205^A32,IF(A32='Données projet'!$A$62,'Données projet'!$B$62,AI31+AH32-AQ31)))</f>
        <v>104.19999999999999</v>
      </c>
      <c r="AJ32" s="14">
        <f>AI32*VLOOKUP('Données projet'!$B$10,Paramètres!$A$1:$I$89,3,0)*VLOOKUP('Données projet'!$B$10,Paramètres!$A$1:$I$89,5,0)</f>
        <v>91.029119999999992</v>
      </c>
      <c r="AK32" s="14">
        <f t="shared" si="35"/>
        <v>24.813259479575809</v>
      </c>
      <c r="AL32" s="22">
        <f t="shared" si="4"/>
        <v>201.75881092692782</v>
      </c>
      <c r="AM32" s="62">
        <f t="shared" si="5"/>
        <v>493.86992203803896</v>
      </c>
      <c r="AN32" s="62">
        <f ca="1">AVERAGE(OFFSET($AM$3,0,0,'Données projet'!$E$10+1,1))-AVERAGE(OFFSET($H$3,0,0,'Données projet'!$E$10+1,1))</f>
        <v>274.66236526869056</v>
      </c>
      <c r="AO32" s="62">
        <f t="shared" si="36"/>
        <v>256.90876395053073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99.372000000000014</v>
      </c>
      <c r="BF32" s="14">
        <f t="shared" si="37"/>
        <v>26.812330397327713</v>
      </c>
      <c r="BG32" s="22">
        <f t="shared" si="7"/>
        <v>219.7710421086791</v>
      </c>
      <c r="BH32" s="62">
        <f t="shared" si="8"/>
        <v>511.88215321979021</v>
      </c>
      <c r="BI32" s="62">
        <f ca="1">AVERAGE(OFFSET($BH$3,0,0,'Données projet'!$E$11+1,1))-AVERAGE(OFFSET($H$3,0,0,'Données projet'!$E$11+1,1))</f>
        <v>475.47920969424894</v>
      </c>
      <c r="BJ32" s="62">
        <f t="shared" si="38"/>
        <v>271.73544012419364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6.7948717948717956</v>
      </c>
      <c r="BY32" s="13">
        <f>IF('Données projet'!$A$114&gt;35,BY31+BX32-CG31,IF(A32&lt;'Données projet'!$A$114,$BV$205^A32,IF(A32='Données projet'!$A$114,'Données projet'!$B$114,BY31+BX32-CG31)))</f>
        <v>100.25641025641025</v>
      </c>
      <c r="BZ32" s="14">
        <f>BY32*VLOOKUP('Données projet'!$B$12,Paramètres!$A$1:$I$89,3,0)*VLOOKUP('Données projet'!$B$12,Paramètres!$A$1:$I$89,5,0)</f>
        <v>104.78800000000001</v>
      </c>
      <c r="CA32" s="14">
        <f t="shared" si="39"/>
        <v>28.099549142886474</v>
      </c>
      <c r="CB32" s="22">
        <f t="shared" si="10"/>
        <v>231.44581475719394</v>
      </c>
      <c r="CC32" s="62">
        <f t="shared" si="11"/>
        <v>523.55692586830514</v>
      </c>
      <c r="CD32" s="62">
        <f ca="1">AVERAGE(OFFSET($CC$3,0,0,'Données projet'!$E$12+1,1))-AVERAGE(OFFSET($H$3,0,0,'Données projet'!$E$12+1,1))</f>
        <v>490.26236605482961</v>
      </c>
      <c r="CE32" s="62">
        <f t="shared" si="40"/>
        <v>283.40133947156238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</v>
      </c>
      <c r="CT32" s="13">
        <f>IF('Données projet'!$A$140&gt;35,CT31+CS32-DB31,IF(A32&lt;'Données projet'!$A$140,$CQ$205^A32,IF(A32='Données projet'!$A$140,'Données projet'!$B$140,CT31+CS32-DB31)))</f>
        <v>111</v>
      </c>
      <c r="CU32" s="18">
        <f>CT32*VLOOKUP('Données projet'!$B$13,Paramètres!$A$1:$I$89,3,0)*VLOOKUP('Données projet'!$B$13,Paramètres!$A$1:$I$89,5,0)</f>
        <v>96.969600000000014</v>
      </c>
      <c r="CV32" s="14">
        <f t="shared" si="41"/>
        <v>26.238758642904337</v>
      </c>
      <c r="CW32" s="22">
        <f t="shared" si="13"/>
        <v>214.58789130305843</v>
      </c>
      <c r="CX32" s="62">
        <f t="shared" si="14"/>
        <v>506.69900241416957</v>
      </c>
      <c r="CY32" s="62">
        <f ca="1">AVERAGE(OFFSET($CX$3,0,0,'Données projet'!$E$13+1,1))-AVERAGE(OFFSET($H$3,0,0,'Données projet'!$E$13+1,1))</f>
        <v>315.3516976788701</v>
      </c>
      <c r="CZ32" s="62">
        <f t="shared" si="42"/>
        <v>266.32508105927997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105.48719999999999</v>
      </c>
      <c r="EL32" s="14">
        <f t="shared" si="45"/>
        <v>28.265155367923839</v>
      </c>
      <c r="EM32" s="22">
        <f t="shared" si="19"/>
        <v>232.95201893246733</v>
      </c>
      <c r="EN32" s="62">
        <f t="shared" si="20"/>
        <v>525.06313004357844</v>
      </c>
      <c r="EO32" s="62">
        <f ca="1">AVERAGE(OFFSET($EN$3,0,0,'Données projet'!$E$15+1,1))-AVERAGE(OFFSET($H$3,0,0,'Données projet'!$E$15+1,1))</f>
        <v>502.07782026233912</v>
      </c>
      <c r="EP32" s="62">
        <f t="shared" si="46"/>
        <v>285.83623046025156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6.5384615384615383</v>
      </c>
      <c r="FE32" s="13">
        <f>IF('Données projet'!$A$218&gt;35,FE31+FD32-FM31,IF(A32&lt;'Données projet'!$A$218,$FB$205^A32,IF(A32='Données projet'!$A$218,'Données projet'!$B$218,FE31+FD32-FM31)))</f>
        <v>97.948717948717885</v>
      </c>
      <c r="FF32" s="18">
        <f>FE32*VLOOKUP('Données projet'!$B$16,Paramètres!$A$1:$I$89,3,0)*VLOOKUP('Données projet'!$B$16,Paramètres!$A$1:$I$89,5,0)</f>
        <v>93.207999999999942</v>
      </c>
      <c r="FG32" s="14">
        <f t="shared" si="47"/>
        <v>25.337333212581303</v>
      </c>
      <c r="FH32" s="22">
        <f t="shared" si="22"/>
        <v>206.46645534524563</v>
      </c>
      <c r="FI32" s="62">
        <f t="shared" si="23"/>
        <v>498.57756645635675</v>
      </c>
      <c r="FJ32" s="62">
        <f ca="1">AVERAGE(OFFSET($FI$3,0,0,'Données projet'!$E$16+1,1))-AVERAGE(OFFSET($H$3,0,0,'Données projet'!$E$16+1,1))</f>
        <v>365.5904647357433</v>
      </c>
      <c r="FK32" s="62">
        <f t="shared" si="48"/>
        <v>256.56280810580841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8.8000000000000007</v>
      </c>
      <c r="FZ32" s="13">
        <f>IF('Données projet'!$A$244&gt;35,FZ31+FY32-GH31,IF(A32&lt;'Données projet'!$A$244,$FW$205^A32,IF(A32='Données projet'!$A$244,'Données projet'!$B$244,FZ31+FY32-GH31)))</f>
        <v>137.19999999999999</v>
      </c>
      <c r="GA32" s="18">
        <f>FZ32*VLOOKUP('Données projet'!$B$17,Paramètres!$A$1:$I$89,3,0)*VLOOKUP('Données projet'!$B$17,Paramètres!$A$1:$I$89,5,0)</f>
        <v>111.29664</v>
      </c>
      <c r="GB32" s="14">
        <f t="shared" si="49"/>
        <v>29.636274399319777</v>
      </c>
      <c r="GC32" s="22">
        <f t="shared" si="25"/>
        <v>245.45815924548194</v>
      </c>
      <c r="GD32" s="62">
        <f t="shared" si="26"/>
        <v>537.56927035659305</v>
      </c>
      <c r="GE32" s="62">
        <f ca="1">AVERAGE(OFFSET($GD$3,0,0,'Données projet'!$E$17+1,1))-AVERAGE(OFFSET($H$3,0,0,'Données projet'!$E$17+1,1))</f>
        <v>256.19915261735281</v>
      </c>
      <c r="GF32" s="62">
        <f t="shared" si="50"/>
        <v>297.47246687305056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4.9084615384615384</v>
      </c>
      <c r="GU32" s="13">
        <f>IF('Données projet'!$A$270&gt;35,GU31+GT32-HC31,IF(A32&lt;'Données projet'!$A$270,$GR$205^A32,IF(A32='Données projet'!$A$270,'Données projet'!$B$270,GU31+GT32-HC31)))</f>
        <v>124.68027709483918</v>
      </c>
      <c r="GV32" s="18">
        <f>GU32*VLOOKUP('Données projet'!$B$18,Paramètres!$A$1:$I$89,3,0)*VLOOKUP('Données projet'!$B$18,Paramètres!$A$1:$I$89,5,0)</f>
        <v>58.350369680384738</v>
      </c>
      <c r="GW32" s="14">
        <f t="shared" si="51"/>
        <v>16.750516396977062</v>
      </c>
      <c r="GX32" s="22">
        <f t="shared" si="28"/>
        <v>130.80070991807179</v>
      </c>
      <c r="GY32" s="62">
        <f t="shared" si="29"/>
        <v>422.91182102918293</v>
      </c>
      <c r="GZ32" s="62">
        <f ca="1">AVERAGE(OFFSET($GY$3,0,0,'Données projet'!$E$18+1,1))-AVERAGE(OFFSET($H$3,0,0,'Données projet'!$E$18+1,1))</f>
        <v>284.704043530756</v>
      </c>
      <c r="HA32" s="62">
        <f t="shared" si="52"/>
        <v>190.4880882944471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2">
        <f t="shared" si="0"/>
        <v>503.67832244229635</v>
      </c>
      <c r="S33" s="62">
        <f ca="1">AVERAGE(OFFSET($R$3,0,0,'Données projet'!$E$9+1,1))-AVERAGE(OFFSET($H$3,0,0,'Données projet'!$E$9+1,1))</f>
        <v>428.8489304403459</v>
      </c>
      <c r="T33" s="62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114</v>
      </c>
      <c r="AG33" s="13">
        <f>VLOOKUP(A33,'Données projet'!$A$61:$I$81,9,0)</f>
        <v>9.8000000000000007</v>
      </c>
      <c r="AH33" s="13">
        <f t="array" ref="AH33">INDEX(AG:AG,MIN(IF(ISNUMBER(AG33:AG229),ROW(AG33:AG229),"")))</f>
        <v>9.8000000000000007</v>
      </c>
      <c r="AI33" s="14">
        <f>IF('Données projet'!$A$62&gt;35,AI32+AH33-AQ32,IF(A33&lt;'Données projet'!$A$62,$AF$205^A33,IF(A33='Données projet'!$A$62,'Données projet'!$B$62,AI32+AH33-AQ32)))</f>
        <v>113.99999999999999</v>
      </c>
      <c r="AJ33" s="14">
        <f>AI33*VLOOKUP('Données projet'!$B$10,Paramètres!$A$1:$I$89,3,0)*VLOOKUP('Données projet'!$B$10,Paramètres!$A$1:$I$89,5,0)</f>
        <v>99.590400000000002</v>
      </c>
      <c r="AK33" s="14">
        <f t="shared" si="35"/>
        <v>26.864392698869324</v>
      </c>
      <c r="AL33" s="22">
        <f t="shared" si="4"/>
        <v>220.24209728386407</v>
      </c>
      <c r="AM33" s="62">
        <f t="shared" si="5"/>
        <v>513.57543061719741</v>
      </c>
      <c r="AN33" s="62">
        <f ca="1">AVERAGE(OFFSET($AM$3,0,0,'Données projet'!$E$10+1,1))-AVERAGE(OFFSET($H$3,0,0,'Données projet'!$E$10+1,1))</f>
        <v>274.66236526869056</v>
      </c>
      <c r="AO33" s="62">
        <f t="shared" si="36"/>
        <v>256.90876395053073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106.47</v>
      </c>
      <c r="BF33" s="14">
        <f t="shared" si="37"/>
        <v>28.49771681771891</v>
      </c>
      <c r="BG33" s="22">
        <f t="shared" si="7"/>
        <v>235.06877345752704</v>
      </c>
      <c r="BH33" s="62">
        <f t="shared" si="8"/>
        <v>528.40210679086033</v>
      </c>
      <c r="BI33" s="62">
        <f ca="1">AVERAGE(OFFSET($BH$3,0,0,'Données projet'!$E$11+1,1))-AVERAGE(OFFSET($H$3,0,0,'Données projet'!$E$11+1,1))</f>
        <v>475.47920969424894</v>
      </c>
      <c r="BJ33" s="62">
        <f t="shared" si="38"/>
        <v>271.73544012419364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107.05128205128204</v>
      </c>
      <c r="BW33" s="13">
        <f>VLOOKUP(A33,'Données projet'!$A$113:$I$133,9,0)</f>
        <v>6.7948717948717956</v>
      </c>
      <c r="BX33" s="13">
        <f t="array" ref="BX33">INDEX(BW:BW,MIN(IF(ISNUMBER(BW33:BW229),ROW(BW33:BW229),"")))</f>
        <v>6.7948717948717956</v>
      </c>
      <c r="BY33" s="13">
        <f>IF('Données projet'!$A$114&gt;35,BY32+BX33-CG32,IF(A33&lt;'Données projet'!$A$114,$BV$205^A33,IF(A33='Données projet'!$A$114,'Données projet'!$B$114,BY32+BX33-CG32)))</f>
        <v>107.05128205128204</v>
      </c>
      <c r="BZ33" s="14">
        <f>BY33*VLOOKUP('Données projet'!$B$12,Paramètres!$A$1:$I$89,3,0)*VLOOKUP('Données projet'!$B$12,Paramètres!$A$1:$I$89,5,0)</f>
        <v>111.89000000000001</v>
      </c>
      <c r="CA33" s="14">
        <f t="shared" si="39"/>
        <v>29.775840844916253</v>
      </c>
      <c r="CB33" s="22">
        <f t="shared" si="10"/>
        <v>246.73467280489581</v>
      </c>
      <c r="CC33" s="62">
        <f t="shared" si="11"/>
        <v>540.06800613822907</v>
      </c>
      <c r="CD33" s="62">
        <f ca="1">AVERAGE(OFFSET($CC$3,0,0,'Données projet'!$E$12+1,1))-AVERAGE(OFFSET($H$3,0,0,'Données projet'!$E$12+1,1))</f>
        <v>490.26236605482961</v>
      </c>
      <c r="CE33" s="62">
        <f t="shared" si="40"/>
        <v>283.40133947156238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119</v>
      </c>
      <c r="CR33" s="13">
        <f>VLOOKUP(A33,'Données projet'!$A$139:$I$159,9,0)</f>
        <v>8</v>
      </c>
      <c r="CS33" s="13">
        <f t="array" ref="CS33">INDEX(CR:CR,MIN(IF(ISNUMBER(CR33:CR229),ROW(CR33:CR229),"")))</f>
        <v>8</v>
      </c>
      <c r="CT33" s="13">
        <f>IF('Données projet'!$A$140&gt;35,CT32+CS33-DB32,IF(A33&lt;'Données projet'!$A$140,$CQ$205^A33,IF(A33='Données projet'!$A$140,'Données projet'!$B$140,CT32+CS33-DB32)))</f>
        <v>119</v>
      </c>
      <c r="CU33" s="18">
        <f>CT33*VLOOKUP('Données projet'!$B$13,Paramètres!$A$1:$I$89,3,0)*VLOOKUP('Données projet'!$B$13,Paramètres!$A$1:$I$89,5,0)</f>
        <v>103.9584</v>
      </c>
      <c r="CV33" s="14">
        <f t="shared" si="41"/>
        <v>27.902890560352166</v>
      </c>
      <c r="CW33" s="22">
        <f t="shared" si="13"/>
        <v>229.65841439261331</v>
      </c>
      <c r="CX33" s="62">
        <f t="shared" si="14"/>
        <v>522.99174772594665</v>
      </c>
      <c r="CY33" s="62">
        <f ca="1">AVERAGE(OFFSET($CX$3,0,0,'Données projet'!$E$13+1,1))-AVERAGE(OFFSET($H$3,0,0,'Données projet'!$E$13+1,1))</f>
        <v>315.3516976788701</v>
      </c>
      <c r="CZ33" s="62">
        <f t="shared" si="42"/>
        <v>266.32508105927997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113.02199999999999</v>
      </c>
      <c r="EL33" s="14">
        <f t="shared" si="45"/>
        <v>30.041864379091852</v>
      </c>
      <c r="EM33" s="22">
        <f t="shared" si="19"/>
        <v>249.16956379358496</v>
      </c>
      <c r="EN33" s="62">
        <f t="shared" si="20"/>
        <v>542.50289712691824</v>
      </c>
      <c r="EO33" s="62">
        <f ca="1">AVERAGE(OFFSET($EN$3,0,0,'Données projet'!$E$15+1,1))-AVERAGE(OFFSET($H$3,0,0,'Données projet'!$E$15+1,1))</f>
        <v>502.07782026233912</v>
      </c>
      <c r="EP33" s="62">
        <f t="shared" si="46"/>
        <v>285.83623046025156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104.48717948717949</v>
      </c>
      <c r="FC33" s="13">
        <f>VLOOKUP(A33,'Données projet'!$A$217:$I$237,9,0)</f>
        <v>6.5384615384615383</v>
      </c>
      <c r="FD33" s="13">
        <f t="array" ref="FD33">INDEX(FC:FC,MIN(IF(ISNUMBER(FC33:FC229),ROW(FC33:FC229),"")))</f>
        <v>6.5384615384615383</v>
      </c>
      <c r="FE33" s="13">
        <f>IF('Données projet'!$A$218&gt;35,FE32+FD33-FM32,IF(A33&lt;'Données projet'!$A$218,$FB$205^A33,IF(A33='Données projet'!$A$218,'Données projet'!$B$218,FE32+FD33-FM32)))</f>
        <v>104.48717948717942</v>
      </c>
      <c r="FF33" s="18">
        <f>FE33*VLOOKUP('Données projet'!$B$16,Paramètres!$A$1:$I$89,3,0)*VLOOKUP('Données projet'!$B$16,Paramètres!$A$1:$I$89,5,0)</f>
        <v>99.429999999999936</v>
      </c>
      <c r="FG33" s="14">
        <f t="shared" si="47"/>
        <v>26.826157764100614</v>
      </c>
      <c r="FH33" s="22">
        <f t="shared" si="22"/>
        <v>219.89614143914181</v>
      </c>
      <c r="FI33" s="62">
        <f t="shared" si="23"/>
        <v>513.2294747724751</v>
      </c>
      <c r="FJ33" s="62">
        <f ca="1">AVERAGE(OFFSET($FI$3,0,0,'Données projet'!$E$16+1,1))-AVERAGE(OFFSET($H$3,0,0,'Données projet'!$E$16+1,1))</f>
        <v>365.5904647357433</v>
      </c>
      <c r="FK33" s="62">
        <f t="shared" si="48"/>
        <v>256.56280810580841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146</v>
      </c>
      <c r="FX33" s="13">
        <f>VLOOKUP(A33,'Données projet'!$A$243:$I$263,9,0)</f>
        <v>8.8000000000000007</v>
      </c>
      <c r="FY33" s="13">
        <f t="array" ref="FY33">INDEX(FX:FX,MIN(IF(ISNUMBER(FX33:FX229),ROW(FX33:FX229),"")))</f>
        <v>8.8000000000000007</v>
      </c>
      <c r="FZ33" s="13">
        <f>IF('Données projet'!$A$244&gt;35,FZ32+FY33-GH32,IF(A33&lt;'Données projet'!$A$244,$FW$205^A33,IF(A33='Données projet'!$A$244,'Données projet'!$B$244,FZ32+FY33-GH32)))</f>
        <v>146</v>
      </c>
      <c r="GA33" s="18">
        <f>FZ33*VLOOKUP('Données projet'!$B$17,Paramètres!$A$1:$I$89,3,0)*VLOOKUP('Données projet'!$B$17,Paramètres!$A$1:$I$89,5,0)</f>
        <v>118.43520000000001</v>
      </c>
      <c r="GB33" s="14">
        <f t="shared" si="49"/>
        <v>31.309757056296963</v>
      </c>
      <c r="GC33" s="22">
        <f t="shared" si="25"/>
        <v>260.80580020638394</v>
      </c>
      <c r="GD33" s="62">
        <f t="shared" si="26"/>
        <v>554.13913353971725</v>
      </c>
      <c r="GE33" s="62">
        <f ca="1">AVERAGE(OFFSET($GD$3,0,0,'Données projet'!$E$17+1,1))-AVERAGE(OFFSET($H$3,0,0,'Données projet'!$E$17+1,1))</f>
        <v>256.19915261735281</v>
      </c>
      <c r="GF33" s="62">
        <f t="shared" si="50"/>
        <v>297.47246687305056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147.25384615384615</v>
      </c>
      <c r="GS33" s="13">
        <f>VLOOKUP(A33,'Données projet'!$A$269:$I$289,9,0)</f>
        <v>4.9084615384615384</v>
      </c>
      <c r="GT33" s="13">
        <f t="array" ref="GT33">INDEX(GS:GS,MIN(IF(ISNUMBER(GS33:GS229),ROW(GS33:GS229),"")))</f>
        <v>4.9084615384615384</v>
      </c>
      <c r="GU33" s="13">
        <f>IF('Données projet'!$A$270&gt;35,GU32+GT33-HC32,IF(A33&lt;'Données projet'!$A$270,$GR$205^A33,IF(A33='Données projet'!$A$270,'Données projet'!$B$270,GU32+GT33-HC32)))</f>
        <v>147.25384615384615</v>
      </c>
      <c r="GV33" s="18">
        <f>GU33*VLOOKUP('Données projet'!$B$18,Paramètres!$A$1:$I$89,3,0)*VLOOKUP('Données projet'!$B$18,Paramètres!$A$1:$I$89,5,0)</f>
        <v>68.9148</v>
      </c>
      <c r="GW33" s="14">
        <f t="shared" si="51"/>
        <v>19.403719594897876</v>
      </c>
      <c r="GX33" s="22">
        <f t="shared" si="28"/>
        <v>153.82142162778047</v>
      </c>
      <c r="GY33" s="62">
        <f t="shared" si="29"/>
        <v>447.15475496111378</v>
      </c>
      <c r="GZ33" s="62">
        <f ca="1">AVERAGE(OFFSET($GY$3,0,0,'Données projet'!$E$18+1,1))-AVERAGE(OFFSET($H$3,0,0,'Données projet'!$E$18+1,1))</f>
        <v>284.704043530756</v>
      </c>
      <c r="HA33" s="62">
        <f t="shared" si="52"/>
        <v>190.4880882944471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428.8489304403459</v>
      </c>
      <c r="T34" s="62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122.59999999999998</v>
      </c>
      <c r="AJ34" s="14">
        <f>AI34*VLOOKUP('Données projet'!$B$10,Paramètres!$A$1:$I$89,3,0)*VLOOKUP('Données projet'!$B$10,Paramètres!$A$1:$I$89,5,0)</f>
        <v>107.10336</v>
      </c>
      <c r="AK34" s="14">
        <f t="shared" si="35"/>
        <v>28.647457255358184</v>
      </c>
      <c r="AL34" s="22">
        <f t="shared" si="4"/>
        <v>236.43267338641553</v>
      </c>
      <c r="AM34" s="62">
        <f t="shared" si="5"/>
        <v>529.76600671974882</v>
      </c>
      <c r="AN34" s="62">
        <f ca="1">AVERAGE(OFFSET($AM$3,0,0,'Données projet'!$E$10+1,1))-AVERAGE(OFFSET($H$3,0,0,'Données projet'!$E$10+1,1))</f>
        <v>274.66236526869056</v>
      </c>
      <c r="AO34" s="62">
        <f t="shared" si="36"/>
        <v>256.90876395053073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2">
        <f t="shared" si="8"/>
        <v>482.4332041160016</v>
      </c>
      <c r="BI34" s="62">
        <f ca="1">AVERAGE(OFFSET($BH$3,0,0,'Données projet'!$E$11+1,1))-AVERAGE(OFFSET($H$3,0,0,'Données projet'!$E$11+1,1))</f>
        <v>475.47920969424894</v>
      </c>
      <c r="BJ34" s="62">
        <f t="shared" si="38"/>
        <v>271.73544012419364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6.2820512820512819</v>
      </c>
      <c r="BY34" s="13">
        <f>IF('Données projet'!$A$114&gt;35,BY33+BX34-CG33,IF(A34&lt;'Données projet'!$A$114,$BV$205^A34,IF(A34='Données projet'!$A$114,'Données projet'!$B$114,BY33+BX34-CG33)))</f>
        <v>113.33333333333333</v>
      </c>
      <c r="BZ34" s="14">
        <f>BY34*VLOOKUP('Données projet'!$B$12,Paramètres!$A$1:$I$89,3,0)*VLOOKUP('Données projet'!$B$12,Paramètres!$A$1:$I$89,5,0)</f>
        <v>118.456</v>
      </c>
      <c r="CA34" s="14">
        <f t="shared" si="39"/>
        <v>31.314615682671846</v>
      </c>
      <c r="CB34" s="22">
        <f t="shared" si="10"/>
        <v>260.85048898065349</v>
      </c>
      <c r="CC34" s="62">
        <f t="shared" si="11"/>
        <v>554.18382231398687</v>
      </c>
      <c r="CD34" s="62">
        <f ca="1">AVERAGE(OFFSET($CC$3,0,0,'Données projet'!$E$12+1,1))-AVERAGE(OFFSET($H$3,0,0,'Données projet'!$E$12+1,1))</f>
        <v>490.26236605482961</v>
      </c>
      <c r="CE34" s="62">
        <f t="shared" si="40"/>
        <v>283.40133947156238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7.2</v>
      </c>
      <c r="CT34" s="13">
        <f>IF('Données projet'!$A$140&gt;35,CT33+CS34-DB33,IF(A34&lt;'Données projet'!$A$140,$CQ$205^A34,IF(A34='Données projet'!$A$140,'Données projet'!$B$140,CT33+CS34-DB33)))</f>
        <v>126.2</v>
      </c>
      <c r="CU34" s="18">
        <f>CT34*VLOOKUP('Données projet'!$B$13,Paramètres!$A$1:$I$89,3,0)*VLOOKUP('Données projet'!$B$13,Paramètres!$A$1:$I$89,5,0)</f>
        <v>110.24832000000002</v>
      </c>
      <c r="CV34" s="14">
        <f t="shared" si="41"/>
        <v>29.389483021072536</v>
      </c>
      <c r="CW34" s="22">
        <f t="shared" si="13"/>
        <v>243.20250692836802</v>
      </c>
      <c r="CX34" s="62">
        <f t="shared" si="14"/>
        <v>536.53584026170131</v>
      </c>
      <c r="CY34" s="62">
        <f ca="1">AVERAGE(OFFSET($CX$3,0,0,'Données projet'!$E$13+1,1))-AVERAGE(OFFSET($H$3,0,0,'Données projet'!$E$13+1,1))</f>
        <v>315.3516976788701</v>
      </c>
      <c r="CZ34" s="62">
        <f t="shared" si="42"/>
        <v>266.32508105927997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90.417599999999993</v>
      </c>
      <c r="EL34" s="14">
        <f t="shared" si="45"/>
        <v>24.665912907068826</v>
      </c>
      <c r="EM34" s="22">
        <f t="shared" si="19"/>
        <v>200.43711831314488</v>
      </c>
      <c r="EN34" s="62">
        <f t="shared" si="20"/>
        <v>493.77045164647819</v>
      </c>
      <c r="EO34" s="62">
        <f ca="1">AVERAGE(OFFSET($EN$3,0,0,'Données projet'!$E$15+1,1))-AVERAGE(OFFSET($H$3,0,0,'Données projet'!$E$15+1,1))</f>
        <v>502.07782026233912</v>
      </c>
      <c r="EP34" s="62">
        <f t="shared" si="46"/>
        <v>285.83623046025156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6.4102564102564115</v>
      </c>
      <c r="FE34" s="13">
        <f>IF('Données projet'!$A$218&gt;35,FE33+FD34-FM33,IF(A34&lt;'Données projet'!$A$218,$FB$205^A34,IF(A34='Données projet'!$A$218,'Données projet'!$B$218,FE33+FD34-FM33)))</f>
        <v>110.89743589743583</v>
      </c>
      <c r="FF34" s="18">
        <f>FE34*VLOOKUP('Données projet'!$B$16,Paramètres!$A$1:$I$89,3,0)*VLOOKUP('Données projet'!$B$16,Paramètres!$A$1:$I$89,5,0)</f>
        <v>105.52999999999994</v>
      </c>
      <c r="FG34" s="14">
        <f t="shared" si="47"/>
        <v>28.275288433064141</v>
      </c>
      <c r="FH34" s="22">
        <f t="shared" si="22"/>
        <v>233.04421068758657</v>
      </c>
      <c r="FI34" s="62">
        <f t="shared" si="23"/>
        <v>526.37754402091991</v>
      </c>
      <c r="FJ34" s="62">
        <f ca="1">AVERAGE(OFFSET($FI$3,0,0,'Données projet'!$E$16+1,1))-AVERAGE(OFFSET($H$3,0,0,'Données projet'!$E$16+1,1))</f>
        <v>365.5904647357433</v>
      </c>
      <c r="FK34" s="62">
        <f t="shared" si="48"/>
        <v>256.56280810580841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8.8000000000000007</v>
      </c>
      <c r="FZ34" s="13">
        <f>IF('Données projet'!$A$244&gt;35,FZ33+FY34-GH33,IF(A34&lt;'Données projet'!$A$244,$FW$205^A34,IF(A34='Données projet'!$A$244,'Données projet'!$B$244,FZ33+FY34-GH33)))</f>
        <v>154.80000000000001</v>
      </c>
      <c r="GA34" s="18">
        <f>FZ34*VLOOKUP('Données projet'!$B$17,Paramètres!$A$1:$I$89,3,0)*VLOOKUP('Données projet'!$B$17,Paramètres!$A$1:$I$89,5,0)</f>
        <v>125.57376000000002</v>
      </c>
      <c r="GB34" s="14">
        <f t="shared" si="49"/>
        <v>32.97153235129214</v>
      </c>
      <c r="GC34" s="22">
        <f t="shared" si="25"/>
        <v>276.13305084516719</v>
      </c>
      <c r="GD34" s="62">
        <f t="shared" si="26"/>
        <v>569.46638417850045</v>
      </c>
      <c r="GE34" s="62">
        <f ca="1">AVERAGE(OFFSET($GD$3,0,0,'Données projet'!$E$17+1,1))-AVERAGE(OFFSET($H$3,0,0,'Données projet'!$E$17+1,1))</f>
        <v>256.19915261735281</v>
      </c>
      <c r="GF34" s="62">
        <f t="shared" si="50"/>
        <v>297.47246687305056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10.081538461538457</v>
      </c>
      <c r="GU34" s="13">
        <f>IF('Données projet'!$A$270&gt;35,GU33+GT34-HC33,IF(A34&lt;'Données projet'!$A$270,$GR$205^A34,IF(A34='Données projet'!$A$270,'Données projet'!$B$270,GU33+GT34-HC33)))</f>
        <v>157.33538461538461</v>
      </c>
      <c r="GV34" s="18">
        <f>GU34*VLOOKUP('Données projet'!$B$18,Paramètres!$A$1:$I$89,3,0)*VLOOKUP('Données projet'!$B$18,Paramètres!$A$1:$I$89,5,0)</f>
        <v>73.632959999999997</v>
      </c>
      <c r="GW34" s="14">
        <f t="shared" si="51"/>
        <v>20.572975699225516</v>
      </c>
      <c r="GX34" s="22">
        <f t="shared" si="28"/>
        <v>164.07533800948443</v>
      </c>
      <c r="GY34" s="62">
        <f t="shared" si="29"/>
        <v>457.40867134281774</v>
      </c>
      <c r="GZ34" s="62">
        <f ca="1">AVERAGE(OFFSET($GY$3,0,0,'Données projet'!$E$18+1,1))-AVERAGE(OFFSET($H$3,0,0,'Données projet'!$E$18+1,1))</f>
        <v>284.704043530756</v>
      </c>
      <c r="HA34" s="62">
        <f t="shared" si="52"/>
        <v>190.4880882944471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428.8489304403459</v>
      </c>
      <c r="T35" s="62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131.19999999999999</v>
      </c>
      <c r="AJ35" s="14">
        <f>AI35*VLOOKUP('Données projet'!$B$10,Paramètres!$A$1:$I$89,3,0)*VLOOKUP('Données projet'!$B$10,Paramètres!$A$1:$I$89,5,0)</f>
        <v>114.61632</v>
      </c>
      <c r="AK35" s="14">
        <f t="shared" si="35"/>
        <v>30.416009647934409</v>
      </c>
      <c r="AL35" s="22">
        <f t="shared" si="4"/>
        <v>252.59797413681909</v>
      </c>
      <c r="AM35" s="62">
        <f t="shared" si="5"/>
        <v>545.93130747015243</v>
      </c>
      <c r="AN35" s="62">
        <f ca="1">AVERAGE(OFFSET($AM$3,0,0,'Données projet'!$E$10+1,1))-AVERAGE(OFFSET($H$3,0,0,'Données projet'!$E$10+1,1))</f>
        <v>274.66236526869056</v>
      </c>
      <c r="AO35" s="62">
        <f t="shared" si="36"/>
        <v>256.90876395053073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2">
        <f t="shared" si="8"/>
        <v>499.97258746891305</v>
      </c>
      <c r="BI35" s="62">
        <f ca="1">AVERAGE(OFFSET($BH$3,0,0,'Données projet'!$E$11+1,1))-AVERAGE(OFFSET($H$3,0,0,'Données projet'!$E$11+1,1))</f>
        <v>475.47920969424894</v>
      </c>
      <c r="BJ35" s="62">
        <f t="shared" si="38"/>
        <v>271.73544012419364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6.2820512820512819</v>
      </c>
      <c r="BY35" s="13">
        <f>IF('Données projet'!$A$114&gt;35,BY34+BX35-CG34,IF(A35&lt;'Données projet'!$A$114,$BV$205^A35,IF(A35='Données projet'!$A$114,'Données projet'!$B$114,BY34+BX35-CG34)))</f>
        <v>119.61538461538461</v>
      </c>
      <c r="BZ35" s="14">
        <f>BY35*VLOOKUP('Données projet'!$B$12,Paramètres!$A$1:$I$89,3,0)*VLOOKUP('Données projet'!$B$12,Paramètres!$A$1:$I$89,5,0)</f>
        <v>125.02200000000001</v>
      </c>
      <c r="CA35" s="14">
        <f t="shared" si="39"/>
        <v>32.843488897150117</v>
      </c>
      <c r="CB35" s="22">
        <f t="shared" si="10"/>
        <v>274.94905982920312</v>
      </c>
      <c r="CC35" s="62">
        <f t="shared" si="11"/>
        <v>568.28239316253644</v>
      </c>
      <c r="CD35" s="62">
        <f ca="1">AVERAGE(OFFSET($CC$3,0,0,'Données projet'!$E$12+1,1))-AVERAGE(OFFSET($H$3,0,0,'Données projet'!$E$12+1,1))</f>
        <v>490.26236605482961</v>
      </c>
      <c r="CE35" s="62">
        <f t="shared" si="40"/>
        <v>283.40133947156238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7.2</v>
      </c>
      <c r="CT35" s="13">
        <f>IF('Données projet'!$A$140&gt;35,CT34+CS35-DB34,IF(A35&lt;'Données projet'!$A$140,$CQ$205^A35,IF(A35='Données projet'!$A$140,'Données projet'!$B$140,CT34+CS35-DB34)))</f>
        <v>133.4</v>
      </c>
      <c r="CU35" s="18">
        <f>CT35*VLOOKUP('Données projet'!$B$13,Paramètres!$A$1:$I$89,3,0)*VLOOKUP('Données projet'!$B$13,Paramètres!$A$1:$I$89,5,0)</f>
        <v>116.53824000000002</v>
      </c>
      <c r="CV35" s="14">
        <f t="shared" si="41"/>
        <v>30.866230258957859</v>
      </c>
      <c r="CW35" s="22">
        <f t="shared" si="13"/>
        <v>256.72945236768498</v>
      </c>
      <c r="CX35" s="62">
        <f t="shared" si="14"/>
        <v>550.06278570101836</v>
      </c>
      <c r="CY35" s="62">
        <f ca="1">AVERAGE(OFFSET($CX$3,0,0,'Données projet'!$E$13+1,1))-AVERAGE(OFFSET($H$3,0,0,'Données projet'!$E$13+1,1))</f>
        <v>315.3516976788701</v>
      </c>
      <c r="CZ35" s="62">
        <f t="shared" si="42"/>
        <v>266.32508105927997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99.028800000000004</v>
      </c>
      <c r="EL35" s="14">
        <f t="shared" si="45"/>
        <v>26.730491283721712</v>
      </c>
      <c r="EM35" s="22">
        <f t="shared" si="19"/>
        <v>219.03076565248196</v>
      </c>
      <c r="EN35" s="62">
        <f t="shared" si="20"/>
        <v>512.3640989858153</v>
      </c>
      <c r="EO35" s="62">
        <f ca="1">AVERAGE(OFFSET($EN$3,0,0,'Données projet'!$E$15+1,1))-AVERAGE(OFFSET($H$3,0,0,'Données projet'!$E$15+1,1))</f>
        <v>502.07782026233912</v>
      </c>
      <c r="EP35" s="62">
        <f t="shared" si="46"/>
        <v>285.83623046025156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6.4102564102564115</v>
      </c>
      <c r="FE35" s="13">
        <f>IF('Données projet'!$A$218&gt;35,FE34+FD35-FM34,IF(A35&lt;'Données projet'!$A$218,$FB$205^A35,IF(A35='Données projet'!$A$218,'Données projet'!$B$218,FE34+FD35-FM34)))</f>
        <v>117.30769230769224</v>
      </c>
      <c r="FF35" s="18">
        <f>FE35*VLOOKUP('Données projet'!$B$16,Paramètres!$A$1:$I$89,3,0)*VLOOKUP('Données projet'!$B$16,Paramètres!$A$1:$I$89,5,0)</f>
        <v>111.62999999999994</v>
      </c>
      <c r="FG35" s="14">
        <f t="shared" si="47"/>
        <v>29.714695894576781</v>
      </c>
      <c r="FH35" s="22">
        <f t="shared" si="22"/>
        <v>246.17534534972108</v>
      </c>
      <c r="FI35" s="62">
        <f t="shared" si="23"/>
        <v>539.50867868305443</v>
      </c>
      <c r="FJ35" s="62">
        <f ca="1">AVERAGE(OFFSET($FI$3,0,0,'Données projet'!$E$16+1,1))-AVERAGE(OFFSET($H$3,0,0,'Données projet'!$E$16+1,1))</f>
        <v>365.5904647357433</v>
      </c>
      <c r="FK35" s="62">
        <f t="shared" si="48"/>
        <v>256.56280810580841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8.8000000000000007</v>
      </c>
      <c r="FZ35" s="13">
        <f>IF('Données projet'!$A$244&gt;35,FZ34+FY35-GH34,IF(A35&lt;'Données projet'!$A$244,$FW$205^A35,IF(A35='Données projet'!$A$244,'Données projet'!$B$244,FZ34+FY35-GH34)))</f>
        <v>163.60000000000002</v>
      </c>
      <c r="GA35" s="18">
        <f>FZ35*VLOOKUP('Données projet'!$B$17,Paramètres!$A$1:$I$89,3,0)*VLOOKUP('Données projet'!$B$17,Paramètres!$A$1:$I$89,5,0)</f>
        <v>132.71232000000003</v>
      </c>
      <c r="GB35" s="14">
        <f t="shared" si="49"/>
        <v>34.622341655285041</v>
      </c>
      <c r="GC35" s="22">
        <f t="shared" si="25"/>
        <v>291.44120238295483</v>
      </c>
      <c r="GD35" s="62">
        <f t="shared" si="26"/>
        <v>584.77453571628814</v>
      </c>
      <c r="GE35" s="62">
        <f ca="1">AVERAGE(OFFSET($GD$3,0,0,'Données projet'!$E$17+1,1))-AVERAGE(OFFSET($H$3,0,0,'Données projet'!$E$17+1,1))</f>
        <v>256.19915261735281</v>
      </c>
      <c r="GF35" s="62">
        <f t="shared" si="50"/>
        <v>297.47246687305056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10.081538461538457</v>
      </c>
      <c r="GU35" s="13">
        <f>IF('Données projet'!$A$270&gt;35,GU34+GT35-HC34,IF(A35&lt;'Données projet'!$A$270,$GR$205^A35,IF(A35='Données projet'!$A$270,'Données projet'!$B$270,GU34+GT35-HC34)))</f>
        <v>167.41692307692307</v>
      </c>
      <c r="GV35" s="18">
        <f>GU35*VLOOKUP('Données projet'!$B$18,Paramètres!$A$1:$I$89,3,0)*VLOOKUP('Données projet'!$B$18,Paramètres!$A$1:$I$89,5,0)</f>
        <v>78.351119999999995</v>
      </c>
      <c r="GW35" s="14">
        <f t="shared" si="51"/>
        <v>21.733537031938198</v>
      </c>
      <c r="GX35" s="22">
        <f t="shared" si="28"/>
        <v>174.31411099729235</v>
      </c>
      <c r="GY35" s="62">
        <f t="shared" si="29"/>
        <v>467.64744433062566</v>
      </c>
      <c r="GZ35" s="62">
        <f ca="1">AVERAGE(OFFSET($GY$3,0,0,'Données projet'!$E$18+1,1))-AVERAGE(OFFSET($H$3,0,0,'Données projet'!$E$18+1,1))</f>
        <v>284.704043530756</v>
      </c>
      <c r="HA35" s="62">
        <f t="shared" si="52"/>
        <v>190.4880882944471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428.8489304403459</v>
      </c>
      <c r="T36" s="62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139.79999999999998</v>
      </c>
      <c r="AJ36" s="14">
        <f>AI36*VLOOKUP('Données projet'!$B$10,Paramètres!$A$1:$I$89,3,0)*VLOOKUP('Données projet'!$B$10,Paramètres!$A$1:$I$89,5,0)</f>
        <v>122.12927999999999</v>
      </c>
      <c r="AK36" s="14">
        <f t="shared" si="35"/>
        <v>32.171109382958193</v>
      </c>
      <c r="AL36" s="22">
        <f t="shared" si="4"/>
        <v>268.73984484198553</v>
      </c>
      <c r="AM36" s="62">
        <f t="shared" si="5"/>
        <v>562.07317817531884</v>
      </c>
      <c r="AN36" s="62">
        <f ca="1">AVERAGE(OFFSET($AM$3,0,0,'Données projet'!$E$10+1,1))-AVERAGE(OFFSET($H$3,0,0,'Données projet'!$E$10+1,1))</f>
        <v>274.66236526869056</v>
      </c>
      <c r="AO36" s="62">
        <f t="shared" si="36"/>
        <v>256.90876395053073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2">
        <f t="shared" si="8"/>
        <v>517.477574153982</v>
      </c>
      <c r="BI36" s="62">
        <f ca="1">AVERAGE(OFFSET($BH$3,0,0,'Données projet'!$E$11+1,1))-AVERAGE(OFFSET($H$3,0,0,'Données projet'!$E$11+1,1))</f>
        <v>475.47920969424894</v>
      </c>
      <c r="BJ36" s="62">
        <f t="shared" si="38"/>
        <v>271.73544012419364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6.2820512820512819</v>
      </c>
      <c r="BY36" s="13">
        <f>IF('Données projet'!$A$114&gt;35,BY35+BX36-CG35,IF(A36&lt;'Données projet'!$A$114,$BV$205^A36,IF(A36='Données projet'!$A$114,'Données projet'!$B$114,BY35+BX36-CG35)))</f>
        <v>125.8974358974359</v>
      </c>
      <c r="BZ36" s="14">
        <f>BY36*VLOOKUP('Données projet'!$B$12,Paramètres!$A$1:$I$89,3,0)*VLOOKUP('Données projet'!$B$12,Paramètres!$A$1:$I$89,5,0)</f>
        <v>131.58800000000002</v>
      </c>
      <c r="CA36" s="14">
        <f t="shared" si="39"/>
        <v>34.36303981501495</v>
      </c>
      <c r="CB36" s="22">
        <f t="shared" si="10"/>
        <v>289.03139434448445</v>
      </c>
      <c r="CC36" s="62">
        <f t="shared" si="11"/>
        <v>582.36472767781777</v>
      </c>
      <c r="CD36" s="62">
        <f ca="1">AVERAGE(OFFSET($CC$3,0,0,'Données projet'!$E$12+1,1))-AVERAGE(OFFSET($H$3,0,0,'Données projet'!$E$12+1,1))</f>
        <v>490.26236605482961</v>
      </c>
      <c r="CE36" s="62">
        <f t="shared" si="40"/>
        <v>283.40133947156238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7.2</v>
      </c>
      <c r="CT36" s="13">
        <f>IF('Données projet'!$A$140&gt;35,CT35+CS36-DB35,IF(A36&lt;'Données projet'!$A$140,$CQ$205^A36,IF(A36='Données projet'!$A$140,'Données projet'!$B$140,CT35+CS36-DB35)))</f>
        <v>140.6</v>
      </c>
      <c r="CU36" s="18">
        <f>CT36*VLOOKUP('Données projet'!$B$13,Paramètres!$A$1:$I$89,3,0)*VLOOKUP('Données projet'!$B$13,Paramètres!$A$1:$I$89,5,0)</f>
        <v>122.82816000000001</v>
      </c>
      <c r="CV36" s="14">
        <f t="shared" si="41"/>
        <v>32.333724232859048</v>
      </c>
      <c r="CW36" s="22">
        <f t="shared" si="13"/>
        <v>270.24028170556284</v>
      </c>
      <c r="CX36" s="62">
        <f t="shared" si="14"/>
        <v>563.57361503889615</v>
      </c>
      <c r="CY36" s="62">
        <f ca="1">AVERAGE(OFFSET($CX$3,0,0,'Données projet'!$E$13+1,1))-AVERAGE(OFFSET($H$3,0,0,'Données projet'!$E$13+1,1))</f>
        <v>315.3516976788701</v>
      </c>
      <c r="CZ36" s="62">
        <f t="shared" si="42"/>
        <v>266.32508105927997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107.64</v>
      </c>
      <c r="EL36" s="14">
        <f t="shared" si="45"/>
        <v>28.774250263353583</v>
      </c>
      <c r="EM36" s="22">
        <f t="shared" si="19"/>
        <v>237.58815254200749</v>
      </c>
      <c r="EN36" s="62">
        <f t="shared" si="20"/>
        <v>530.92148587534075</v>
      </c>
      <c r="EO36" s="62">
        <f ca="1">AVERAGE(OFFSET($EN$3,0,0,'Données projet'!$E$15+1,1))-AVERAGE(OFFSET($H$3,0,0,'Données projet'!$E$15+1,1))</f>
        <v>502.07782026233912</v>
      </c>
      <c r="EP36" s="62">
        <f t="shared" si="46"/>
        <v>285.83623046025156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6.4102564102564115</v>
      </c>
      <c r="FE36" s="13">
        <f>IF('Données projet'!$A$218&gt;35,FE35+FD36-FM35,IF(A36&lt;'Données projet'!$A$218,$FB$205^A36,IF(A36='Données projet'!$A$218,'Données projet'!$B$218,FE35+FD36-FM35)))</f>
        <v>123.71794871794864</v>
      </c>
      <c r="FF36" s="18">
        <f>FE36*VLOOKUP('Données projet'!$B$16,Paramètres!$A$1:$I$89,3,0)*VLOOKUP('Données projet'!$B$16,Paramètres!$A$1:$I$89,5,0)</f>
        <v>117.72999999999993</v>
      </c>
      <c r="FG36" s="14">
        <f t="shared" si="47"/>
        <v>31.144972039735432</v>
      </c>
      <c r="FH36" s="22">
        <f t="shared" si="22"/>
        <v>259.29057630253902</v>
      </c>
      <c r="FI36" s="62">
        <f t="shared" si="23"/>
        <v>552.62390963587234</v>
      </c>
      <c r="FJ36" s="62">
        <f ca="1">AVERAGE(OFFSET($FI$3,0,0,'Données projet'!$E$16+1,1))-AVERAGE(OFFSET($H$3,0,0,'Données projet'!$E$16+1,1))</f>
        <v>365.5904647357433</v>
      </c>
      <c r="FK36" s="62">
        <f t="shared" si="48"/>
        <v>256.56280810580841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8.8000000000000007</v>
      </c>
      <c r="FZ36" s="13">
        <f>IF('Données projet'!$A$244&gt;35,FZ35+FY36-GH35,IF(A36&lt;'Données projet'!$A$244,$FW$205^A36,IF(A36='Données projet'!$A$244,'Données projet'!$B$244,FZ35+FY36-GH35)))</f>
        <v>172.40000000000003</v>
      </c>
      <c r="GA36" s="18">
        <f>FZ36*VLOOKUP('Données projet'!$B$17,Paramètres!$A$1:$I$89,3,0)*VLOOKUP('Données projet'!$B$17,Paramètres!$A$1:$I$89,5,0)</f>
        <v>139.85088000000005</v>
      </c>
      <c r="GB36" s="14">
        <f t="shared" si="49"/>
        <v>36.262842078476233</v>
      </c>
      <c r="GC36" s="22">
        <f t="shared" si="25"/>
        <v>306.7313992866795</v>
      </c>
      <c r="GD36" s="62">
        <f t="shared" si="26"/>
        <v>600.06473262001282</v>
      </c>
      <c r="GE36" s="62">
        <f ca="1">AVERAGE(OFFSET($GD$3,0,0,'Données projet'!$E$17+1,1))-AVERAGE(OFFSET($H$3,0,0,'Données projet'!$E$17+1,1))</f>
        <v>256.19915261735281</v>
      </c>
      <c r="GF36" s="62">
        <f t="shared" si="50"/>
        <v>297.47246687305056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10.081538461538457</v>
      </c>
      <c r="GU36" s="13">
        <f>IF('Données projet'!$A$270&gt;35,GU35+GT36-HC35,IF(A36&lt;'Données projet'!$A$270,$GR$205^A36,IF(A36='Données projet'!$A$270,'Données projet'!$B$270,GU35+GT36-HC35)))</f>
        <v>177.49846153846153</v>
      </c>
      <c r="GV36" s="18">
        <f>GU36*VLOOKUP('Données projet'!$B$18,Paramètres!$A$1:$I$89,3,0)*VLOOKUP('Données projet'!$B$18,Paramètres!$A$1:$I$89,5,0)</f>
        <v>83.069279999999992</v>
      </c>
      <c r="GW36" s="14">
        <f t="shared" si="51"/>
        <v>22.885986803211591</v>
      </c>
      <c r="GX36" s="22">
        <f t="shared" si="28"/>
        <v>184.53875634892685</v>
      </c>
      <c r="GY36" s="62">
        <f t="shared" si="29"/>
        <v>477.87208968226014</v>
      </c>
      <c r="GZ36" s="62">
        <f ca="1">AVERAGE(OFFSET($GY$3,0,0,'Données projet'!$E$18+1,1))-AVERAGE(OFFSET($H$3,0,0,'Données projet'!$E$18+1,1))</f>
        <v>284.704043530756</v>
      </c>
      <c r="HA36" s="62">
        <f t="shared" si="52"/>
        <v>190.4880882944471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428.8489304403459</v>
      </c>
      <c r="T37" s="62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148.39999999999998</v>
      </c>
      <c r="AJ37" s="14">
        <f>AI37*VLOOKUP('Données projet'!$B$10,Paramètres!$A$1:$I$89,3,0)*VLOOKUP('Données projet'!$B$10,Paramètres!$A$1:$I$89,5,0)</f>
        <v>129.64224000000002</v>
      </c>
      <c r="AK37" s="14">
        <f t="shared" si="35"/>
        <v>33.91367824625322</v>
      </c>
      <c r="AL37" s="22">
        <f t="shared" si="4"/>
        <v>284.85989094555777</v>
      </c>
      <c r="AM37" s="62">
        <f t="shared" si="5"/>
        <v>578.19322427889108</v>
      </c>
      <c r="AN37" s="62">
        <f ca="1">AVERAGE(OFFSET($AM$3,0,0,'Données projet'!$E$10+1,1))-AVERAGE(OFFSET($H$3,0,0,'Données projet'!$E$10+1,1))</f>
        <v>274.66236526869056</v>
      </c>
      <c r="AO37" s="62">
        <f t="shared" si="36"/>
        <v>256.90876395053073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2">
        <f t="shared" si="8"/>
        <v>534.95122875168499</v>
      </c>
      <c r="BI37" s="62">
        <f ca="1">AVERAGE(OFFSET($BH$3,0,0,'Données projet'!$E$11+1,1))-AVERAGE(OFFSET($H$3,0,0,'Données projet'!$E$11+1,1))</f>
        <v>475.47920969424894</v>
      </c>
      <c r="BJ37" s="62">
        <f t="shared" si="38"/>
        <v>271.73544012419364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6.2820512820512819</v>
      </c>
      <c r="BY37" s="13">
        <f>IF('Données projet'!$A$114&gt;35,BY36+BX37-CG36,IF(A37&lt;'Données projet'!$A$114,$BV$205^A37,IF(A37='Données projet'!$A$114,'Données projet'!$B$114,BY36+BX37-CG36)))</f>
        <v>132.17948717948718</v>
      </c>
      <c r="BZ37" s="14">
        <f>BY37*VLOOKUP('Données projet'!$B$12,Paramètres!$A$1:$I$89,3,0)*VLOOKUP('Données projet'!$B$12,Paramètres!$A$1:$I$89,5,0)</f>
        <v>138.15400000000002</v>
      </c>
      <c r="CA37" s="14">
        <f t="shared" si="39"/>
        <v>35.873786682299354</v>
      </c>
      <c r="CB37" s="22">
        <f t="shared" si="10"/>
        <v>303.09839513833811</v>
      </c>
      <c r="CC37" s="62">
        <f t="shared" si="11"/>
        <v>596.43172847167148</v>
      </c>
      <c r="CD37" s="62">
        <f ca="1">AVERAGE(OFFSET($CC$3,0,0,'Données projet'!$E$12+1,1))-AVERAGE(OFFSET($H$3,0,0,'Données projet'!$E$12+1,1))</f>
        <v>490.26236605482961</v>
      </c>
      <c r="CE37" s="62">
        <f t="shared" si="40"/>
        <v>283.40133947156238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7.2</v>
      </c>
      <c r="CT37" s="13">
        <f>IF('Données projet'!$A$140&gt;35,CT36+CS37-DB36,IF(A37&lt;'Données projet'!$A$140,$CQ$205^A37,IF(A37='Données projet'!$A$140,'Données projet'!$B$140,CT36+CS37-DB36)))</f>
        <v>147.79999999999998</v>
      </c>
      <c r="CU37" s="18">
        <f>CT37*VLOOKUP('Données projet'!$B$13,Paramètres!$A$1:$I$89,3,0)*VLOOKUP('Données projet'!$B$13,Paramètres!$A$1:$I$89,5,0)</f>
        <v>129.11807999999999</v>
      </c>
      <c r="CV37" s="14">
        <f t="shared" si="41"/>
        <v>33.792492849789191</v>
      </c>
      <c r="CW37" s="22">
        <f t="shared" si="13"/>
        <v>283.73591438004951</v>
      </c>
      <c r="CX37" s="62">
        <f t="shared" si="14"/>
        <v>577.06924771338277</v>
      </c>
      <c r="CY37" s="62">
        <f ca="1">AVERAGE(OFFSET($CX$3,0,0,'Données projet'!$E$13+1,1))-AVERAGE(OFFSET($H$3,0,0,'Données projet'!$E$13+1,1))</f>
        <v>315.3516976788701</v>
      </c>
      <c r="CZ37" s="62">
        <f t="shared" si="42"/>
        <v>266.32508105927997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116.2512</v>
      </c>
      <c r="EL37" s="14">
        <f t="shared" si="45"/>
        <v>30.799044755804328</v>
      </c>
      <c r="EM37" s="22">
        <f t="shared" si="19"/>
        <v>256.1125096163592</v>
      </c>
      <c r="EN37" s="62">
        <f t="shared" si="20"/>
        <v>549.44584294969252</v>
      </c>
      <c r="EO37" s="62">
        <f ca="1">AVERAGE(OFFSET($EN$3,0,0,'Données projet'!$E$15+1,1))-AVERAGE(OFFSET($H$3,0,0,'Données projet'!$E$15+1,1))</f>
        <v>502.07782026233912</v>
      </c>
      <c r="EP37" s="62">
        <f t="shared" si="46"/>
        <v>285.83623046025156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6.4102564102564115</v>
      </c>
      <c r="FE37" s="13">
        <f>IF('Données projet'!$A$218&gt;35,FE36+FD37-FM36,IF(A37&lt;'Données projet'!$A$218,$FB$205^A37,IF(A37='Données projet'!$A$218,'Données projet'!$B$218,FE36+FD37-FM36)))</f>
        <v>130.12820512820505</v>
      </c>
      <c r="FF37" s="18">
        <f>FE37*VLOOKUP('Données projet'!$B$16,Paramètres!$A$1:$I$89,3,0)*VLOOKUP('Données projet'!$B$16,Paramètres!$A$1:$I$89,5,0)</f>
        <v>123.82999999999993</v>
      </c>
      <c r="FG37" s="14">
        <f t="shared" si="47"/>
        <v>32.566643959408495</v>
      </c>
      <c r="FH37" s="22">
        <f t="shared" si="22"/>
        <v>272.39082156263629</v>
      </c>
      <c r="FI37" s="62">
        <f t="shared" si="23"/>
        <v>565.7241548959696</v>
      </c>
      <c r="FJ37" s="62">
        <f ca="1">AVERAGE(OFFSET($FI$3,0,0,'Données projet'!$E$16+1,1))-AVERAGE(OFFSET($H$3,0,0,'Données projet'!$E$16+1,1))</f>
        <v>365.5904647357433</v>
      </c>
      <c r="FK37" s="62">
        <f t="shared" si="48"/>
        <v>256.56280810580841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8.8000000000000007</v>
      </c>
      <c r="FZ37" s="13">
        <f>IF('Données projet'!$A$244&gt;35,FZ36+FY37-GH36,IF(A37&lt;'Données projet'!$A$244,$FW$205^A37,IF(A37='Données projet'!$A$244,'Données projet'!$B$244,FZ36+FY37-GH36)))</f>
        <v>181.20000000000005</v>
      </c>
      <c r="GA37" s="18">
        <f>FZ37*VLOOKUP('Données projet'!$B$17,Paramètres!$A$1:$I$89,3,0)*VLOOKUP('Données projet'!$B$17,Paramètres!$A$1:$I$89,5,0)</f>
        <v>146.98944000000006</v>
      </c>
      <c r="GB37" s="14">
        <f t="shared" si="49"/>
        <v>37.893619858723746</v>
      </c>
      <c r="GC37" s="22">
        <f t="shared" si="25"/>
        <v>322.00466258727732</v>
      </c>
      <c r="GD37" s="62">
        <f t="shared" si="26"/>
        <v>615.33799592061064</v>
      </c>
      <c r="GE37" s="62">
        <f ca="1">AVERAGE(OFFSET($GD$3,0,0,'Données projet'!$E$17+1,1))-AVERAGE(OFFSET($H$3,0,0,'Données projet'!$E$17+1,1))</f>
        <v>256.19915261735281</v>
      </c>
      <c r="GF37" s="62">
        <f t="shared" si="50"/>
        <v>297.47246687305056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10.081538461538457</v>
      </c>
      <c r="GU37" s="13">
        <f>IF('Données projet'!$A$270&gt;35,GU36+GT37-HC36,IF(A37&lt;'Données projet'!$A$270,$GR$205^A37,IF(A37='Données projet'!$A$270,'Données projet'!$B$270,GU36+GT37-HC36)))</f>
        <v>187.57999999999998</v>
      </c>
      <c r="GV37" s="18">
        <f>GU37*VLOOKUP('Données projet'!$B$18,Paramètres!$A$1:$I$89,3,0)*VLOOKUP('Données projet'!$B$18,Paramètres!$A$1:$I$89,5,0)</f>
        <v>87.787439999999989</v>
      </c>
      <c r="GW37" s="14">
        <f t="shared" si="51"/>
        <v>24.030838231069868</v>
      </c>
      <c r="GX37" s="22">
        <f t="shared" si="28"/>
        <v>194.75016791911332</v>
      </c>
      <c r="GY37" s="62">
        <f t="shared" si="29"/>
        <v>488.08350125244664</v>
      </c>
      <c r="GZ37" s="62">
        <f ca="1">AVERAGE(OFFSET($GY$3,0,0,'Données projet'!$E$18+1,1))-AVERAGE(OFFSET($H$3,0,0,'Données projet'!$E$18+1,1))</f>
        <v>284.704043530756</v>
      </c>
      <c r="HA37" s="62">
        <f t="shared" si="52"/>
        <v>190.4880882944471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428.8489304403459</v>
      </c>
      <c r="T38" s="62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157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156.99999999999997</v>
      </c>
      <c r="AJ38" s="14">
        <f>AI38*VLOOKUP('Données projet'!$B$10,Paramètres!$A$1:$I$89,3,0)*VLOOKUP('Données projet'!$B$10,Paramètres!$A$1:$I$89,5,0)</f>
        <v>137.15519999999998</v>
      </c>
      <c r="AK38" s="14">
        <f t="shared" si="35"/>
        <v>35.644525151069693</v>
      </c>
      <c r="AL38" s="22">
        <f t="shared" si="4"/>
        <v>300.95952130477968</v>
      </c>
      <c r="AM38" s="62">
        <f t="shared" si="5"/>
        <v>594.292854638113</v>
      </c>
      <c r="AN38" s="62">
        <f ca="1">AVERAGE(OFFSET($AM$3,0,0,'Données projet'!$E$10+1,1))-AVERAGE(OFFSET($H$3,0,0,'Données projet'!$E$10+1,1))</f>
        <v>274.66236526869056</v>
      </c>
      <c r="AO38" s="62">
        <f t="shared" si="36"/>
        <v>256.90876395053073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552.39613607545789</v>
      </c>
      <c r="BI38" s="62">
        <f ca="1">AVERAGE(OFFSET($BH$3,0,0,'Données projet'!$E$11+1,1))-AVERAGE(OFFSET($H$3,0,0,'Données projet'!$E$11+1,1))</f>
        <v>475.47920969424894</v>
      </c>
      <c r="BJ38" s="62">
        <f t="shared" si="38"/>
        <v>271.73544012419364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str">
        <f>VLOOKUP(A38,'Données projet'!$A$113:$I$133,2,0)</f>
        <v>(205+15)/1,56</v>
      </c>
      <c r="BW38" s="13" t="e">
        <f>VLOOKUP(A38,'Données projet'!$A$113:$I$133,9,0)</f>
        <v>#VALUE!</v>
      </c>
      <c r="BX38" s="13">
        <f t="array" ref="BX38">INDEX(BW:BW,MIN(IF(ISNUMBER(BW38:BW234),ROW(BW38:BW234),"")))</f>
        <v>6.2820512820512819</v>
      </c>
      <c r="BY38" s="13">
        <f>IF('Données projet'!$A$114&gt;35,BY37+BX38-CG37,IF(A38&lt;'Données projet'!$A$114,$BV$205^A38,IF(A38='Données projet'!$A$114,'Données projet'!$B$114,BY37+BX38-CG37)))</f>
        <v>138.46153846153845</v>
      </c>
      <c r="BZ38" s="14">
        <f>BY38*VLOOKUP('Données projet'!$B$12,Paramètres!$A$1:$I$89,3,0)*VLOOKUP('Données projet'!$B$12,Paramètres!$A$1:$I$89,5,0)</f>
        <v>144.72</v>
      </c>
      <c r="CA38" s="14">
        <f t="shared" si="39"/>
        <v>37.37619570045397</v>
      </c>
      <c r="CB38" s="22">
        <f t="shared" si="10"/>
        <v>317.15087417829062</v>
      </c>
      <c r="CC38" s="62">
        <f t="shared" si="11"/>
        <v>610.48420751162394</v>
      </c>
      <c r="CD38" s="62">
        <f ca="1">AVERAGE(OFFSET($CC$3,0,0,'Données projet'!$E$12+1,1))-AVERAGE(OFFSET($H$3,0,0,'Données projet'!$E$12+1,1))</f>
        <v>490.26236605482961</v>
      </c>
      <c r="CE38" s="62">
        <f t="shared" si="40"/>
        <v>283.40133947156238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20.512820512820511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155</v>
      </c>
      <c r="CR38" s="13">
        <f>VLOOKUP(A38,'Données projet'!$A$139:$I$159,9,0)</f>
        <v>7.2</v>
      </c>
      <c r="CS38" s="13">
        <f t="array" ref="CS38">INDEX(CR:CR,MIN(IF(ISNUMBER(CR38:CR234),ROW(CR38:CR234),"")))</f>
        <v>7.2</v>
      </c>
      <c r="CT38" s="13">
        <f>IF('Données projet'!$A$140&gt;35,CT37+CS38-DB37,IF(A38&lt;'Données projet'!$A$140,$CQ$205^A38,IF(A38='Données projet'!$A$140,'Données projet'!$B$140,CT37+CS38-DB37)))</f>
        <v>154.99999999999997</v>
      </c>
      <c r="CU38" s="18">
        <f>CT38*VLOOKUP('Données projet'!$B$13,Paramètres!$A$1:$I$89,3,0)*VLOOKUP('Données projet'!$B$13,Paramètres!$A$1:$I$89,5,0)</f>
        <v>135.40799999999999</v>
      </c>
      <c r="CV38" s="14">
        <f t="shared" si="41"/>
        <v>35.243009677478732</v>
      </c>
      <c r="CW38" s="22">
        <f t="shared" si="13"/>
        <v>297.21717518827546</v>
      </c>
      <c r="CX38" s="62">
        <f t="shared" si="14"/>
        <v>590.55050852160878</v>
      </c>
      <c r="CY38" s="62">
        <f ca="1">AVERAGE(OFFSET($CX$3,0,0,'Données projet'!$E$13+1,1))-AVERAGE(OFFSET($H$3,0,0,'Données projet'!$E$13+1,1))</f>
        <v>315.3516976788701</v>
      </c>
      <c r="CZ38" s="62">
        <f t="shared" si="42"/>
        <v>266.32508105927997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124.86239999999999</v>
      </c>
      <c r="EL38" s="14">
        <f t="shared" si="45"/>
        <v>32.806439280561598</v>
      </c>
      <c r="EM38" s="22">
        <f t="shared" si="19"/>
        <v>274.60656174697812</v>
      </c>
      <c r="EN38" s="62">
        <f t="shared" si="20"/>
        <v>567.93989508031143</v>
      </c>
      <c r="EO38" s="62">
        <f ca="1">AVERAGE(OFFSET($EN$3,0,0,'Données projet'!$E$15+1,1))-AVERAGE(OFFSET($H$3,0,0,'Données projet'!$E$15+1,1))</f>
        <v>502.07782026233912</v>
      </c>
      <c r="EP38" s="62">
        <f t="shared" si="46"/>
        <v>285.83623046025156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136.53846153846155</v>
      </c>
      <c r="FC38" s="13">
        <f>VLOOKUP(A38,'Données projet'!$A$217:$I$237,9,0)</f>
        <v>6.4102564102564115</v>
      </c>
      <c r="FD38" s="13">
        <f t="array" ref="FD38">INDEX(FC:FC,MIN(IF(ISNUMBER(FC38:FC234),ROW(FC38:FC234),"")))</f>
        <v>6.4102564102564115</v>
      </c>
      <c r="FE38" s="13">
        <f>IF('Données projet'!$A$218&gt;35,FE37+FD38-FM37,IF(A38&lt;'Données projet'!$A$218,$FB$205^A38,IF(A38='Données projet'!$A$218,'Données projet'!$B$218,FE37+FD38-FM37)))</f>
        <v>136.53846153846146</v>
      </c>
      <c r="FF38" s="18">
        <f>FE38*VLOOKUP('Données projet'!$B$16,Paramètres!$A$1:$I$89,3,0)*VLOOKUP('Données projet'!$B$16,Paramètres!$A$1:$I$89,5,0)</f>
        <v>129.92999999999992</v>
      </c>
      <c r="FG38" s="14">
        <f t="shared" si="47"/>
        <v>33.980183880600833</v>
      </c>
      <c r="FH38" s="22">
        <f t="shared" si="22"/>
        <v>285.47690359204631</v>
      </c>
      <c r="FI38" s="62">
        <f t="shared" si="23"/>
        <v>578.81023692537963</v>
      </c>
      <c r="FJ38" s="62">
        <f ca="1">AVERAGE(OFFSET($FI$3,0,0,'Données projet'!$E$16+1,1))-AVERAGE(OFFSET($H$3,0,0,'Données projet'!$E$16+1,1))</f>
        <v>365.5904647357433</v>
      </c>
      <c r="FK38" s="62">
        <f t="shared" si="48"/>
        <v>256.56280810580841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27.564102564102562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190</v>
      </c>
      <c r="FX38" s="13">
        <f>VLOOKUP(A38,'Données projet'!$A$243:$I$263,9,0)</f>
        <v>8.8000000000000007</v>
      </c>
      <c r="FY38" s="13">
        <f t="array" ref="FY38">INDEX(FX:FX,MIN(IF(ISNUMBER(FX38:FX234),ROW(FX38:FX234),"")))</f>
        <v>8.8000000000000007</v>
      </c>
      <c r="FZ38" s="13">
        <f>IF('Données projet'!$A$244&gt;35,FZ37+FY38-GH37,IF(A38&lt;'Données projet'!$A$244,$FW$205^A38,IF(A38='Données projet'!$A$244,'Données projet'!$B$244,FZ37+FY38-GH37)))</f>
        <v>190.00000000000006</v>
      </c>
      <c r="GA38" s="18">
        <f>FZ38*VLOOKUP('Données projet'!$B$17,Paramètres!$A$1:$I$89,3,0)*VLOOKUP('Données projet'!$B$17,Paramètres!$A$1:$I$89,5,0)</f>
        <v>154.12800000000007</v>
      </c>
      <c r="GB38" s="14">
        <f t="shared" si="49"/>
        <v>39.51520107536119</v>
      </c>
      <c r="GC38" s="22">
        <f t="shared" si="25"/>
        <v>337.26190853958752</v>
      </c>
      <c r="GD38" s="62">
        <f t="shared" si="26"/>
        <v>630.59524187292084</v>
      </c>
      <c r="GE38" s="62">
        <f ca="1">AVERAGE(OFFSET($GD$3,0,0,'Données projet'!$E$17+1,1))-AVERAGE(OFFSET($H$3,0,0,'Données projet'!$E$17+1,1))</f>
        <v>256.19915261735281</v>
      </c>
      <c r="GF38" s="62">
        <f t="shared" si="50"/>
        <v>297.47246687305056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76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197.66153846153844</v>
      </c>
      <c r="GS38" s="13">
        <f>VLOOKUP(A38,'Données projet'!$A$269:$I$289,9,0)</f>
        <v>10.081538461538457</v>
      </c>
      <c r="GT38" s="13">
        <f t="array" ref="GT38">INDEX(GS:GS,MIN(IF(ISNUMBER(GS38:GS234),ROW(GS38:GS234),"")))</f>
        <v>10.081538461538457</v>
      </c>
      <c r="GU38" s="13">
        <f>IF('Données projet'!$A$270&gt;35,GU37+GT38-HC37,IF(A38&lt;'Données projet'!$A$270,$GR$205^A38,IF(A38='Données projet'!$A$270,'Données projet'!$B$270,GU37+GT38-HC37)))</f>
        <v>197.66153846153844</v>
      </c>
      <c r="GV38" s="18">
        <f>GU38*VLOOKUP('Données projet'!$B$18,Paramètres!$A$1:$I$89,3,0)*VLOOKUP('Données projet'!$B$18,Paramètres!$A$1:$I$89,5,0)</f>
        <v>92.505599999999987</v>
      </c>
      <c r="GW38" s="14">
        <f t="shared" si="51"/>
        <v>25.16854625177049</v>
      </c>
      <c r="GX38" s="22">
        <f t="shared" si="28"/>
        <v>204.94913805516691</v>
      </c>
      <c r="GY38" s="62">
        <f t="shared" si="29"/>
        <v>498.2824713885002</v>
      </c>
      <c r="GZ38" s="62">
        <f ca="1">AVERAGE(OFFSET($GY$3,0,0,'Données projet'!$E$18+1,1))-AVERAGE(OFFSET($H$3,0,0,'Données projet'!$E$18+1,1))</f>
        <v>284.704043530756</v>
      </c>
      <c r="HA38" s="62">
        <f t="shared" si="52"/>
        <v>190.4880882944471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2">
        <f t="shared" si="0"/>
        <v>541.50302276112825</v>
      </c>
      <c r="S39" s="62">
        <f ca="1">AVERAGE(OFFSET($R$3,0,0,'Données projet'!$E$9+1,1))-AVERAGE(OFFSET($H$3,0,0,'Données projet'!$E$9+1,1))</f>
        <v>428.8489304403459</v>
      </c>
      <c r="T39" s="62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7.6</v>
      </c>
      <c r="AI39" s="14">
        <f>IF('Données projet'!$A$62&gt;35,AI38+AH39-AQ38,IF(A39&lt;'Données projet'!$A$62,$AF$205^A39,IF(A39='Données projet'!$A$62,'Données projet'!$B$62,AI38+AH39-AQ38)))</f>
        <v>122.59999999999997</v>
      </c>
      <c r="AJ39" s="14">
        <f>AI39*VLOOKUP('Données projet'!$B$10,Paramètres!$A$1:$I$89,3,0)*VLOOKUP('Données projet'!$B$10,Paramètres!$A$1:$I$89,5,0)</f>
        <v>107.10336</v>
      </c>
      <c r="AK39" s="14">
        <f t="shared" si="35"/>
        <v>28.647457255358184</v>
      </c>
      <c r="AL39" s="22">
        <f t="shared" si="4"/>
        <v>236.43267338641553</v>
      </c>
      <c r="AM39" s="62">
        <f t="shared" si="5"/>
        <v>529.76600671974882</v>
      </c>
      <c r="AN39" s="62">
        <f ca="1">AVERAGE(OFFSET($AM$3,0,0,'Données projet'!$E$10+1,1))-AVERAGE(OFFSET($H$3,0,0,'Données projet'!$E$10+1,1))</f>
        <v>274.66236526869056</v>
      </c>
      <c r="AO39" s="62">
        <f t="shared" si="36"/>
        <v>256.90876395053073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126.1416</v>
      </c>
      <c r="BF39" s="14">
        <f t="shared" si="37"/>
        <v>33.10323903126482</v>
      </c>
      <c r="BG39" s="22">
        <f t="shared" si="7"/>
        <v>277.35142797945286</v>
      </c>
      <c r="BH39" s="62">
        <f t="shared" si="8"/>
        <v>570.68476131278612</v>
      </c>
      <c r="BI39" s="62">
        <f ca="1">AVERAGE(OFFSET($BH$3,0,0,'Données projet'!$E$11+1,1))-AVERAGE(OFFSET($H$3,0,0,'Données projet'!$E$11+1,1))</f>
        <v>475.47920969424894</v>
      </c>
      <c r="BJ39" s="62">
        <f t="shared" si="38"/>
        <v>271.73544012419364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6.2820512820512819</v>
      </c>
      <c r="BY39" s="13">
        <f>IF('Données projet'!$A$114&gt;35,BY38+BX39-CG38,IF(A39&lt;'Données projet'!$A$114,$BV$205^A39,IF(A39='Données projet'!$A$114,'Données projet'!$B$114,BY38+BX39-CG38)))</f>
        <v>124.23076923076921</v>
      </c>
      <c r="BZ39" s="14">
        <f>BY39*VLOOKUP('Données projet'!$B$12,Paramètres!$A$1:$I$89,3,0)*VLOOKUP('Données projet'!$B$12,Paramètres!$A$1:$I$89,5,0)</f>
        <v>129.846</v>
      </c>
      <c r="CA39" s="14">
        <f t="shared" si="39"/>
        <v>33.960771999433064</v>
      </c>
      <c r="CB39" s="22">
        <f t="shared" si="10"/>
        <v>285.29679456567925</v>
      </c>
      <c r="CC39" s="62">
        <f t="shared" si="11"/>
        <v>578.63012789901256</v>
      </c>
      <c r="CD39" s="62">
        <f ca="1">AVERAGE(OFFSET($CC$3,0,0,'Données projet'!$E$12+1,1))-AVERAGE(OFFSET($H$3,0,0,'Données projet'!$E$12+1,1))</f>
        <v>490.26236605482961</v>
      </c>
      <c r="CE39" s="62">
        <f t="shared" si="40"/>
        <v>283.40133947156238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</v>
      </c>
      <c r="CT39" s="13">
        <f>IF('Données projet'!$A$140&gt;35,CT38+CS39-DB38,IF(A39&lt;'Données projet'!$A$140,$CQ$205^A39,IF(A39='Données projet'!$A$140,'Données projet'!$B$140,CT38+CS39-DB38)))</f>
        <v>121.99999999999997</v>
      </c>
      <c r="CU39" s="18">
        <f>CT39*VLOOKUP('Données projet'!$B$13,Paramètres!$A$1:$I$89,3,0)*VLOOKUP('Données projet'!$B$13,Paramètres!$A$1:$I$89,5,0)</f>
        <v>106.57919999999999</v>
      </c>
      <c r="CV39" s="14">
        <f t="shared" si="41"/>
        <v>28.523541515222938</v>
      </c>
      <c r="CW39" s="22">
        <f t="shared" si="13"/>
        <v>235.30394147234657</v>
      </c>
      <c r="CX39" s="62">
        <f t="shared" si="14"/>
        <v>528.63727480567991</v>
      </c>
      <c r="CY39" s="62">
        <f ca="1">AVERAGE(OFFSET($CX$3,0,0,'Données projet'!$E$13+1,1))-AVERAGE(OFFSET($H$3,0,0,'Données projet'!$E$13+1,1))</f>
        <v>315.3516976788701</v>
      </c>
      <c r="CZ39" s="62">
        <f t="shared" si="42"/>
        <v>266.32508105927997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133.90415999999999</v>
      </c>
      <c r="EL39" s="14">
        <f t="shared" si="45"/>
        <v>34.896936615903982</v>
      </c>
      <c r="EM39" s="22">
        <f t="shared" si="19"/>
        <v>293.99524327269938</v>
      </c>
      <c r="EN39" s="62">
        <f t="shared" si="20"/>
        <v>587.3285766060327</v>
      </c>
      <c r="EO39" s="62">
        <f ca="1">AVERAGE(OFFSET($EN$3,0,0,'Données projet'!$E$15+1,1))-AVERAGE(OFFSET($H$3,0,0,'Données projet'!$E$15+1,1))</f>
        <v>502.07782026233912</v>
      </c>
      <c r="EP39" s="62">
        <f t="shared" si="46"/>
        <v>285.83623046025156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5.8974358974358951</v>
      </c>
      <c r="FE39" s="13">
        <f>IF('Données projet'!$A$218&gt;35,FE38+FD39-FM38,IF(A39&lt;'Données projet'!$A$218,$FB$205^A39,IF(A39='Données projet'!$A$218,'Données projet'!$B$218,FE38+FD39-FM38)))</f>
        <v>114.87179487179478</v>
      </c>
      <c r="FF39" s="18">
        <f>FE39*VLOOKUP('Données projet'!$B$16,Paramètres!$A$1:$I$89,3,0)*VLOOKUP('Données projet'!$B$16,Paramètres!$A$1:$I$89,5,0)</f>
        <v>109.3119999999999</v>
      </c>
      <c r="FG39" s="14">
        <f t="shared" si="47"/>
        <v>29.168827262472519</v>
      </c>
      <c r="FH39" s="22">
        <f t="shared" si="22"/>
        <v>241.1874408154728</v>
      </c>
      <c r="FI39" s="62">
        <f t="shared" si="23"/>
        <v>534.52077414880614</v>
      </c>
      <c r="FJ39" s="62">
        <f ca="1">AVERAGE(OFFSET($FI$3,0,0,'Données projet'!$E$16+1,1))-AVERAGE(OFFSET($H$3,0,0,'Données projet'!$E$16+1,1))</f>
        <v>365.5904647357433</v>
      </c>
      <c r="FK39" s="62">
        <f t="shared" si="48"/>
        <v>256.56280810580841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7.6</v>
      </c>
      <c r="FZ39" s="13">
        <f>IF('Données projet'!$A$244&gt;35,FZ38+FY39-GH38,IF(A39&lt;'Données projet'!$A$244,$FW$205^A39,IF(A39='Données projet'!$A$244,'Données projet'!$B$244,FZ38+FY39-GH38)))</f>
        <v>121.60000000000005</v>
      </c>
      <c r="GA39" s="18">
        <f>FZ39*VLOOKUP('Données projet'!$B$17,Paramètres!$A$1:$I$89,3,0)*VLOOKUP('Données projet'!$B$17,Paramètres!$A$1:$I$89,5,0)</f>
        <v>98.641920000000042</v>
      </c>
      <c r="GB39" s="14">
        <f t="shared" si="49"/>
        <v>26.638196684151392</v>
      </c>
      <c r="GC39" s="22">
        <f t="shared" si="25"/>
        <v>218.19620322489709</v>
      </c>
      <c r="GD39" s="62">
        <f t="shared" si="26"/>
        <v>511.5295365582304</v>
      </c>
      <c r="GE39" s="62">
        <f ca="1">AVERAGE(OFFSET($GD$3,0,0,'Données projet'!$E$17+1,1))-AVERAGE(OFFSET($H$3,0,0,'Données projet'!$E$17+1,1))</f>
        <v>256.19915261735281</v>
      </c>
      <c r="GF39" s="62">
        <f t="shared" si="50"/>
        <v>297.47246687305056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11.070769230769235</v>
      </c>
      <c r="GU39" s="13">
        <f>IF('Données projet'!$A$270&gt;35,GU38+GT39-HC38,IF(A39&lt;'Données projet'!$A$270,$GR$205^A39,IF(A39='Données projet'!$A$270,'Données projet'!$B$270,GU38+GT39-HC38)))</f>
        <v>208.73230769230767</v>
      </c>
      <c r="GV39" s="18">
        <f>GU39*VLOOKUP('Données projet'!$B$18,Paramètres!$A$1:$I$89,3,0)*VLOOKUP('Données projet'!$B$18,Paramètres!$A$1:$I$89,5,0)</f>
        <v>97.68671999999998</v>
      </c>
      <c r="GW39" s="14">
        <f t="shared" si="51"/>
        <v>26.410142049733377</v>
      </c>
      <c r="GX39" s="22">
        <f t="shared" si="28"/>
        <v>216.13536806995225</v>
      </c>
      <c r="GY39" s="62">
        <f t="shared" si="29"/>
        <v>509.46870140328554</v>
      </c>
      <c r="GZ39" s="62">
        <f ca="1">AVERAGE(OFFSET($GY$3,0,0,'Données projet'!$E$18+1,1))-AVERAGE(OFFSET($H$3,0,0,'Données projet'!$E$18+1,1))</f>
        <v>284.704043530756</v>
      </c>
      <c r="HA39" s="62">
        <f t="shared" si="52"/>
        <v>190.4880882944471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2">
        <f t="shared" si="0"/>
        <v>557.83878140250943</v>
      </c>
      <c r="S40" s="62">
        <f ca="1">AVERAGE(OFFSET($R$3,0,0,'Données projet'!$E$9+1,1))-AVERAGE(OFFSET($H$3,0,0,'Données projet'!$E$9+1,1))</f>
        <v>428.8489304403459</v>
      </c>
      <c r="T40" s="62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7.6</v>
      </c>
      <c r="AI40" s="14">
        <f>IF('Données projet'!$A$62&gt;35,AI39+AH40-AQ39,IF(A40&lt;'Données projet'!$A$62,$AF$205^A40,IF(A40='Données projet'!$A$62,'Données projet'!$B$62,AI39+AH40-AQ39)))</f>
        <v>130.19999999999996</v>
      </c>
      <c r="AJ40" s="14">
        <f>AI40*VLOOKUP('Données projet'!$B$10,Paramètres!$A$1:$I$89,3,0)*VLOOKUP('Données projet'!$B$10,Paramètres!$A$1:$I$89,5,0)</f>
        <v>113.74271999999996</v>
      </c>
      <c r="AK40" s="14">
        <f t="shared" si="35"/>
        <v>30.211074114233345</v>
      </c>
      <c r="AL40" s="22">
        <f t="shared" si="4"/>
        <v>250.71952474895636</v>
      </c>
      <c r="AM40" s="62">
        <f t="shared" si="5"/>
        <v>544.05285808228973</v>
      </c>
      <c r="AN40" s="62">
        <f ca="1">AVERAGE(OFFSET($AM$3,0,0,'Données projet'!$E$10+1,1))-AVERAGE(OFFSET($H$3,0,0,'Données projet'!$E$10+1,1))</f>
        <v>274.66236526869056</v>
      </c>
      <c r="AO40" s="62">
        <f t="shared" si="36"/>
        <v>256.90876395053073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134.65920000000003</v>
      </c>
      <c r="BF40" s="14">
        <f t="shared" si="37"/>
        <v>35.07074737441733</v>
      </c>
      <c r="BG40" s="22">
        <f t="shared" si="7"/>
        <v>295.61299167711019</v>
      </c>
      <c r="BH40" s="62">
        <f t="shared" si="8"/>
        <v>588.9463250104435</v>
      </c>
      <c r="BI40" s="62">
        <f ca="1">AVERAGE(OFFSET($BH$3,0,0,'Données projet'!$E$11+1,1))-AVERAGE(OFFSET($H$3,0,0,'Données projet'!$E$11+1,1))</f>
        <v>475.47920969424894</v>
      </c>
      <c r="BJ40" s="62">
        <f t="shared" si="38"/>
        <v>271.73544012419364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6.2820512820512819</v>
      </c>
      <c r="BY40" s="13">
        <f>IF('Données projet'!$A$114&gt;35,BY39+BX40-CG39,IF(A40&lt;'Données projet'!$A$114,$BV$205^A40,IF(A40='Données projet'!$A$114,'Données projet'!$B$114,BY39+BX40-CG39)))</f>
        <v>130.5128205128205</v>
      </c>
      <c r="BZ40" s="14">
        <f>BY40*VLOOKUP('Données projet'!$B$12,Paramètres!$A$1:$I$89,3,0)*VLOOKUP('Données projet'!$B$12,Paramètres!$A$1:$I$89,5,0)</f>
        <v>136.41200000000001</v>
      </c>
      <c r="CA40" s="14">
        <f t="shared" si="39"/>
        <v>35.473807203286569</v>
      </c>
      <c r="CB40" s="22">
        <f t="shared" si="10"/>
        <v>299.36778087905742</v>
      </c>
      <c r="CC40" s="62">
        <f t="shared" si="11"/>
        <v>592.70111421239073</v>
      </c>
      <c r="CD40" s="62">
        <f ca="1">AVERAGE(OFFSET($CC$3,0,0,'Données projet'!$E$12+1,1))-AVERAGE(OFFSET($H$3,0,0,'Données projet'!$E$12+1,1))</f>
        <v>490.26236605482961</v>
      </c>
      <c r="CE40" s="62">
        <f t="shared" si="40"/>
        <v>283.40133947156238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</v>
      </c>
      <c r="CT40" s="13">
        <f>IF('Données projet'!$A$140&gt;35,CT39+CS40-DB39,IF(A40&lt;'Données projet'!$A$140,$CQ$205^A40,IF(A40='Données projet'!$A$140,'Données projet'!$B$140,CT39+CS40-DB39)))</f>
        <v>128.99999999999997</v>
      </c>
      <c r="CU40" s="18">
        <f>CT40*VLOOKUP('Données projet'!$B$13,Paramètres!$A$1:$I$89,3,0)*VLOOKUP('Données projet'!$B$13,Paramètres!$A$1:$I$89,5,0)</f>
        <v>112.6944</v>
      </c>
      <c r="CV40" s="14">
        <f t="shared" si="41"/>
        <v>29.964909381330632</v>
      </c>
      <c r="CW40" s="22">
        <f t="shared" si="13"/>
        <v>248.46496383915087</v>
      </c>
      <c r="CX40" s="62">
        <f t="shared" si="14"/>
        <v>541.79829717248413</v>
      </c>
      <c r="CY40" s="62">
        <f ca="1">AVERAGE(OFFSET($CX$3,0,0,'Données projet'!$E$13+1,1))-AVERAGE(OFFSET($H$3,0,0,'Données projet'!$E$13+1,1))</f>
        <v>315.3516976788701</v>
      </c>
      <c r="CZ40" s="62">
        <f t="shared" si="42"/>
        <v>266.32508105927997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142.94592</v>
      </c>
      <c r="EL40" s="14">
        <f t="shared" si="45"/>
        <v>36.971054314096854</v>
      </c>
      <c r="EM40" s="22">
        <f t="shared" si="19"/>
        <v>313.35539693038533</v>
      </c>
      <c r="EN40" s="62">
        <f t="shared" si="20"/>
        <v>606.68873026371864</v>
      </c>
      <c r="EO40" s="62">
        <f ca="1">AVERAGE(OFFSET($EN$3,0,0,'Données projet'!$E$15+1,1))-AVERAGE(OFFSET($H$3,0,0,'Données projet'!$E$15+1,1))</f>
        <v>502.07782026233912</v>
      </c>
      <c r="EP40" s="62">
        <f t="shared" si="46"/>
        <v>285.83623046025156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5.8974358974358951</v>
      </c>
      <c r="FE40" s="13">
        <f>IF('Données projet'!$A$218&gt;35,FE39+FD40-FM39,IF(A40&lt;'Données projet'!$A$218,$FB$205^A40,IF(A40='Données projet'!$A$218,'Données projet'!$B$218,FE39+FD40-FM39)))</f>
        <v>120.76923076923067</v>
      </c>
      <c r="FF40" s="18">
        <f>FE40*VLOOKUP('Données projet'!$B$16,Paramètres!$A$1:$I$89,3,0)*VLOOKUP('Données projet'!$B$16,Paramètres!$A$1:$I$89,5,0)</f>
        <v>114.92399999999991</v>
      </c>
      <c r="FG40" s="14">
        <f t="shared" si="47"/>
        <v>30.488144137293805</v>
      </c>
      <c r="FH40" s="22">
        <f t="shared" si="22"/>
        <v>253.25948437245322</v>
      </c>
      <c r="FI40" s="62">
        <f t="shared" si="23"/>
        <v>546.5928177057865</v>
      </c>
      <c r="FJ40" s="62">
        <f ca="1">AVERAGE(OFFSET($FI$3,0,0,'Données projet'!$E$16+1,1))-AVERAGE(OFFSET($H$3,0,0,'Données projet'!$E$16+1,1))</f>
        <v>365.5904647357433</v>
      </c>
      <c r="FK40" s="62">
        <f t="shared" si="48"/>
        <v>256.56280810580841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7.6</v>
      </c>
      <c r="FZ40" s="13">
        <f>IF('Données projet'!$A$244&gt;35,FZ39+FY40-GH39,IF(A40&lt;'Données projet'!$A$244,$FW$205^A40,IF(A40='Données projet'!$A$244,'Données projet'!$B$244,FZ39+FY40-GH39)))</f>
        <v>129.20000000000005</v>
      </c>
      <c r="GA40" s="18">
        <f>FZ40*VLOOKUP('Données projet'!$B$17,Paramètres!$A$1:$I$89,3,0)*VLOOKUP('Données projet'!$B$17,Paramètres!$A$1:$I$89,5,0)</f>
        <v>104.80704000000004</v>
      </c>
      <c r="GB40" s="14">
        <f t="shared" si="49"/>
        <v>28.104060486002457</v>
      </c>
      <c r="GC40" s="22">
        <f t="shared" si="25"/>
        <v>231.48683334645435</v>
      </c>
      <c r="GD40" s="62">
        <f t="shared" si="26"/>
        <v>524.82016667978769</v>
      </c>
      <c r="GE40" s="62">
        <f ca="1">AVERAGE(OFFSET($GD$3,0,0,'Données projet'!$E$17+1,1))-AVERAGE(OFFSET($H$3,0,0,'Données projet'!$E$17+1,1))</f>
        <v>256.19915261735281</v>
      </c>
      <c r="GF40" s="62">
        <f t="shared" si="50"/>
        <v>297.47246687305056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11.070769230769235</v>
      </c>
      <c r="GU40" s="13">
        <f>IF('Données projet'!$A$270&gt;35,GU39+GT40-HC39,IF(A40&lt;'Données projet'!$A$270,$GR$205^A40,IF(A40='Données projet'!$A$270,'Données projet'!$B$270,GU39+GT40-HC39)))</f>
        <v>219.8030769230769</v>
      </c>
      <c r="GV40" s="18">
        <f>GU40*VLOOKUP('Données projet'!$B$18,Paramètres!$A$1:$I$89,3,0)*VLOOKUP('Données projet'!$B$18,Paramètres!$A$1:$I$89,5,0)</f>
        <v>102.86783999999999</v>
      </c>
      <c r="GW40" s="14">
        <f t="shared" si="51"/>
        <v>27.644092514104951</v>
      </c>
      <c r="GX40" s="22">
        <f t="shared" si="28"/>
        <v>227.3082824620661</v>
      </c>
      <c r="GY40" s="62">
        <f t="shared" si="29"/>
        <v>520.64161579539939</v>
      </c>
      <c r="GZ40" s="62">
        <f ca="1">AVERAGE(OFFSET($GY$3,0,0,'Données projet'!$E$18+1,1))-AVERAGE(OFFSET($H$3,0,0,'Données projet'!$E$18+1,1))</f>
        <v>284.704043530756</v>
      </c>
      <c r="HA40" s="62">
        <f t="shared" si="52"/>
        <v>190.4880882944471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2">
        <f t="shared" si="0"/>
        <v>574.15179438724942</v>
      </c>
      <c r="S41" s="62">
        <f ca="1">AVERAGE(OFFSET($R$3,0,0,'Données projet'!$E$9+1,1))-AVERAGE(OFFSET($H$3,0,0,'Données projet'!$E$9+1,1))</f>
        <v>428.8489304403459</v>
      </c>
      <c r="T41" s="62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7.6</v>
      </c>
      <c r="AI41" s="14">
        <f>IF('Données projet'!$A$62&gt;35,AI40+AH41-AQ40,IF(A41&lt;'Données projet'!$A$62,$AF$205^A41,IF(A41='Données projet'!$A$62,'Données projet'!$B$62,AI40+AH41-AQ40)))</f>
        <v>137.79999999999995</v>
      </c>
      <c r="AJ41" s="14">
        <f>AI41*VLOOKUP('Données projet'!$B$10,Paramètres!$A$1:$I$89,3,0)*VLOOKUP('Données projet'!$B$10,Paramètres!$A$1:$I$89,5,0)</f>
        <v>120.38207999999997</v>
      </c>
      <c r="AK41" s="14">
        <f t="shared" si="35"/>
        <v>31.764096685603551</v>
      </c>
      <c r="AL41" s="22">
        <f t="shared" si="4"/>
        <v>264.98792439409277</v>
      </c>
      <c r="AM41" s="62">
        <f t="shared" si="5"/>
        <v>558.32125772742609</v>
      </c>
      <c r="AN41" s="62">
        <f ca="1">AVERAGE(OFFSET($AM$3,0,0,'Données projet'!$E$10+1,1))-AVERAGE(OFFSET($H$3,0,0,'Données projet'!$E$10+1,1))</f>
        <v>274.66236526869056</v>
      </c>
      <c r="AO41" s="62">
        <f t="shared" si="36"/>
        <v>256.90876395053073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143.17680000000004</v>
      </c>
      <c r="BF41" s="14">
        <f t="shared" si="37"/>
        <v>37.023812674521515</v>
      </c>
      <c r="BG41" s="22">
        <f t="shared" si="7"/>
        <v>313.84940040812506</v>
      </c>
      <c r="BH41" s="62">
        <f t="shared" si="8"/>
        <v>607.18273374145838</v>
      </c>
      <c r="BI41" s="62">
        <f ca="1">AVERAGE(OFFSET($BH$3,0,0,'Données projet'!$E$11+1,1))-AVERAGE(OFFSET($H$3,0,0,'Données projet'!$E$11+1,1))</f>
        <v>475.47920969424894</v>
      </c>
      <c r="BJ41" s="62">
        <f t="shared" si="38"/>
        <v>271.73544012419364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6.2820512820512819</v>
      </c>
      <c r="BY41" s="13">
        <f>IF('Données projet'!$A$114&gt;35,BY40+BX41-CG40,IF(A41&lt;'Données projet'!$A$114,$BV$205^A41,IF(A41='Données projet'!$A$114,'Données projet'!$B$114,BY40+BX41-CG40)))</f>
        <v>136.79487179487177</v>
      </c>
      <c r="BZ41" s="14">
        <f>BY41*VLOOKUP('Données projet'!$B$12,Paramètres!$A$1:$I$89,3,0)*VLOOKUP('Données projet'!$B$12,Paramètres!$A$1:$I$89,5,0)</f>
        <v>142.97799999999998</v>
      </c>
      <c r="CA41" s="14">
        <f t="shared" si="39"/>
        <v>36.978385503948587</v>
      </c>
      <c r="CB41" s="22">
        <f t="shared" si="10"/>
        <v>313.42403808604377</v>
      </c>
      <c r="CC41" s="62">
        <f t="shared" si="11"/>
        <v>606.75737141937702</v>
      </c>
      <c r="CD41" s="62">
        <f ca="1">AVERAGE(OFFSET($CC$3,0,0,'Données projet'!$E$12+1,1))-AVERAGE(OFFSET($H$3,0,0,'Données projet'!$E$12+1,1))</f>
        <v>490.26236605482961</v>
      </c>
      <c r="CE41" s="62">
        <f t="shared" si="40"/>
        <v>283.40133947156238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</v>
      </c>
      <c r="CT41" s="13">
        <f>IF('Données projet'!$A$140&gt;35,CT40+CS41-DB40,IF(A41&lt;'Données projet'!$A$140,$CQ$205^A41,IF(A41='Données projet'!$A$140,'Données projet'!$B$140,CT40+CS41-DB40)))</f>
        <v>135.99999999999997</v>
      </c>
      <c r="CU41" s="18">
        <f>CT41*VLOOKUP('Données projet'!$B$13,Paramètres!$A$1:$I$89,3,0)*VLOOKUP('Données projet'!$B$13,Paramètres!$A$1:$I$89,5,0)</f>
        <v>118.8096</v>
      </c>
      <c r="CV41" s="14">
        <f t="shared" si="41"/>
        <v>31.39719715333722</v>
      </c>
      <c r="CW41" s="22">
        <f t="shared" si="13"/>
        <v>261.61017170872896</v>
      </c>
      <c r="CX41" s="62">
        <f t="shared" si="14"/>
        <v>554.94350504206227</v>
      </c>
      <c r="CY41" s="62">
        <f ca="1">AVERAGE(OFFSET($CX$3,0,0,'Données projet'!$E$13+1,1))-AVERAGE(OFFSET($H$3,0,0,'Données projet'!$E$13+1,1))</f>
        <v>315.3516976788701</v>
      </c>
      <c r="CZ41" s="62">
        <f t="shared" si="42"/>
        <v>266.32508105927997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151.98768000000001</v>
      </c>
      <c r="EL41" s="14">
        <f t="shared" si="45"/>
        <v>39.029946373574369</v>
      </c>
      <c r="EM41" s="22">
        <f t="shared" si="19"/>
        <v>332.68903260064207</v>
      </c>
      <c r="EN41" s="62">
        <f t="shared" si="20"/>
        <v>626.02236593397538</v>
      </c>
      <c r="EO41" s="62">
        <f ca="1">AVERAGE(OFFSET($EN$3,0,0,'Données projet'!$E$15+1,1))-AVERAGE(OFFSET($H$3,0,0,'Données projet'!$E$15+1,1))</f>
        <v>502.07782026233912</v>
      </c>
      <c r="EP41" s="62">
        <f t="shared" si="46"/>
        <v>285.83623046025156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5.8974358974358951</v>
      </c>
      <c r="FE41" s="13">
        <f>IF('Données projet'!$A$218&gt;35,FE40+FD41-FM40,IF(A41&lt;'Données projet'!$A$218,$FB$205^A41,IF(A41='Données projet'!$A$218,'Données projet'!$B$218,FE40+FD41-FM40)))</f>
        <v>126.66666666666657</v>
      </c>
      <c r="FF41" s="18">
        <f>FE41*VLOOKUP('Données projet'!$B$16,Paramètres!$A$1:$I$89,3,0)*VLOOKUP('Données projet'!$B$16,Paramètres!$A$1:$I$89,5,0)</f>
        <v>120.53599999999992</v>
      </c>
      <c r="FG41" s="14">
        <f t="shared" si="47"/>
        <v>31.799980047464292</v>
      </c>
      <c r="FH41" s="22">
        <f t="shared" si="22"/>
        <v>265.31849858266679</v>
      </c>
      <c r="FI41" s="62">
        <f t="shared" si="23"/>
        <v>558.65183191600011</v>
      </c>
      <c r="FJ41" s="62">
        <f ca="1">AVERAGE(OFFSET($FI$3,0,0,'Données projet'!$E$16+1,1))-AVERAGE(OFFSET($H$3,0,0,'Données projet'!$E$16+1,1))</f>
        <v>365.5904647357433</v>
      </c>
      <c r="FK41" s="62">
        <f t="shared" si="48"/>
        <v>256.56280810580841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7.6</v>
      </c>
      <c r="FZ41" s="13">
        <f>IF('Données projet'!$A$244&gt;35,FZ40+FY41-GH40,IF(A41&lt;'Données projet'!$A$244,$FW$205^A41,IF(A41='Données projet'!$A$244,'Données projet'!$B$244,FZ40+FY41-GH40)))</f>
        <v>136.80000000000004</v>
      </c>
      <c r="GA41" s="18">
        <f>FZ41*VLOOKUP('Données projet'!$B$17,Paramètres!$A$1:$I$89,3,0)*VLOOKUP('Données projet'!$B$17,Paramètres!$A$1:$I$89,5,0)</f>
        <v>110.97216000000004</v>
      </c>
      <c r="GB41" s="14">
        <f t="shared" si="49"/>
        <v>29.559915623187329</v>
      </c>
      <c r="GC41" s="22">
        <f t="shared" si="25"/>
        <v>244.76003171038471</v>
      </c>
      <c r="GD41" s="62">
        <f t="shared" si="26"/>
        <v>538.09336504371799</v>
      </c>
      <c r="GE41" s="62">
        <f ca="1">AVERAGE(OFFSET($GD$3,0,0,'Données projet'!$E$17+1,1))-AVERAGE(OFFSET($H$3,0,0,'Données projet'!$E$17+1,1))</f>
        <v>256.19915261735281</v>
      </c>
      <c r="GF41" s="62">
        <f t="shared" si="50"/>
        <v>297.47246687305056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11.070769230769235</v>
      </c>
      <c r="GU41" s="13">
        <f>IF('Données projet'!$A$270&gt;35,GU40+GT41-HC40,IF(A41&lt;'Données projet'!$A$270,$GR$205^A41,IF(A41='Données projet'!$A$270,'Données projet'!$B$270,GU40+GT41-HC40)))</f>
        <v>230.87384615384613</v>
      </c>
      <c r="GV41" s="18">
        <f>GU41*VLOOKUP('Données projet'!$B$18,Paramètres!$A$1:$I$89,3,0)*VLOOKUP('Données projet'!$B$18,Paramètres!$A$1:$I$89,5,0)</f>
        <v>108.04895999999998</v>
      </c>
      <c r="GW41" s="14">
        <f t="shared" si="51"/>
        <v>28.870826651685725</v>
      </c>
      <c r="GX41" s="22">
        <f t="shared" si="28"/>
        <v>238.46862841835264</v>
      </c>
      <c r="GY41" s="62">
        <f t="shared" si="29"/>
        <v>531.80196175168589</v>
      </c>
      <c r="GZ41" s="62">
        <f ca="1">AVERAGE(OFFSET($GY$3,0,0,'Données projet'!$E$18+1,1))-AVERAGE(OFFSET($H$3,0,0,'Données projet'!$E$18+1,1))</f>
        <v>284.704043530756</v>
      </c>
      <c r="HA41" s="62">
        <f t="shared" si="52"/>
        <v>190.4880882944471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2">
        <f t="shared" si="0"/>
        <v>590.44356897369653</v>
      </c>
      <c r="S42" s="62">
        <f ca="1">AVERAGE(OFFSET($R$3,0,0,'Données projet'!$E$9+1,1))-AVERAGE(OFFSET($H$3,0,0,'Données projet'!$E$9+1,1))</f>
        <v>428.8489304403459</v>
      </c>
      <c r="T42" s="62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7.6</v>
      </c>
      <c r="AI42" s="14">
        <f>IF('Données projet'!$A$62&gt;35,AI41+AH42-AQ41,IF(A42&lt;'Données projet'!$A$62,$AF$205^A42,IF(A42='Données projet'!$A$62,'Données projet'!$B$62,AI41+AH42-AQ41)))</f>
        <v>145.39999999999995</v>
      </c>
      <c r="AJ42" s="14">
        <f>AI42*VLOOKUP('Données projet'!$B$10,Paramètres!$A$1:$I$89,3,0)*VLOOKUP('Données projet'!$B$10,Paramètres!$A$1:$I$89,5,0)</f>
        <v>127.02143999999997</v>
      </c>
      <c r="AK42" s="14">
        <f t="shared" si="35"/>
        <v>33.307175870664402</v>
      </c>
      <c r="AL42" s="22">
        <f t="shared" si="4"/>
        <v>279.23900597474045</v>
      </c>
      <c r="AM42" s="62">
        <f t="shared" si="5"/>
        <v>572.57233930807377</v>
      </c>
      <c r="AN42" s="62">
        <f ca="1">AVERAGE(OFFSET($AM$3,0,0,'Données projet'!$E$10+1,1))-AVERAGE(OFFSET($H$3,0,0,'Données projet'!$E$10+1,1))</f>
        <v>274.66236526869056</v>
      </c>
      <c r="AO42" s="62">
        <f t="shared" si="36"/>
        <v>256.90876395053073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151.69440000000003</v>
      </c>
      <c r="BF42" s="14">
        <f t="shared" si="37"/>
        <v>38.963392010880654</v>
      </c>
      <c r="BG42" s="22">
        <f t="shared" si="7"/>
        <v>332.06232108561716</v>
      </c>
      <c r="BH42" s="62">
        <f t="shared" si="8"/>
        <v>625.39565441895047</v>
      </c>
      <c r="BI42" s="62">
        <f ca="1">AVERAGE(OFFSET($BH$3,0,0,'Données projet'!$E$11+1,1))-AVERAGE(OFFSET($H$3,0,0,'Données projet'!$E$11+1,1))</f>
        <v>475.47920969424894</v>
      </c>
      <c r="BJ42" s="62">
        <f t="shared" si="38"/>
        <v>271.73544012419364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6.2820512820512819</v>
      </c>
      <c r="BY42" s="13">
        <f>IF('Données projet'!$A$114&gt;35,BY41+BX42-CG41,IF(A42&lt;'Données projet'!$A$114,$BV$205^A42,IF(A42='Données projet'!$A$114,'Données projet'!$B$114,BY41+BX42-CG41)))</f>
        <v>143.07692307692304</v>
      </c>
      <c r="BZ42" s="14">
        <f>BY42*VLOOKUP('Données projet'!$B$12,Paramètres!$A$1:$I$89,3,0)*VLOOKUP('Données projet'!$B$12,Paramètres!$A$1:$I$89,5,0)</f>
        <v>149.54399999999998</v>
      </c>
      <c r="CA42" s="14">
        <f t="shared" si="39"/>
        <v>38.474939629154179</v>
      </c>
      <c r="CB42" s="22">
        <f t="shared" si="10"/>
        <v>327.46631985411017</v>
      </c>
      <c r="CC42" s="62">
        <f t="shared" si="11"/>
        <v>620.79965318744348</v>
      </c>
      <c r="CD42" s="62">
        <f ca="1">AVERAGE(OFFSET($CC$3,0,0,'Données projet'!$E$12+1,1))-AVERAGE(OFFSET($H$3,0,0,'Données projet'!$E$12+1,1))</f>
        <v>490.26236605482961</v>
      </c>
      <c r="CE42" s="62">
        <f t="shared" si="40"/>
        <v>283.40133947156238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</v>
      </c>
      <c r="CT42" s="13">
        <f>IF('Données projet'!$A$140&gt;35,CT41+CS42-DB41,IF(A42&lt;'Données projet'!$A$140,$CQ$205^A42,IF(A42='Données projet'!$A$140,'Données projet'!$B$140,CT41+CS42-DB41)))</f>
        <v>142.99999999999997</v>
      </c>
      <c r="CU42" s="18">
        <f>CT42*VLOOKUP('Données projet'!$B$13,Paramètres!$A$1:$I$89,3,0)*VLOOKUP('Données projet'!$B$13,Paramètres!$A$1:$I$89,5,0)</f>
        <v>124.9248</v>
      </c>
      <c r="CV42" s="14">
        <f t="shared" si="41"/>
        <v>32.820925500842712</v>
      </c>
      <c r="CW42" s="22">
        <f t="shared" si="13"/>
        <v>274.74047191396772</v>
      </c>
      <c r="CX42" s="62">
        <f t="shared" si="14"/>
        <v>568.07380524730104</v>
      </c>
      <c r="CY42" s="62">
        <f ca="1">AVERAGE(OFFSET($CX$3,0,0,'Données projet'!$E$13+1,1))-AVERAGE(OFFSET($H$3,0,0,'Données projet'!$E$13+1,1))</f>
        <v>315.3516976788701</v>
      </c>
      <c r="CZ42" s="62">
        <f t="shared" si="42"/>
        <v>266.32508105927997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161.02944000000002</v>
      </c>
      <c r="EL42" s="14">
        <f t="shared" si="45"/>
        <v>41.074621732940685</v>
      </c>
      <c r="EM42" s="22">
        <f t="shared" si="19"/>
        <v>351.99790751820501</v>
      </c>
      <c r="EN42" s="62">
        <f t="shared" si="20"/>
        <v>645.33124085153827</v>
      </c>
      <c r="EO42" s="62">
        <f ca="1">AVERAGE(OFFSET($EN$3,0,0,'Données projet'!$E$15+1,1))-AVERAGE(OFFSET($H$3,0,0,'Données projet'!$E$15+1,1))</f>
        <v>502.07782026233912</v>
      </c>
      <c r="EP42" s="62">
        <f t="shared" si="46"/>
        <v>285.83623046025156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5.8974358974358951</v>
      </c>
      <c r="FE42" s="13">
        <f>IF('Données projet'!$A$218&gt;35,FE41+FD42-FM41,IF(A42&lt;'Données projet'!$A$218,$FB$205^A42,IF(A42='Données projet'!$A$218,'Données projet'!$B$218,FE41+FD42-FM41)))</f>
        <v>132.56410256410246</v>
      </c>
      <c r="FF42" s="18">
        <f>FE42*VLOOKUP('Données projet'!$B$16,Paramètres!$A$1:$I$89,3,0)*VLOOKUP('Données projet'!$B$16,Paramètres!$A$1:$I$89,5,0)</f>
        <v>126.1479999999999</v>
      </c>
      <c r="FG42" s="14">
        <f t="shared" si="47"/>
        <v>33.104723074499439</v>
      </c>
      <c r="FH42" s="22">
        <f t="shared" si="22"/>
        <v>277.36515935475296</v>
      </c>
      <c r="FI42" s="62">
        <f t="shared" si="23"/>
        <v>570.69849268808628</v>
      </c>
      <c r="FJ42" s="62">
        <f ca="1">AVERAGE(OFFSET($FI$3,0,0,'Données projet'!$E$16+1,1))-AVERAGE(OFFSET($H$3,0,0,'Données projet'!$E$16+1,1))</f>
        <v>365.5904647357433</v>
      </c>
      <c r="FK42" s="62">
        <f t="shared" si="48"/>
        <v>256.56280810580841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7.6</v>
      </c>
      <c r="FZ42" s="13">
        <f>IF('Données projet'!$A$244&gt;35,FZ41+FY42-GH41,IF(A42&lt;'Données projet'!$A$244,$FW$205^A42,IF(A42='Données projet'!$A$244,'Données projet'!$B$244,FZ41+FY42-GH41)))</f>
        <v>144.40000000000003</v>
      </c>
      <c r="GA42" s="18">
        <f>FZ42*VLOOKUP('Données projet'!$B$17,Paramètres!$A$1:$I$89,3,0)*VLOOKUP('Données projet'!$B$17,Paramètres!$A$1:$I$89,5,0)</f>
        <v>117.13728000000003</v>
      </c>
      <c r="GB42" s="14">
        <f t="shared" si="49"/>
        <v>31.006381507018595</v>
      </c>
      <c r="GC42" s="22">
        <f t="shared" si="25"/>
        <v>258.01687712472409</v>
      </c>
      <c r="GD42" s="62">
        <f t="shared" si="26"/>
        <v>551.3502104580574</v>
      </c>
      <c r="GE42" s="62">
        <f ca="1">AVERAGE(OFFSET($GD$3,0,0,'Données projet'!$E$17+1,1))-AVERAGE(OFFSET($H$3,0,0,'Données projet'!$E$17+1,1))</f>
        <v>256.19915261735281</v>
      </c>
      <c r="GF42" s="62">
        <f t="shared" si="50"/>
        <v>297.47246687305056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11.070769230769235</v>
      </c>
      <c r="GU42" s="13">
        <f>IF('Données projet'!$A$270&gt;35,GU41+GT42-HC41,IF(A42&lt;'Données projet'!$A$270,$GR$205^A42,IF(A42='Données projet'!$A$270,'Données projet'!$B$270,GU41+GT42-HC41)))</f>
        <v>241.94461538461536</v>
      </c>
      <c r="GV42" s="18">
        <f>GU42*VLOOKUP('Données projet'!$B$18,Paramètres!$A$1:$I$89,3,0)*VLOOKUP('Données projet'!$B$18,Paramètres!$A$1:$I$89,5,0)</f>
        <v>113.23008</v>
      </c>
      <c r="GW42" s="14">
        <f t="shared" si="51"/>
        <v>30.090730001446975</v>
      </c>
      <c r="GX42" s="22">
        <f t="shared" si="28"/>
        <v>249.61707741918681</v>
      </c>
      <c r="GY42" s="62">
        <f t="shared" si="29"/>
        <v>542.95041075252016</v>
      </c>
      <c r="GZ42" s="62">
        <f ca="1">AVERAGE(OFFSET($GY$3,0,0,'Données projet'!$E$18+1,1))-AVERAGE(OFFSET($H$3,0,0,'Données projet'!$E$18+1,1))</f>
        <v>284.704043530756</v>
      </c>
      <c r="HA42" s="62">
        <f t="shared" si="52"/>
        <v>190.4880882944471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2">
        <f t="shared" si="0"/>
        <v>606.71543359582972</v>
      </c>
      <c r="S43" s="62">
        <f ca="1">AVERAGE(OFFSET($R$3,0,0,'Données projet'!$E$9+1,1))-AVERAGE(OFFSET($H$3,0,0,'Données projet'!$E$9+1,1))</f>
        <v>428.8489304403459</v>
      </c>
      <c r="T43" s="62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153</v>
      </c>
      <c r="AG43" s="13">
        <f>VLOOKUP(A43,'Données projet'!$A$61:$I$81,9,0)</f>
        <v>7.6</v>
      </c>
      <c r="AH43" s="13">
        <f t="array" ref="AH43">INDEX(AG:AG,MIN(IF(ISNUMBER(AG43:AG239),ROW(AG43:AG239),"")))</f>
        <v>7.6</v>
      </c>
      <c r="AI43" s="14">
        <f>IF('Données projet'!$A$62&gt;35,AI42+AH43-AQ42,IF(A43&lt;'Données projet'!$A$62,$AF$205^A43,IF(A43='Données projet'!$A$62,'Données projet'!$B$62,AI42+AH43-AQ42)))</f>
        <v>152.99999999999994</v>
      </c>
      <c r="AJ43" s="14">
        <f>AI43*VLOOKUP('Données projet'!$B$10,Paramètres!$A$1:$I$89,3,0)*VLOOKUP('Données projet'!$B$10,Paramètres!$A$1:$I$89,5,0)</f>
        <v>133.66079999999997</v>
      </c>
      <c r="AK43" s="14">
        <f t="shared" si="35"/>
        <v>34.840890682716719</v>
      </c>
      <c r="AL43" s="22">
        <f t="shared" si="4"/>
        <v>293.47377793906486</v>
      </c>
      <c r="AM43" s="62">
        <f t="shared" si="5"/>
        <v>586.80711127239817</v>
      </c>
      <c r="AN43" s="62">
        <f ca="1">AVERAGE(OFFSET($AM$3,0,0,'Données projet'!$E$10+1,1))-AVERAGE(OFFSET($H$3,0,0,'Données projet'!$E$10+1,1))</f>
        <v>274.66236526869056</v>
      </c>
      <c r="AO43" s="62">
        <f t="shared" si="36"/>
        <v>256.90876395053073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160.21200000000005</v>
      </c>
      <c r="BF43" s="14">
        <f t="shared" si="37"/>
        <v>40.890328912852695</v>
      </c>
      <c r="BG43" s="22">
        <f t="shared" si="7"/>
        <v>350.25322285655176</v>
      </c>
      <c r="BH43" s="62">
        <f t="shared" si="8"/>
        <v>643.58655618988507</v>
      </c>
      <c r="BI43" s="62">
        <f ca="1">AVERAGE(OFFSET($BH$3,0,0,'Données projet'!$E$11+1,1))-AVERAGE(OFFSET($H$3,0,0,'Données projet'!$E$11+1,1))</f>
        <v>475.47920969424894</v>
      </c>
      <c r="BJ43" s="62">
        <f t="shared" si="38"/>
        <v>271.73544012419364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153.2051282051282</v>
      </c>
      <c r="BW43" s="13" t="e">
        <f>VLOOKUP(A43,'Données projet'!$A$113:$I$133,9,0)</f>
        <v>#VALUE!</v>
      </c>
      <c r="BX43" s="13">
        <f t="array" ref="BX43">INDEX(BW:BW,MIN(IF(ISNUMBER(BW43:BW239),ROW(BW43:BW239),"")))</f>
        <v>6.2820512820512819</v>
      </c>
      <c r="BY43" s="13">
        <f>IF('Données projet'!$A$114&gt;35,BY42+BX43-CG42,IF(A43&lt;'Données projet'!$A$114,$BV$205^A43,IF(A43='Données projet'!$A$114,'Données projet'!$B$114,BY42+BX43-CG42)))</f>
        <v>149.35897435897431</v>
      </c>
      <c r="BZ43" s="14">
        <f>BY43*VLOOKUP('Données projet'!$B$12,Paramètres!$A$1:$I$89,3,0)*VLOOKUP('Données projet'!$B$12,Paramètres!$A$1:$I$89,5,0)</f>
        <v>156.10999999999996</v>
      </c>
      <c r="CA43" s="14">
        <f t="shared" si="39"/>
        <v>39.963862158593372</v>
      </c>
      <c r="CB43" s="22">
        <f t="shared" si="10"/>
        <v>341.49530992621663</v>
      </c>
      <c r="CC43" s="62">
        <f t="shared" si="11"/>
        <v>634.82864325954995</v>
      </c>
      <c r="CD43" s="62">
        <f ca="1">AVERAGE(OFFSET($CC$3,0,0,'Données projet'!$E$12+1,1))-AVERAGE(OFFSET($H$3,0,0,'Données projet'!$E$12+1,1))</f>
        <v>490.26236605482961</v>
      </c>
      <c r="CE43" s="62">
        <f t="shared" si="40"/>
        <v>283.40133947156238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150</v>
      </c>
      <c r="CR43" s="13">
        <f>VLOOKUP(A43,'Données projet'!$A$139:$I$159,9,0)</f>
        <v>7</v>
      </c>
      <c r="CS43" s="13">
        <f t="array" ref="CS43">INDEX(CR:CR,MIN(IF(ISNUMBER(CR43:CR239),ROW(CR43:CR239),"")))</f>
        <v>7</v>
      </c>
      <c r="CT43" s="13">
        <f>IF('Données projet'!$A$140&gt;35,CT42+CS43-DB42,IF(A43&lt;'Données projet'!$A$140,$CQ$205^A43,IF(A43='Données projet'!$A$140,'Données projet'!$B$140,CT42+CS43-DB42)))</f>
        <v>149.99999999999997</v>
      </c>
      <c r="CU43" s="18">
        <f>CT43*VLOOKUP('Données projet'!$B$13,Paramètres!$A$1:$I$89,3,0)*VLOOKUP('Données projet'!$B$13,Paramètres!$A$1:$I$89,5,0)</f>
        <v>131.04</v>
      </c>
      <c r="CV43" s="14">
        <f t="shared" si="41"/>
        <v>34.236561238949918</v>
      </c>
      <c r="CW43" s="22">
        <f t="shared" si="13"/>
        <v>287.85667749117107</v>
      </c>
      <c r="CX43" s="62">
        <f t="shared" si="14"/>
        <v>581.19001082450438</v>
      </c>
      <c r="CY43" s="62">
        <f ca="1">AVERAGE(OFFSET($CX$3,0,0,'Données projet'!$E$13+1,1))-AVERAGE(OFFSET($H$3,0,0,'Données projet'!$E$13+1,1))</f>
        <v>315.3516976788701</v>
      </c>
      <c r="CZ43" s="62">
        <f t="shared" si="42"/>
        <v>266.32508105927997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170.07120000000003</v>
      </c>
      <c r="EL43" s="14">
        <f t="shared" si="45"/>
        <v>43.10596962815594</v>
      </c>
      <c r="EM43" s="22">
        <f t="shared" si="19"/>
        <v>371.28357043570503</v>
      </c>
      <c r="EN43" s="62">
        <f t="shared" si="20"/>
        <v>664.61690376903834</v>
      </c>
      <c r="EO43" s="62">
        <f ca="1">AVERAGE(OFFSET($EN$3,0,0,'Données projet'!$E$15+1,1))-AVERAGE(OFFSET($H$3,0,0,'Données projet'!$E$15+1,1))</f>
        <v>502.07782026233912</v>
      </c>
      <c r="EP43" s="62">
        <f t="shared" si="46"/>
        <v>285.83623046025156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138.46153846153845</v>
      </c>
      <c r="FC43" s="13">
        <f>VLOOKUP(A43,'Données projet'!$A$217:$I$237,9,0)</f>
        <v>5.8974358974358951</v>
      </c>
      <c r="FD43" s="13">
        <f t="array" ref="FD43">INDEX(FC:FC,MIN(IF(ISNUMBER(FC43:FC239),ROW(FC43:FC239),"")))</f>
        <v>5.8974358974358951</v>
      </c>
      <c r="FE43" s="13">
        <f>IF('Données projet'!$A$218&gt;35,FE42+FD43-FM42,IF(A43&lt;'Données projet'!$A$218,$FB$205^A43,IF(A43='Données projet'!$A$218,'Données projet'!$B$218,FE42+FD43-FM42)))</f>
        <v>138.46153846153834</v>
      </c>
      <c r="FF43" s="18">
        <f>FE43*VLOOKUP('Données projet'!$B$16,Paramètres!$A$1:$I$89,3,0)*VLOOKUP('Données projet'!$B$16,Paramètres!$A$1:$I$89,5,0)</f>
        <v>131.75999999999988</v>
      </c>
      <c r="FG43" s="14">
        <f t="shared" si="47"/>
        <v>34.402724818212839</v>
      </c>
      <c r="FH43" s="22">
        <f t="shared" si="22"/>
        <v>289.40007905838712</v>
      </c>
      <c r="FI43" s="62">
        <f t="shared" si="23"/>
        <v>582.73341239172044</v>
      </c>
      <c r="FJ43" s="62">
        <f ca="1">AVERAGE(OFFSET($FI$3,0,0,'Données projet'!$E$16+1,1))-AVERAGE(OFFSET($H$3,0,0,'Données projet'!$E$16+1,1))</f>
        <v>365.5904647357433</v>
      </c>
      <c r="FK43" s="62">
        <f t="shared" si="48"/>
        <v>256.56280810580841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152</v>
      </c>
      <c r="FX43" s="13">
        <f>VLOOKUP(A43,'Données projet'!$A$243:$I$263,9,0)</f>
        <v>7.6</v>
      </c>
      <c r="FY43" s="13">
        <f t="array" ref="FY43">INDEX(FX:FX,MIN(IF(ISNUMBER(FX43:FX239),ROW(FX43:FX239),"")))</f>
        <v>7.6</v>
      </c>
      <c r="FZ43" s="13">
        <f>IF('Données projet'!$A$244&gt;35,FZ42+FY43-GH42,IF(A43&lt;'Données projet'!$A$244,$FW$205^A43,IF(A43='Données projet'!$A$244,'Données projet'!$B$244,FZ42+FY43-GH42)))</f>
        <v>152.00000000000003</v>
      </c>
      <c r="GA43" s="18">
        <f>FZ43*VLOOKUP('Données projet'!$B$17,Paramètres!$A$1:$I$89,3,0)*VLOOKUP('Données projet'!$B$17,Paramètres!$A$1:$I$89,5,0)</f>
        <v>123.30240000000003</v>
      </c>
      <c r="GB43" s="14">
        <f t="shared" si="49"/>
        <v>32.444008665071891</v>
      </c>
      <c r="GC43" s="22">
        <f t="shared" si="25"/>
        <v>271.25832842500023</v>
      </c>
      <c r="GD43" s="62">
        <f t="shared" si="26"/>
        <v>564.59166175833354</v>
      </c>
      <c r="GE43" s="62">
        <f ca="1">AVERAGE(OFFSET($GD$3,0,0,'Données projet'!$E$17+1,1))-AVERAGE(OFFSET($H$3,0,0,'Données projet'!$E$17+1,1))</f>
        <v>256.19915261735281</v>
      </c>
      <c r="GF43" s="62">
        <f t="shared" si="50"/>
        <v>297.47246687305056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253.01538461538462</v>
      </c>
      <c r="GS43" s="13">
        <f>VLOOKUP(A43,'Données projet'!$A$269:$I$289,9,0)</f>
        <v>11.070769230769235</v>
      </c>
      <c r="GT43" s="13">
        <f t="array" ref="GT43">INDEX(GS:GS,MIN(IF(ISNUMBER(GS43:GS239),ROW(GS43:GS239),"")))</f>
        <v>11.070769230769235</v>
      </c>
      <c r="GU43" s="13">
        <f>IF('Données projet'!$A$270&gt;35,GU42+GT43-HC42,IF(A43&lt;'Données projet'!$A$270,$GR$205^A43,IF(A43='Données projet'!$A$270,'Données projet'!$B$270,GU42+GT43-HC42)))</f>
        <v>253.01538461538459</v>
      </c>
      <c r="GV43" s="18">
        <f>GU43*VLOOKUP('Données projet'!$B$18,Paramètres!$A$1:$I$89,3,0)*VLOOKUP('Données projet'!$B$18,Paramètres!$A$1:$I$89,5,0)</f>
        <v>118.41119999999998</v>
      </c>
      <c r="GW43" s="14">
        <f t="shared" si="51"/>
        <v>31.304150825519965</v>
      </c>
      <c r="GX43" s="22">
        <f t="shared" si="28"/>
        <v>260.75423602111391</v>
      </c>
      <c r="GY43" s="62">
        <f t="shared" si="29"/>
        <v>554.08756935444717</v>
      </c>
      <c r="GZ43" s="62">
        <f ca="1">AVERAGE(OFFSET($GY$3,0,0,'Données projet'!$E$18+1,1))-AVERAGE(OFFSET($H$3,0,0,'Données projet'!$E$18+1,1))</f>
        <v>284.704043530756</v>
      </c>
      <c r="HA43" s="62">
        <f t="shared" si="52"/>
        <v>190.4880882944471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428.8489304403459</v>
      </c>
      <c r="T44" s="62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6.6</v>
      </c>
      <c r="AI44" s="14">
        <f>IF('Données projet'!$A$62&gt;35,AI43+AH44-AQ43,IF(A44&lt;'Données projet'!$A$62,$AF$205^A44,IF(A44='Données projet'!$A$62,'Données projet'!$B$62,AI43+AH44-AQ43)))</f>
        <v>159.59999999999994</v>
      </c>
      <c r="AJ44" s="14">
        <f>AI44*VLOOKUP('Données projet'!$B$10,Paramètres!$A$1:$I$89,3,0)*VLOOKUP('Données projet'!$B$10,Paramètres!$A$1:$I$89,5,0)</f>
        <v>139.42655999999997</v>
      </c>
      <c r="AK44" s="14">
        <f t="shared" si="35"/>
        <v>36.165607079455818</v>
      </c>
      <c r="AL44" s="22">
        <f t="shared" si="4"/>
        <v>305.82302433005208</v>
      </c>
      <c r="AM44" s="62">
        <f t="shared" si="5"/>
        <v>599.15635766338539</v>
      </c>
      <c r="AN44" s="62">
        <f ca="1">AVERAGE(OFFSET($AM$3,0,0,'Données projet'!$E$10+1,1))-AVERAGE(OFFSET($H$3,0,0,'Données projet'!$E$10+1,1))</f>
        <v>274.66236526869056</v>
      </c>
      <c r="AO44" s="62">
        <f t="shared" si="36"/>
        <v>256.90876395053073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2">
        <f t="shared" si="8"/>
        <v>570.68476131278635</v>
      </c>
      <c r="BI44" s="62">
        <f ca="1">AVERAGE(OFFSET($BH$3,0,0,'Données projet'!$E$11+1,1))-AVERAGE(OFFSET($H$3,0,0,'Données projet'!$E$11+1,1))</f>
        <v>475.47920969424894</v>
      </c>
      <c r="BJ44" s="62">
        <f t="shared" si="38"/>
        <v>271.73544012419364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6.2820512820512819</v>
      </c>
      <c r="BY44" s="13">
        <f>IF('Données projet'!$A$114&gt;35,BY43+BX44-CG43,IF(A44&lt;'Données projet'!$A$114,$BV$205^A44,IF(A44='Données projet'!$A$114,'Données projet'!$B$114,BY43+BX44-CG43)))</f>
        <v>155.64102564102558</v>
      </c>
      <c r="BZ44" s="14">
        <f>BY44*VLOOKUP('Données projet'!$B$12,Paramètres!$A$1:$I$89,3,0)*VLOOKUP('Données projet'!$B$12,Paramètres!$A$1:$I$89,5,0)</f>
        <v>162.67599999999996</v>
      </c>
      <c r="CA44" s="14">
        <f t="shared" si="39"/>
        <v>41.445510779925648</v>
      </c>
      <c r="CB44" s="22">
        <f t="shared" si="10"/>
        <v>355.51163127503713</v>
      </c>
      <c r="CC44" s="62">
        <f t="shared" si="11"/>
        <v>648.84496460837045</v>
      </c>
      <c r="CD44" s="62">
        <f ca="1">AVERAGE(OFFSET($CC$3,0,0,'Données projet'!$E$12+1,1))-AVERAGE(OFFSET($H$3,0,0,'Données projet'!$E$12+1,1))</f>
        <v>490.26236605482961</v>
      </c>
      <c r="CE44" s="62">
        <f t="shared" si="40"/>
        <v>283.40133947156238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6.4</v>
      </c>
      <c r="CT44" s="13">
        <f>IF('Données projet'!$A$140&gt;35,CT43+CS44-DB43,IF(A44&lt;'Données projet'!$A$140,$CQ$205^A44,IF(A44='Données projet'!$A$140,'Données projet'!$B$140,CT43+CS44-DB43)))</f>
        <v>156.39999999999998</v>
      </c>
      <c r="CU44" s="18">
        <f>CT44*VLOOKUP('Données projet'!$B$13,Paramètres!$A$1:$I$89,3,0)*VLOOKUP('Données projet'!$B$13,Paramètres!$A$1:$I$89,5,0)</f>
        <v>136.63103999999998</v>
      </c>
      <c r="CV44" s="14">
        <f t="shared" si="41"/>
        <v>35.524133363879962</v>
      </c>
      <c r="CW44" s="22">
        <f t="shared" si="13"/>
        <v>299.83692694209088</v>
      </c>
      <c r="CX44" s="62">
        <f t="shared" si="14"/>
        <v>593.1702602754242</v>
      </c>
      <c r="CY44" s="62">
        <f ca="1">AVERAGE(OFFSET($CX$3,0,0,'Données projet'!$E$13+1,1))-AVERAGE(OFFSET($H$3,0,0,'Données projet'!$E$13+1,1))</f>
        <v>315.3516976788701</v>
      </c>
      <c r="CZ44" s="62">
        <f t="shared" si="42"/>
        <v>266.32508105927997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133.90416000000002</v>
      </c>
      <c r="EL44" s="14">
        <f t="shared" si="45"/>
        <v>34.896936615903982</v>
      </c>
      <c r="EM44" s="22">
        <f t="shared" si="19"/>
        <v>293.99524327269938</v>
      </c>
      <c r="EN44" s="62">
        <f t="shared" si="20"/>
        <v>587.3285766060327</v>
      </c>
      <c r="EO44" s="62">
        <f ca="1">AVERAGE(OFFSET($EN$3,0,0,'Données projet'!$E$15+1,1))-AVERAGE(OFFSET($H$3,0,0,'Données projet'!$E$15+1,1))</f>
        <v>502.07782026233912</v>
      </c>
      <c r="EP44" s="62">
        <f t="shared" si="46"/>
        <v>285.83623046025156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5.7692307692307683</v>
      </c>
      <c r="FE44" s="13">
        <f>IF('Données projet'!$A$218&gt;35,FE43+FD44-FM43,IF(A44&lt;'Données projet'!$A$218,$FB$205^A44,IF(A44='Données projet'!$A$218,'Données projet'!$B$218,FE43+FD44-FM43)))</f>
        <v>144.23076923076911</v>
      </c>
      <c r="FF44" s="18">
        <f>FE44*VLOOKUP('Données projet'!$B$16,Paramètres!$A$1:$I$89,3,0)*VLOOKUP('Données projet'!$B$16,Paramètres!$A$1:$I$89,5,0)</f>
        <v>137.24999999999989</v>
      </c>
      <c r="FG44" s="14">
        <f t="shared" si="47"/>
        <v>35.666293582390708</v>
      </c>
      <c r="FH44" s="22">
        <f t="shared" si="22"/>
        <v>301.16254465599701</v>
      </c>
      <c r="FI44" s="62">
        <f t="shared" si="23"/>
        <v>594.49587798933032</v>
      </c>
      <c r="FJ44" s="62">
        <f ca="1">AVERAGE(OFFSET($FI$3,0,0,'Données projet'!$E$16+1,1))-AVERAGE(OFFSET($H$3,0,0,'Données projet'!$E$16+1,1))</f>
        <v>365.5904647357433</v>
      </c>
      <c r="FK44" s="62">
        <f t="shared" si="48"/>
        <v>256.56280810580841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7.6</v>
      </c>
      <c r="FZ44" s="13">
        <f>IF('Données projet'!$A$244&gt;35,FZ43+FY44-GH43,IF(A44&lt;'Données projet'!$A$244,$FW$205^A44,IF(A44='Données projet'!$A$244,'Données projet'!$B$244,FZ43+FY44-GH43)))</f>
        <v>159.60000000000002</v>
      </c>
      <c r="GA44" s="18">
        <f>FZ44*VLOOKUP('Données projet'!$B$17,Paramètres!$A$1:$I$89,3,0)*VLOOKUP('Données projet'!$B$17,Paramètres!$A$1:$I$89,5,0)</f>
        <v>129.46752000000004</v>
      </c>
      <c r="GB44" s="14">
        <f t="shared" si="49"/>
        <v>33.873289462262882</v>
      </c>
      <c r="GC44" s="22">
        <f t="shared" si="25"/>
        <v>284.48524314677451</v>
      </c>
      <c r="GD44" s="62">
        <f t="shared" si="26"/>
        <v>577.81857648010782</v>
      </c>
      <c r="GE44" s="62">
        <f ca="1">AVERAGE(OFFSET($GD$3,0,0,'Données projet'!$E$17+1,1))-AVERAGE(OFFSET($H$3,0,0,'Données projet'!$E$17+1,1))</f>
        <v>256.19915261735281</v>
      </c>
      <c r="GF44" s="62">
        <f t="shared" si="50"/>
        <v>297.47246687305056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11.8676923076923</v>
      </c>
      <c r="GU44" s="13">
        <f>IF('Données projet'!$A$270&gt;35,GU43+GT44-HC43,IF(A44&lt;'Données projet'!$A$270,$GR$205^A44,IF(A44='Données projet'!$A$270,'Données projet'!$B$270,GU43+GT44-HC43)))</f>
        <v>264.88307692307689</v>
      </c>
      <c r="GV44" s="18">
        <f>GU44*VLOOKUP('Données projet'!$B$18,Paramètres!$A$1:$I$89,3,0)*VLOOKUP('Données projet'!$B$18,Paramètres!$A$1:$I$89,5,0)</f>
        <v>123.96527999999998</v>
      </c>
      <c r="GW44" s="14">
        <f t="shared" si="51"/>
        <v>32.598078624110158</v>
      </c>
      <c r="GX44" s="22">
        <f t="shared" si="28"/>
        <v>272.68118293699183</v>
      </c>
      <c r="GY44" s="62">
        <f t="shared" si="29"/>
        <v>566.0145162703252</v>
      </c>
      <c r="GZ44" s="62">
        <f ca="1">AVERAGE(OFFSET($GY$3,0,0,'Données projet'!$E$18+1,1))-AVERAGE(OFFSET($H$3,0,0,'Données projet'!$E$18+1,1))</f>
        <v>284.704043530756</v>
      </c>
      <c r="HA44" s="62">
        <f t="shared" si="52"/>
        <v>190.4880882944471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428.8489304403459</v>
      </c>
      <c r="T45" s="62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6.6</v>
      </c>
      <c r="AI45" s="14">
        <f>IF('Données projet'!$A$62&gt;35,AI44+AH45-AQ44,IF(A45&lt;'Données projet'!$A$62,$AF$205^A45,IF(A45='Données projet'!$A$62,'Données projet'!$B$62,AI44+AH45-AQ44)))</f>
        <v>166.19999999999993</v>
      </c>
      <c r="AJ45" s="14">
        <f>AI45*VLOOKUP('Données projet'!$B$10,Paramètres!$A$1:$I$89,3,0)*VLOOKUP('Données projet'!$B$10,Paramètres!$A$1:$I$89,5,0)</f>
        <v>145.19231999999997</v>
      </c>
      <c r="AK45" s="14">
        <f t="shared" si="35"/>
        <v>37.48396031597408</v>
      </c>
      <c r="AL45" s="22">
        <f t="shared" si="4"/>
        <v>318.16118821698814</v>
      </c>
      <c r="AM45" s="62">
        <f t="shared" si="5"/>
        <v>611.49452155032145</v>
      </c>
      <c r="AN45" s="62">
        <f ca="1">AVERAGE(OFFSET($AM$3,0,0,'Données projet'!$E$10+1,1))-AVERAGE(OFFSET($H$3,0,0,'Données projet'!$E$10+1,1))</f>
        <v>274.66236526869056</v>
      </c>
      <c r="AO45" s="62">
        <f t="shared" si="36"/>
        <v>256.90876395053073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2">
        <f t="shared" si="8"/>
        <v>588.94632501044362</v>
      </c>
      <c r="BI45" s="62">
        <f ca="1">AVERAGE(OFFSET($BH$3,0,0,'Données projet'!$E$11+1,1))-AVERAGE(OFFSET($H$3,0,0,'Données projet'!$E$11+1,1))</f>
        <v>475.47920969424894</v>
      </c>
      <c r="BJ45" s="62">
        <f t="shared" si="38"/>
        <v>271.73544012419364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6.2820512820512819</v>
      </c>
      <c r="BY45" s="13">
        <f>IF('Données projet'!$A$114&gt;35,BY44+BX45-CG44,IF(A45&lt;'Données projet'!$A$114,$BV$205^A45,IF(A45='Données projet'!$A$114,'Données projet'!$B$114,BY44+BX45-CG44)))</f>
        <v>161.92307692307685</v>
      </c>
      <c r="BZ45" s="14">
        <f>BY45*VLOOKUP('Données projet'!$B$12,Paramètres!$A$1:$I$89,3,0)*VLOOKUP('Données projet'!$B$12,Paramètres!$A$1:$I$89,5,0)</f>
        <v>169.24199999999993</v>
      </c>
      <c r="CA45" s="14">
        <f t="shared" si="39"/>
        <v>42.920212672320396</v>
      </c>
      <c r="CB45" s="22">
        <f t="shared" si="10"/>
        <v>369.51585373762447</v>
      </c>
      <c r="CC45" s="62">
        <f t="shared" si="11"/>
        <v>662.84918707095778</v>
      </c>
      <c r="CD45" s="62">
        <f ca="1">AVERAGE(OFFSET($CC$3,0,0,'Données projet'!$E$12+1,1))-AVERAGE(OFFSET($H$3,0,0,'Données projet'!$E$12+1,1))</f>
        <v>490.26236605482961</v>
      </c>
      <c r="CE45" s="62">
        <f t="shared" si="40"/>
        <v>283.40133947156238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6.4</v>
      </c>
      <c r="CT45" s="13">
        <f>IF('Données projet'!$A$140&gt;35,CT44+CS45-DB44,IF(A45&lt;'Données projet'!$A$140,$CQ$205^A45,IF(A45='Données projet'!$A$140,'Données projet'!$B$140,CT44+CS45-DB44)))</f>
        <v>162.79999999999998</v>
      </c>
      <c r="CU45" s="18">
        <f>CT45*VLOOKUP('Données projet'!$B$13,Paramètres!$A$1:$I$89,3,0)*VLOOKUP('Données projet'!$B$13,Paramètres!$A$1:$I$89,5,0)</f>
        <v>142.22208000000001</v>
      </c>
      <c r="CV45" s="14">
        <f t="shared" si="41"/>
        <v>36.805585341198615</v>
      </c>
      <c r="CW45" s="22">
        <f t="shared" si="13"/>
        <v>311.8065171359209</v>
      </c>
      <c r="CX45" s="62">
        <f t="shared" si="14"/>
        <v>605.13985046925427</v>
      </c>
      <c r="CY45" s="62">
        <f ca="1">AVERAGE(OFFSET($CX$3,0,0,'Données projet'!$E$13+1,1))-AVERAGE(OFFSET($H$3,0,0,'Données projet'!$E$13+1,1))</f>
        <v>315.3516976788701</v>
      </c>
      <c r="CZ45" s="62">
        <f t="shared" si="42"/>
        <v>266.32508105927997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142.94592000000003</v>
      </c>
      <c r="EL45" s="14">
        <f t="shared" si="45"/>
        <v>36.971054314096854</v>
      </c>
      <c r="EM45" s="22">
        <f t="shared" si="19"/>
        <v>313.35539693038538</v>
      </c>
      <c r="EN45" s="62">
        <f t="shared" si="20"/>
        <v>606.68873026371875</v>
      </c>
      <c r="EO45" s="62">
        <f ca="1">AVERAGE(OFFSET($EN$3,0,0,'Données projet'!$E$15+1,1))-AVERAGE(OFFSET($H$3,0,0,'Données projet'!$E$15+1,1))</f>
        <v>502.07782026233912</v>
      </c>
      <c r="EP45" s="62">
        <f t="shared" si="46"/>
        <v>285.83623046025156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5.7692307692307683</v>
      </c>
      <c r="FE45" s="13">
        <f>IF('Données projet'!$A$218&gt;35,FE44+FD45-FM44,IF(A45&lt;'Données projet'!$A$218,$FB$205^A45,IF(A45='Données projet'!$A$218,'Données projet'!$B$218,FE44+FD45-FM44)))</f>
        <v>149.99999999999989</v>
      </c>
      <c r="FF45" s="18">
        <f>FE45*VLOOKUP('Données projet'!$B$16,Paramètres!$A$1:$I$89,3,0)*VLOOKUP('Données projet'!$B$16,Paramètres!$A$1:$I$89,5,0)</f>
        <v>142.7399999999999</v>
      </c>
      <c r="FG45" s="14">
        <f t="shared" si="47"/>
        <v>36.923991191656036</v>
      </c>
      <c r="FH45" s="22">
        <f t="shared" si="22"/>
        <v>312.91478465880073</v>
      </c>
      <c r="FI45" s="62">
        <f t="shared" si="23"/>
        <v>606.24811799213398</v>
      </c>
      <c r="FJ45" s="62">
        <f ca="1">AVERAGE(OFFSET($FI$3,0,0,'Données projet'!$E$16+1,1))-AVERAGE(OFFSET($H$3,0,0,'Données projet'!$E$16+1,1))</f>
        <v>365.5904647357433</v>
      </c>
      <c r="FK45" s="62">
        <f t="shared" si="48"/>
        <v>256.56280810580841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7.6</v>
      </c>
      <c r="FZ45" s="13">
        <f>IF('Données projet'!$A$244&gt;35,FZ44+FY45-GH44,IF(A45&lt;'Données projet'!$A$244,$FW$205^A45,IF(A45='Données projet'!$A$244,'Données projet'!$B$244,FZ44+FY45-GH44)))</f>
        <v>167.20000000000002</v>
      </c>
      <c r="GA45" s="18">
        <f>FZ45*VLOOKUP('Données projet'!$B$17,Paramètres!$A$1:$I$89,3,0)*VLOOKUP('Données projet'!$B$17,Paramètres!$A$1:$I$89,5,0)</f>
        <v>135.63264000000004</v>
      </c>
      <c r="GB45" s="14">
        <f t="shared" si="49"/>
        <v>35.294666721954265</v>
      </c>
      <c r="GC45" s="22">
        <f t="shared" si="25"/>
        <v>297.69839254073707</v>
      </c>
      <c r="GD45" s="62">
        <f t="shared" si="26"/>
        <v>591.03172587407039</v>
      </c>
      <c r="GE45" s="62">
        <f ca="1">AVERAGE(OFFSET($GD$3,0,0,'Données projet'!$E$17+1,1))-AVERAGE(OFFSET($H$3,0,0,'Données projet'!$E$17+1,1))</f>
        <v>256.19915261735281</v>
      </c>
      <c r="GF45" s="62">
        <f t="shared" si="50"/>
        <v>297.47246687305056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11.8676923076923</v>
      </c>
      <c r="GU45" s="13">
        <f>IF('Données projet'!$A$270&gt;35,GU44+GT45-HC44,IF(A45&lt;'Données projet'!$A$270,$GR$205^A45,IF(A45='Données projet'!$A$270,'Données projet'!$B$270,GU44+GT45-HC44)))</f>
        <v>276.75076923076921</v>
      </c>
      <c r="GV45" s="18">
        <f>GU45*VLOOKUP('Données projet'!$B$18,Paramètres!$A$1:$I$89,3,0)*VLOOKUP('Données projet'!$B$18,Paramètres!$A$1:$I$89,5,0)</f>
        <v>129.51935999999998</v>
      </c>
      <c r="GW45" s="14">
        <f t="shared" si="51"/>
        <v>33.885273609195849</v>
      </c>
      <c r="GX45" s="22">
        <f t="shared" si="28"/>
        <v>284.596403536016</v>
      </c>
      <c r="GY45" s="62">
        <f t="shared" si="29"/>
        <v>577.92973686934931</v>
      </c>
      <c r="GZ45" s="62">
        <f ca="1">AVERAGE(OFFSET($GY$3,0,0,'Données projet'!$E$18+1,1))-AVERAGE(OFFSET($H$3,0,0,'Données projet'!$E$18+1,1))</f>
        <v>284.704043530756</v>
      </c>
      <c r="HA45" s="62">
        <f t="shared" si="52"/>
        <v>190.4880882944471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428.8489304403459</v>
      </c>
      <c r="T46" s="62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6.6</v>
      </c>
      <c r="AI46" s="14">
        <f>IF('Données projet'!$A$62&gt;35,AI45+AH46-AQ45,IF(A46&lt;'Données projet'!$A$62,$AF$205^A46,IF(A46='Données projet'!$A$62,'Données projet'!$B$62,AI45+AH46-AQ45)))</f>
        <v>172.79999999999993</v>
      </c>
      <c r="AJ46" s="14">
        <f>AI46*VLOOKUP('Données projet'!$B$10,Paramètres!$A$1:$I$89,3,0)*VLOOKUP('Données projet'!$B$10,Paramètres!$A$1:$I$89,5,0)</f>
        <v>150.95807999999997</v>
      </c>
      <c r="AK46" s="14">
        <f t="shared" si="35"/>
        <v>38.796231993724774</v>
      </c>
      <c r="AL46" s="22">
        <f t="shared" si="4"/>
        <v>330.48876005573726</v>
      </c>
      <c r="AM46" s="62">
        <f t="shared" si="5"/>
        <v>623.82209338907057</v>
      </c>
      <c r="AN46" s="62">
        <f ca="1">AVERAGE(OFFSET($AM$3,0,0,'Données projet'!$E$10+1,1))-AVERAGE(OFFSET($H$3,0,0,'Données projet'!$E$10+1,1))</f>
        <v>274.66236526869056</v>
      </c>
      <c r="AO46" s="62">
        <f t="shared" si="36"/>
        <v>256.90876395053073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607.18273374145838</v>
      </c>
      <c r="BI46" s="62">
        <f ca="1">AVERAGE(OFFSET($BH$3,0,0,'Données projet'!$E$11+1,1))-AVERAGE(OFFSET($H$3,0,0,'Données projet'!$E$11+1,1))</f>
        <v>475.47920969424894</v>
      </c>
      <c r="BJ46" s="62">
        <f t="shared" si="38"/>
        <v>271.73544012419364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6.2820512820512819</v>
      </c>
      <c r="BY46" s="13">
        <f>IF('Données projet'!$A$114&gt;35,BY45+BX46-CG45,IF(A46&lt;'Données projet'!$A$114,$BV$205^A46,IF(A46='Données projet'!$A$114,'Données projet'!$B$114,BY45+BX46-CG45)))</f>
        <v>168.20512820512812</v>
      </c>
      <c r="BZ46" s="14">
        <f>BY46*VLOOKUP('Données projet'!$B$12,Paramètres!$A$1:$I$89,3,0)*VLOOKUP('Données projet'!$B$12,Paramètres!$A$1:$I$89,5,0)</f>
        <v>175.80799999999994</v>
      </c>
      <c r="CA46" s="14">
        <f t="shared" si="39"/>
        <v>44.388268190596349</v>
      </c>
      <c r="CB46" s="22">
        <f t="shared" si="10"/>
        <v>383.50850043195527</v>
      </c>
      <c r="CC46" s="62">
        <f t="shared" si="11"/>
        <v>676.84183376528858</v>
      </c>
      <c r="CD46" s="62">
        <f ca="1">AVERAGE(OFFSET($CC$3,0,0,'Données projet'!$E$12+1,1))-AVERAGE(OFFSET($H$3,0,0,'Données projet'!$E$12+1,1))</f>
        <v>490.26236605482961</v>
      </c>
      <c r="CE46" s="62">
        <f t="shared" si="40"/>
        <v>283.40133947156238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6.4</v>
      </c>
      <c r="CT46" s="13">
        <f>IF('Données projet'!$A$140&gt;35,CT45+CS46-DB45,IF(A46&lt;'Données projet'!$A$140,$CQ$205^A46,IF(A46='Données projet'!$A$140,'Données projet'!$B$140,CT45+CS46-DB45)))</f>
        <v>169.2</v>
      </c>
      <c r="CU46" s="18">
        <f>CT46*VLOOKUP('Données projet'!$B$13,Paramètres!$A$1:$I$89,3,0)*VLOOKUP('Données projet'!$B$13,Paramètres!$A$1:$I$89,5,0)</f>
        <v>147.81312000000003</v>
      </c>
      <c r="CV46" s="14">
        <f t="shared" si="41"/>
        <v>38.081185298782486</v>
      </c>
      <c r="CW46" s="22">
        <f t="shared" si="13"/>
        <v>323.76591506204619</v>
      </c>
      <c r="CX46" s="62">
        <f t="shared" si="14"/>
        <v>617.0992483953795</v>
      </c>
      <c r="CY46" s="62">
        <f ca="1">AVERAGE(OFFSET($CX$3,0,0,'Données projet'!$E$13+1,1))-AVERAGE(OFFSET($H$3,0,0,'Données projet'!$E$13+1,1))</f>
        <v>315.3516976788701</v>
      </c>
      <c r="CZ46" s="62">
        <f t="shared" si="42"/>
        <v>266.32508105927997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151.98768000000004</v>
      </c>
      <c r="EL46" s="14">
        <f t="shared" si="45"/>
        <v>39.029946373574369</v>
      </c>
      <c r="EM46" s="22">
        <f t="shared" si="19"/>
        <v>332.68903260064207</v>
      </c>
      <c r="EN46" s="62">
        <f t="shared" si="20"/>
        <v>626.02236593397538</v>
      </c>
      <c r="EO46" s="62">
        <f ca="1">AVERAGE(OFFSET($EN$3,0,0,'Données projet'!$E$15+1,1))-AVERAGE(OFFSET($H$3,0,0,'Données projet'!$E$15+1,1))</f>
        <v>502.07782026233912</v>
      </c>
      <c r="EP46" s="62">
        <f t="shared" si="46"/>
        <v>285.83623046025156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5.7692307692307683</v>
      </c>
      <c r="FE46" s="13">
        <f>IF('Données projet'!$A$218&gt;35,FE45+FD46-FM45,IF(A46&lt;'Données projet'!$A$218,$FB$205^A46,IF(A46='Données projet'!$A$218,'Données projet'!$B$218,FE45+FD46-FM45)))</f>
        <v>155.76923076923066</v>
      </c>
      <c r="FF46" s="18">
        <f>FE46*VLOOKUP('Données projet'!$B$16,Paramètres!$A$1:$I$89,3,0)*VLOOKUP('Données projet'!$B$16,Paramètres!$A$1:$I$89,5,0)</f>
        <v>148.2299999999999</v>
      </c>
      <c r="FG46" s="14">
        <f t="shared" si="47"/>
        <v>38.176069307241875</v>
      </c>
      <c r="FH46" s="22">
        <f t="shared" si="22"/>
        <v>324.65723737677945</v>
      </c>
      <c r="FI46" s="62">
        <f t="shared" si="23"/>
        <v>617.99057071011271</v>
      </c>
      <c r="FJ46" s="62">
        <f ca="1">AVERAGE(OFFSET($FI$3,0,0,'Données projet'!$E$16+1,1))-AVERAGE(OFFSET($H$3,0,0,'Données projet'!$E$16+1,1))</f>
        <v>365.5904647357433</v>
      </c>
      <c r="FK46" s="62">
        <f t="shared" si="48"/>
        <v>256.56280810580841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7.6</v>
      </c>
      <c r="FZ46" s="13">
        <f>IF('Données projet'!$A$244&gt;35,FZ45+FY46-GH45,IF(A46&lt;'Données projet'!$A$244,$FW$205^A46,IF(A46='Données projet'!$A$244,'Données projet'!$B$244,FZ45+FY46-GH45)))</f>
        <v>174.8</v>
      </c>
      <c r="GA46" s="18">
        <f>FZ46*VLOOKUP('Données projet'!$B$17,Paramètres!$A$1:$I$89,3,0)*VLOOKUP('Données projet'!$B$17,Paramètres!$A$1:$I$89,5,0)</f>
        <v>141.79776000000004</v>
      </c>
      <c r="GB46" s="14">
        <f t="shared" si="49"/>
        <v>36.708540735279854</v>
      </c>
      <c r="GC46" s="22">
        <f t="shared" si="25"/>
        <v>310.89847378061245</v>
      </c>
      <c r="GD46" s="62">
        <f t="shared" si="26"/>
        <v>604.23180711394571</v>
      </c>
      <c r="GE46" s="62">
        <f ca="1">AVERAGE(OFFSET($GD$3,0,0,'Données projet'!$E$17+1,1))-AVERAGE(OFFSET($H$3,0,0,'Données projet'!$E$17+1,1))</f>
        <v>256.19915261735281</v>
      </c>
      <c r="GF46" s="62">
        <f t="shared" si="50"/>
        <v>297.47246687305056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11.8676923076923</v>
      </c>
      <c r="GU46" s="13">
        <f>IF('Données projet'!$A$270&gt;35,GU45+GT46-HC45,IF(A46&lt;'Données projet'!$A$270,$GR$205^A46,IF(A46='Données projet'!$A$270,'Données projet'!$B$270,GU45+GT46-HC45)))</f>
        <v>288.61846153846153</v>
      </c>
      <c r="GV46" s="18">
        <f>GU46*VLOOKUP('Données projet'!$B$18,Paramètres!$A$1:$I$89,3,0)*VLOOKUP('Données projet'!$B$18,Paramètres!$A$1:$I$89,5,0)</f>
        <v>135.07344000000001</v>
      </c>
      <c r="GW46" s="14">
        <f t="shared" si="51"/>
        <v>35.166057503796914</v>
      </c>
      <c r="GX46" s="22">
        <f t="shared" si="28"/>
        <v>296.5004581524463</v>
      </c>
      <c r="GY46" s="62">
        <f t="shared" si="29"/>
        <v>589.83379148577956</v>
      </c>
      <c r="GZ46" s="62">
        <f ca="1">AVERAGE(OFFSET($GY$3,0,0,'Données projet'!$E$18+1,1))-AVERAGE(OFFSET($H$3,0,0,'Données projet'!$E$18+1,1))</f>
        <v>284.704043530756</v>
      </c>
      <c r="HA46" s="62">
        <f t="shared" si="52"/>
        <v>190.4880882944471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428.8489304403459</v>
      </c>
      <c r="T47" s="62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6.6</v>
      </c>
      <c r="AI47" s="14">
        <f>IF('Données projet'!$A$62&gt;35,AI46+AH47-AQ46,IF(A47&lt;'Données projet'!$A$62,$AF$205^A47,IF(A47='Données projet'!$A$62,'Données projet'!$B$62,AI46+AH47-AQ46)))</f>
        <v>179.39999999999992</v>
      </c>
      <c r="AJ47" s="14">
        <f>AI47*VLOOKUP('Données projet'!$B$10,Paramètres!$A$1:$I$89,3,0)*VLOOKUP('Données projet'!$B$10,Paramètres!$A$1:$I$89,5,0)</f>
        <v>156.72383999999997</v>
      </c>
      <c r="AK47" s="14">
        <f t="shared" si="35"/>
        <v>40.102680984620484</v>
      </c>
      <c r="AL47" s="22">
        <f t="shared" si="4"/>
        <v>342.80619071488059</v>
      </c>
      <c r="AM47" s="62">
        <f t="shared" si="5"/>
        <v>636.13952404821384</v>
      </c>
      <c r="AN47" s="62">
        <f ca="1">AVERAGE(OFFSET($AM$3,0,0,'Données projet'!$E$10+1,1))-AVERAGE(OFFSET($H$3,0,0,'Données projet'!$E$10+1,1))</f>
        <v>274.66236526869056</v>
      </c>
      <c r="AO47" s="62">
        <f t="shared" si="36"/>
        <v>256.90876395053073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2">
        <f t="shared" si="8"/>
        <v>625.39565441895047</v>
      </c>
      <c r="BI47" s="62">
        <f ca="1">AVERAGE(OFFSET($BH$3,0,0,'Données projet'!$E$11+1,1))-AVERAGE(OFFSET($H$3,0,0,'Données projet'!$E$11+1,1))</f>
        <v>475.47920969424894</v>
      </c>
      <c r="BJ47" s="62">
        <f t="shared" si="38"/>
        <v>271.73544012419364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6.2820512820512819</v>
      </c>
      <c r="BY47" s="13">
        <f>IF('Données projet'!$A$114&gt;35,BY46+BX47-CG46,IF(A47&lt;'Données projet'!$A$114,$BV$205^A47,IF(A47='Données projet'!$A$114,'Données projet'!$B$114,BY46+BX47-CG46)))</f>
        <v>174.48717948717939</v>
      </c>
      <c r="BZ47" s="14">
        <f>BY47*VLOOKUP('Données projet'!$B$12,Paramètres!$A$1:$I$89,3,0)*VLOOKUP('Données projet'!$B$12,Paramètres!$A$1:$I$89,5,0)</f>
        <v>182.37399999999991</v>
      </c>
      <c r="CA47" s="14">
        <f t="shared" si="39"/>
        <v>45.849953983512862</v>
      </c>
      <c r="CB47" s="22">
        <f t="shared" si="10"/>
        <v>397.49005318795139</v>
      </c>
      <c r="CC47" s="62">
        <f t="shared" si="11"/>
        <v>690.82338652128465</v>
      </c>
      <c r="CD47" s="62">
        <f ca="1">AVERAGE(OFFSET($CC$3,0,0,'Données projet'!$E$12+1,1))-AVERAGE(OFFSET($H$3,0,0,'Données projet'!$E$12+1,1))</f>
        <v>490.26236605482961</v>
      </c>
      <c r="CE47" s="62">
        <f t="shared" si="40"/>
        <v>283.40133947156238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6.4</v>
      </c>
      <c r="CT47" s="13">
        <f>IF('Données projet'!$A$140&gt;35,CT46+CS47-DB46,IF(A47&lt;'Données projet'!$A$140,$CQ$205^A47,IF(A47='Données projet'!$A$140,'Données projet'!$B$140,CT46+CS47-DB46)))</f>
        <v>175.6</v>
      </c>
      <c r="CU47" s="18">
        <f>CT47*VLOOKUP('Données projet'!$B$13,Paramètres!$A$1:$I$89,3,0)*VLOOKUP('Données projet'!$B$13,Paramètres!$A$1:$I$89,5,0)</f>
        <v>153.40416000000002</v>
      </c>
      <c r="CV47" s="14">
        <f t="shared" si="41"/>
        <v>39.351179931647387</v>
      </c>
      <c r="CW47" s="22">
        <f t="shared" si="13"/>
        <v>335.71555038095255</v>
      </c>
      <c r="CX47" s="62">
        <f t="shared" si="14"/>
        <v>629.04888371428592</v>
      </c>
      <c r="CY47" s="62">
        <f ca="1">AVERAGE(OFFSET($CX$3,0,0,'Données projet'!$E$13+1,1))-AVERAGE(OFFSET($H$3,0,0,'Données projet'!$E$13+1,1))</f>
        <v>315.3516976788701</v>
      </c>
      <c r="CZ47" s="62">
        <f t="shared" si="42"/>
        <v>266.32508105927997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161.02944000000005</v>
      </c>
      <c r="EL47" s="14">
        <f t="shared" si="45"/>
        <v>41.074621732940727</v>
      </c>
      <c r="EM47" s="22">
        <f t="shared" si="19"/>
        <v>351.99790751820518</v>
      </c>
      <c r="EN47" s="62">
        <f t="shared" si="20"/>
        <v>645.3312408515385</v>
      </c>
      <c r="EO47" s="62">
        <f ca="1">AVERAGE(OFFSET($EN$3,0,0,'Données projet'!$E$15+1,1))-AVERAGE(OFFSET($H$3,0,0,'Données projet'!$E$15+1,1))</f>
        <v>502.07782026233912</v>
      </c>
      <c r="EP47" s="62">
        <f t="shared" si="46"/>
        <v>285.83623046025156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5.7692307692307683</v>
      </c>
      <c r="FE47" s="13">
        <f>IF('Données projet'!$A$218&gt;35,FE46+FD47-FM46,IF(A47&lt;'Données projet'!$A$218,$FB$205^A47,IF(A47='Données projet'!$A$218,'Données projet'!$B$218,FE46+FD47-FM46)))</f>
        <v>161.53846153846143</v>
      </c>
      <c r="FF47" s="18">
        <f>FE47*VLOOKUP('Données projet'!$B$16,Paramètres!$A$1:$I$89,3,0)*VLOOKUP('Données projet'!$B$16,Paramètres!$A$1:$I$89,5,0)</f>
        <v>153.71999999999991</v>
      </c>
      <c r="FG47" s="14">
        <f t="shared" si="47"/>
        <v>39.422759892582064</v>
      </c>
      <c r="FH47" s="22">
        <f t="shared" si="22"/>
        <v>336.39030681291359</v>
      </c>
      <c r="FI47" s="62">
        <f t="shared" si="23"/>
        <v>629.72364014624691</v>
      </c>
      <c r="FJ47" s="62">
        <f ca="1">AVERAGE(OFFSET($FI$3,0,0,'Données projet'!$E$16+1,1))-AVERAGE(OFFSET($H$3,0,0,'Données projet'!$E$16+1,1))</f>
        <v>365.5904647357433</v>
      </c>
      <c r="FK47" s="62">
        <f t="shared" si="48"/>
        <v>256.56280810580841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7.6</v>
      </c>
      <c r="FZ47" s="13">
        <f>IF('Données projet'!$A$244&gt;35,FZ46+FY47-GH46,IF(A47&lt;'Données projet'!$A$244,$FW$205^A47,IF(A47='Données projet'!$A$244,'Données projet'!$B$244,FZ46+FY47-GH46)))</f>
        <v>182.4</v>
      </c>
      <c r="GA47" s="18">
        <f>FZ47*VLOOKUP('Données projet'!$B$17,Paramètres!$A$1:$I$89,3,0)*VLOOKUP('Données projet'!$B$17,Paramètres!$A$1:$I$89,5,0)</f>
        <v>147.96288000000001</v>
      </c>
      <c r="GB47" s="14">
        <f t="shared" si="49"/>
        <v>38.115275017059226</v>
      </c>
      <c r="GC47" s="22">
        <f t="shared" si="25"/>
        <v>324.0861199880448</v>
      </c>
      <c r="GD47" s="62">
        <f t="shared" si="26"/>
        <v>617.41945332137811</v>
      </c>
      <c r="GE47" s="62">
        <f ca="1">AVERAGE(OFFSET($GD$3,0,0,'Données projet'!$E$17+1,1))-AVERAGE(OFFSET($H$3,0,0,'Données projet'!$E$17+1,1))</f>
        <v>256.19915261735281</v>
      </c>
      <c r="GF47" s="62">
        <f t="shared" si="50"/>
        <v>297.47246687305056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11.8676923076923</v>
      </c>
      <c r="GU47" s="13">
        <f>IF('Données projet'!$A$270&gt;35,GU46+GT47-HC46,IF(A47&lt;'Données projet'!$A$270,$GR$205^A47,IF(A47='Données projet'!$A$270,'Données projet'!$B$270,GU46+GT47-HC46)))</f>
        <v>300.48615384615385</v>
      </c>
      <c r="GV47" s="18">
        <f>GU47*VLOOKUP('Données projet'!$B$18,Paramètres!$A$1:$I$89,3,0)*VLOOKUP('Données projet'!$B$18,Paramètres!$A$1:$I$89,5,0)</f>
        <v>140.62752</v>
      </c>
      <c r="GW47" s="14">
        <f t="shared" si="51"/>
        <v>36.440724075994105</v>
      </c>
      <c r="GX47" s="22">
        <f t="shared" si="28"/>
        <v>308.39385843235641</v>
      </c>
      <c r="GY47" s="62">
        <f t="shared" si="29"/>
        <v>601.72719176568967</v>
      </c>
      <c r="GZ47" s="62">
        <f ca="1">AVERAGE(OFFSET($GY$3,0,0,'Données projet'!$E$18+1,1))-AVERAGE(OFFSET($H$3,0,0,'Données projet'!$E$18+1,1))</f>
        <v>284.704043530756</v>
      </c>
      <c r="HA47" s="62">
        <f t="shared" si="52"/>
        <v>190.4880882944471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428.8489304403459</v>
      </c>
      <c r="T48" s="62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186</v>
      </c>
      <c r="AG48" s="13">
        <f>VLOOKUP(A48,'Données projet'!$A$61:$I$81,9,0)</f>
        <v>6.6</v>
      </c>
      <c r="AH48" s="13">
        <f t="array" ref="AH48">INDEX(AG:AG,MIN(IF(ISNUMBER(AG48:AG244),ROW(AG48:AG244),"")))</f>
        <v>6.6</v>
      </c>
      <c r="AI48" s="14">
        <f>IF('Données projet'!$A$62&gt;35,AI47+AH48-AQ47,IF(A48&lt;'Données projet'!$A$62,$AF$205^A48,IF(A48='Données projet'!$A$62,'Données projet'!$B$62,AI47+AH48-AQ47)))</f>
        <v>185.99999999999991</v>
      </c>
      <c r="AJ48" s="14">
        <f>AI48*VLOOKUP('Données projet'!$B$10,Paramètres!$A$1:$I$89,3,0)*VLOOKUP('Données projet'!$B$10,Paramètres!$A$1:$I$89,5,0)</f>
        <v>162.48959999999997</v>
      </c>
      <c r="AK48" s="14">
        <f t="shared" si="35"/>
        <v>41.403546033820696</v>
      </c>
      <c r="AL48" s="22">
        <f t="shared" si="4"/>
        <v>355.11389600890431</v>
      </c>
      <c r="AM48" s="62">
        <f t="shared" si="5"/>
        <v>648.44722934223762</v>
      </c>
      <c r="AN48" s="62">
        <f ca="1">AVERAGE(OFFSET($AM$3,0,0,'Données projet'!$E$10+1,1))-AVERAGE(OFFSET($H$3,0,0,'Données projet'!$E$10+1,1))</f>
        <v>274.66236526869056</v>
      </c>
      <c r="AO48" s="62">
        <f t="shared" si="36"/>
        <v>256.90876395053073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39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2">
        <f t="shared" si="8"/>
        <v>643.58655618988519</v>
      </c>
      <c r="BI48" s="62">
        <f ca="1">AVERAGE(OFFSET($BH$3,0,0,'Données projet'!$E$11+1,1))-AVERAGE(OFFSET($H$3,0,0,'Données projet'!$E$11+1,1))</f>
        <v>475.47920969424894</v>
      </c>
      <c r="BJ48" s="62">
        <f t="shared" si="38"/>
        <v>271.73544012419364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184.61538461538461</v>
      </c>
      <c r="BW48" s="13">
        <f>VLOOKUP(A48,'Données projet'!$A$113:$I$133,9,0)</f>
        <v>6.2820512820512819</v>
      </c>
      <c r="BX48" s="13">
        <f t="array" ref="BX48">INDEX(BW:BW,MIN(IF(ISNUMBER(BW48:BW244),ROW(BW48:BW244),"")))</f>
        <v>6.2820512820512819</v>
      </c>
      <c r="BY48" s="13">
        <f>IF('Données projet'!$A$114&gt;35,BY47+BX48-CG47,IF(A48&lt;'Données projet'!$A$114,$BV$205^A48,IF(A48='Données projet'!$A$114,'Données projet'!$B$114,BY47+BX48-CG47)))</f>
        <v>180.76923076923066</v>
      </c>
      <c r="BZ48" s="14">
        <f>BY48*VLOOKUP('Données projet'!$B$12,Paramètres!$A$1:$I$89,3,0)*VLOOKUP('Données projet'!$B$12,Paramètres!$A$1:$I$89,5,0)</f>
        <v>188.93999999999991</v>
      </c>
      <c r="CA48" s="14">
        <f t="shared" si="39"/>
        <v>47.305525650370242</v>
      </c>
      <c r="CB48" s="22">
        <f t="shared" si="10"/>
        <v>411.46095717439465</v>
      </c>
      <c r="CC48" s="62">
        <f t="shared" si="11"/>
        <v>704.79429050772796</v>
      </c>
      <c r="CD48" s="62">
        <f ca="1">AVERAGE(OFFSET($CC$3,0,0,'Données projet'!$E$12+1,1))-AVERAGE(OFFSET($H$3,0,0,'Données projet'!$E$12+1,1))</f>
        <v>490.26236605482961</v>
      </c>
      <c r="CE48" s="62">
        <f t="shared" si="40"/>
        <v>283.40133947156238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23.717948717948715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182</v>
      </c>
      <c r="CR48" s="13">
        <f>VLOOKUP(A48,'Données projet'!$A$139:$I$159,9,0)</f>
        <v>6.4</v>
      </c>
      <c r="CS48" s="13">
        <f t="array" ref="CS48">INDEX(CR:CR,MIN(IF(ISNUMBER(CR48:CR244),ROW(CR48:CR244),"")))</f>
        <v>6.4</v>
      </c>
      <c r="CT48" s="13">
        <f>IF('Données projet'!$A$140&gt;35,CT47+CS48-DB47,IF(A48&lt;'Données projet'!$A$140,$CQ$205^A48,IF(A48='Données projet'!$A$140,'Données projet'!$B$140,CT47+CS48-DB47)))</f>
        <v>182</v>
      </c>
      <c r="CU48" s="18">
        <f>CT48*VLOOKUP('Données projet'!$B$13,Paramètres!$A$1:$I$89,3,0)*VLOOKUP('Données projet'!$B$13,Paramètres!$A$1:$I$89,5,0)</f>
        <v>158.99520000000004</v>
      </c>
      <c r="CV48" s="14">
        <f t="shared" si="41"/>
        <v>40.615796933386044</v>
      </c>
      <c r="CW48" s="22">
        <f t="shared" si="13"/>
        <v>347.65581965898076</v>
      </c>
      <c r="CX48" s="62">
        <f t="shared" si="14"/>
        <v>640.98915299231408</v>
      </c>
      <c r="CY48" s="62">
        <f ca="1">AVERAGE(OFFSET($CX$3,0,0,'Données projet'!$E$13+1,1))-AVERAGE(OFFSET($H$3,0,0,'Données projet'!$E$13+1,1))</f>
        <v>315.3516976788701</v>
      </c>
      <c r="CZ48" s="62">
        <f t="shared" si="42"/>
        <v>266.32508105927997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39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170.07120000000003</v>
      </c>
      <c r="EL48" s="14">
        <f t="shared" si="45"/>
        <v>43.10596962815594</v>
      </c>
      <c r="EM48" s="22">
        <f t="shared" si="19"/>
        <v>371.28357043570503</v>
      </c>
      <c r="EN48" s="62">
        <f t="shared" si="20"/>
        <v>664.61690376903834</v>
      </c>
      <c r="EO48" s="62">
        <f ca="1">AVERAGE(OFFSET($EN$3,0,0,'Données projet'!$E$15+1,1))-AVERAGE(OFFSET($H$3,0,0,'Données projet'!$E$15+1,1))</f>
        <v>502.07782026233912</v>
      </c>
      <c r="EP48" s="62">
        <f t="shared" si="46"/>
        <v>285.83623046025156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167.30769230769229</v>
      </c>
      <c r="FC48" s="13">
        <f>VLOOKUP(A48,'Données projet'!$A$217:$I$237,9,0)</f>
        <v>5.7692307692307683</v>
      </c>
      <c r="FD48" s="13">
        <f t="array" ref="FD48">INDEX(FC:FC,MIN(IF(ISNUMBER(FC48:FC244),ROW(FC48:FC244),"")))</f>
        <v>5.7692307692307683</v>
      </c>
      <c r="FE48" s="13">
        <f>IF('Données projet'!$A$218&gt;35,FE47+FD48-FM47,IF(A48&lt;'Données projet'!$A$218,$FB$205^A48,IF(A48='Données projet'!$A$218,'Données projet'!$B$218,FE47+FD48-FM47)))</f>
        <v>167.30769230769221</v>
      </c>
      <c r="FF48" s="18">
        <f>FE48*VLOOKUP('Données projet'!$B$16,Paramètres!$A$1:$I$89,3,0)*VLOOKUP('Données projet'!$B$16,Paramètres!$A$1:$I$89,5,0)</f>
        <v>159.20999999999992</v>
      </c>
      <c r="FG48" s="14">
        <f t="shared" si="47"/>
        <v>40.664277403035747</v>
      </c>
      <c r="FH48" s="22">
        <f t="shared" si="22"/>
        <v>348.11436647695382</v>
      </c>
      <c r="FI48" s="62">
        <f t="shared" si="23"/>
        <v>641.44769981028708</v>
      </c>
      <c r="FJ48" s="62">
        <f ca="1">AVERAGE(OFFSET($FI$3,0,0,'Données projet'!$E$16+1,1))-AVERAGE(OFFSET($H$3,0,0,'Données projet'!$E$16+1,1))</f>
        <v>365.5904647357433</v>
      </c>
      <c r="FK48" s="62">
        <f t="shared" si="48"/>
        <v>256.56280810580841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30.128205128205128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190</v>
      </c>
      <c r="FX48" s="13">
        <f>VLOOKUP(A48,'Données projet'!$A$243:$I$263,9,0)</f>
        <v>7.6</v>
      </c>
      <c r="FY48" s="13">
        <f t="array" ref="FY48">INDEX(FX:FX,MIN(IF(ISNUMBER(FX48:FX244),ROW(FX48:FX244),"")))</f>
        <v>7.6</v>
      </c>
      <c r="FZ48" s="13">
        <f>IF('Données projet'!$A$244&gt;35,FZ47+FY48-GH47,IF(A48&lt;'Données projet'!$A$244,$FW$205^A48,IF(A48='Données projet'!$A$244,'Données projet'!$B$244,FZ47+FY48-GH47)))</f>
        <v>190</v>
      </c>
      <c r="GA48" s="18">
        <f>FZ48*VLOOKUP('Données projet'!$B$17,Paramètres!$A$1:$I$89,3,0)*VLOOKUP('Données projet'!$B$17,Paramètres!$A$1:$I$89,5,0)</f>
        <v>154.12800000000001</v>
      </c>
      <c r="GB48" s="14">
        <f t="shared" si="49"/>
        <v>39.515201075361155</v>
      </c>
      <c r="GC48" s="22">
        <f t="shared" si="25"/>
        <v>337.26190853958735</v>
      </c>
      <c r="GD48" s="62">
        <f t="shared" si="26"/>
        <v>630.59524187292072</v>
      </c>
      <c r="GE48" s="62">
        <f ca="1">AVERAGE(OFFSET($GD$3,0,0,'Données projet'!$E$17+1,1))-AVERAGE(OFFSET($H$3,0,0,'Données projet'!$E$17+1,1))</f>
        <v>256.19915261735281</v>
      </c>
      <c r="GF48" s="62">
        <f t="shared" si="50"/>
        <v>297.47246687305056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312.35384615384612</v>
      </c>
      <c r="GS48" s="13">
        <f>VLOOKUP(A48,'Données projet'!$A$269:$I$289,9,0)</f>
        <v>11.8676923076923</v>
      </c>
      <c r="GT48" s="13">
        <f t="array" ref="GT48">INDEX(GS:GS,MIN(IF(ISNUMBER(GS48:GS244),ROW(GS48:GS244),"")))</f>
        <v>11.8676923076923</v>
      </c>
      <c r="GU48" s="13">
        <f>IF('Données projet'!$A$270&gt;35,GU47+GT48-HC47,IF(A48&lt;'Données projet'!$A$270,$GR$205^A48,IF(A48='Données projet'!$A$270,'Données projet'!$B$270,GU47+GT48-HC47)))</f>
        <v>312.35384615384618</v>
      </c>
      <c r="GV48" s="18">
        <f>GU48*VLOOKUP('Données projet'!$B$18,Paramètres!$A$1:$I$89,3,0)*VLOOKUP('Données projet'!$B$18,Paramètres!$A$1:$I$89,5,0)</f>
        <v>146.1816</v>
      </c>
      <c r="GW48" s="14">
        <f t="shared" si="51"/>
        <v>37.709542575475581</v>
      </c>
      <c r="GX48" s="22">
        <f t="shared" si="28"/>
        <v>320.27707331895328</v>
      </c>
      <c r="GY48" s="62">
        <f t="shared" si="29"/>
        <v>613.61040665228666</v>
      </c>
      <c r="GZ48" s="62">
        <f ca="1">AVERAGE(OFFSET($GY$3,0,0,'Données projet'!$E$18+1,1))-AVERAGE(OFFSET($H$3,0,0,'Données projet'!$E$18+1,1))</f>
        <v>284.704043530756</v>
      </c>
      <c r="HA48" s="62">
        <f t="shared" si="52"/>
        <v>190.4880882944471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2">
        <f t="shared" si="0"/>
        <v>622.58179746983251</v>
      </c>
      <c r="S49" s="62">
        <f ca="1">AVERAGE(OFFSET($R$3,0,0,'Données projet'!$E$9+1,1))-AVERAGE(OFFSET($H$3,0,0,'Données projet'!$E$9+1,1))</f>
        <v>428.8489304403459</v>
      </c>
      <c r="T49" s="62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5.4</v>
      </c>
      <c r="AI49" s="14">
        <f>IF('Données projet'!$A$62&gt;35,AI48+AH49-AQ48,IF(A49&lt;'Données projet'!$A$62,$AF$205^A49,IF(A49='Données projet'!$A$62,'Données projet'!$B$62,AI48+AH49-AQ48)))</f>
        <v>152.39999999999992</v>
      </c>
      <c r="AJ49" s="14">
        <f>AI49*VLOOKUP('Données projet'!$B$10,Paramètres!$A$1:$I$89,3,0)*VLOOKUP('Données projet'!$B$10,Paramètres!$A$1:$I$89,5,0)</f>
        <v>133.13663999999994</v>
      </c>
      <c r="AK49" s="14">
        <f t="shared" si="35"/>
        <v>34.720135986247143</v>
      </c>
      <c r="AL49" s="22">
        <f t="shared" si="4"/>
        <v>292.35055150938035</v>
      </c>
      <c r="AM49" s="62">
        <f t="shared" si="5"/>
        <v>585.68388484271372</v>
      </c>
      <c r="AN49" s="62">
        <f ca="1">AVERAGE(OFFSET($AM$3,0,0,'Données projet'!$E$10+1,1))-AVERAGE(OFFSET($H$3,0,0,'Données projet'!$E$10+1,1))</f>
        <v>274.66236526869056</v>
      </c>
      <c r="AO49" s="62">
        <f t="shared" si="36"/>
        <v>256.90876395053073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168.52680000000007</v>
      </c>
      <c r="BF49" s="14">
        <f t="shared" si="37"/>
        <v>42.759908842532369</v>
      </c>
      <c r="BG49" s="22">
        <f t="shared" si="7"/>
        <v>367.991017900744</v>
      </c>
      <c r="BH49" s="62">
        <f t="shared" si="8"/>
        <v>661.32435123407731</v>
      </c>
      <c r="BI49" s="62">
        <f ca="1">AVERAGE(OFFSET($BH$3,0,0,'Données projet'!$E$11+1,1))-AVERAGE(OFFSET($H$3,0,0,'Données projet'!$E$11+1,1))</f>
        <v>475.47920969424894</v>
      </c>
      <c r="BJ49" s="62">
        <f t="shared" si="38"/>
        <v>271.73544012419364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6.025641025641022</v>
      </c>
      <c r="BY49" s="13">
        <f>IF('Données projet'!$A$114&gt;35,BY48+BX49-CG48,IF(A49&lt;'Données projet'!$A$114,$BV$205^A49,IF(A49='Données projet'!$A$114,'Données projet'!$B$114,BY48+BX49-CG48)))</f>
        <v>163.07692307692298</v>
      </c>
      <c r="BZ49" s="14">
        <f>BY49*VLOOKUP('Données projet'!$B$12,Paramètres!$A$1:$I$89,3,0)*VLOOKUP('Données projet'!$B$12,Paramètres!$A$1:$I$89,5,0)</f>
        <v>170.44799999999992</v>
      </c>
      <c r="CA49" s="14">
        <f t="shared" si="39"/>
        <v>43.190345308259261</v>
      </c>
      <c r="CB49" s="22">
        <f t="shared" si="10"/>
        <v>372.08678474521804</v>
      </c>
      <c r="CC49" s="62">
        <f t="shared" si="11"/>
        <v>665.42011807855135</v>
      </c>
      <c r="CD49" s="62">
        <f ca="1">AVERAGE(OFFSET($CC$3,0,0,'Données projet'!$E$12+1,1))-AVERAGE(OFFSET($H$3,0,0,'Données projet'!$E$12+1,1))</f>
        <v>490.26236605482961</v>
      </c>
      <c r="CE49" s="62">
        <f t="shared" si="40"/>
        <v>283.40133947156238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</v>
      </c>
      <c r="CT49" s="13">
        <f>IF('Données projet'!$A$140&gt;35,CT48+CS49-DB48,IF(A49&lt;'Données projet'!$A$140,$CQ$205^A49,IF(A49='Données projet'!$A$140,'Données projet'!$B$140,CT48+CS49-DB48)))</f>
        <v>149</v>
      </c>
      <c r="CU49" s="18">
        <f>CT49*VLOOKUP('Données projet'!$B$13,Paramètres!$A$1:$I$89,3,0)*VLOOKUP('Données projet'!$B$13,Paramètres!$A$1:$I$89,5,0)</f>
        <v>130.16640000000001</v>
      </c>
      <c r="CV49" s="14">
        <f t="shared" si="41"/>
        <v>34.034806623706274</v>
      </c>
      <c r="CW49" s="22">
        <f t="shared" si="13"/>
        <v>285.9837682029551</v>
      </c>
      <c r="CX49" s="62">
        <f t="shared" si="14"/>
        <v>579.31710153628842</v>
      </c>
      <c r="CY49" s="62">
        <f ca="1">AVERAGE(OFFSET($CX$3,0,0,'Données projet'!$E$13+1,1))-AVERAGE(OFFSET($H$3,0,0,'Données projet'!$E$13+1,1))</f>
        <v>315.3516976788701</v>
      </c>
      <c r="CZ49" s="62">
        <f t="shared" si="42"/>
        <v>266.32508105927997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178.89768000000004</v>
      </c>
      <c r="EL49" s="14">
        <f t="shared" si="45"/>
        <v>45.076852665999411</v>
      </c>
      <c r="EM49" s="22">
        <f t="shared" si="19"/>
        <v>390.08897772661572</v>
      </c>
      <c r="EN49" s="62">
        <f t="shared" si="20"/>
        <v>683.42231105994904</v>
      </c>
      <c r="EO49" s="62">
        <f ca="1">AVERAGE(OFFSET($EN$3,0,0,'Données projet'!$E$15+1,1))-AVERAGE(OFFSET($H$3,0,0,'Données projet'!$E$15+1,1))</f>
        <v>502.07782026233912</v>
      </c>
      <c r="EP49" s="62">
        <f t="shared" si="46"/>
        <v>285.83623046025156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5.5128205128205199</v>
      </c>
      <c r="FE49" s="13">
        <f>IF('Données projet'!$A$218&gt;35,FE48+FD49-FM48,IF(A49&lt;'Données projet'!$A$218,$FB$205^A49,IF(A49='Données projet'!$A$218,'Données projet'!$B$218,FE48+FD49-FM48)))</f>
        <v>142.69230769230759</v>
      </c>
      <c r="FF49" s="18">
        <f>FE49*VLOOKUP('Données projet'!$B$16,Paramètres!$A$1:$I$89,3,0)*VLOOKUP('Données projet'!$B$16,Paramètres!$A$1:$I$89,5,0)</f>
        <v>135.78599999999992</v>
      </c>
      <c r="FG49" s="14">
        <f t="shared" si="47"/>
        <v>35.329926868166531</v>
      </c>
      <c r="FH49" s="22">
        <f t="shared" si="22"/>
        <v>298.02690596205656</v>
      </c>
      <c r="FI49" s="62">
        <f t="shared" si="23"/>
        <v>591.36023929538987</v>
      </c>
      <c r="FJ49" s="62">
        <f ca="1">AVERAGE(OFFSET($FI$3,0,0,'Données projet'!$E$16+1,1))-AVERAGE(OFFSET($H$3,0,0,'Données projet'!$E$16+1,1))</f>
        <v>365.5904647357433</v>
      </c>
      <c r="FK49" s="62">
        <f t="shared" si="48"/>
        <v>256.56280810580841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7.6</v>
      </c>
      <c r="FZ49" s="13">
        <f>IF('Données projet'!$A$244&gt;35,FZ48+FY49-GH48,IF(A49&lt;'Données projet'!$A$244,$FW$205^A49,IF(A49='Données projet'!$A$244,'Données projet'!$B$244,FZ48+FY49-GH48)))</f>
        <v>197.6</v>
      </c>
      <c r="GA49" s="18">
        <f>FZ49*VLOOKUP('Données projet'!$B$17,Paramètres!$A$1:$I$89,3,0)*VLOOKUP('Données projet'!$B$17,Paramètres!$A$1:$I$89,5,0)</f>
        <v>160.29311999999999</v>
      </c>
      <c r="GB49" s="14">
        <f t="shared" si="49"/>
        <v>40.908622396455648</v>
      </c>
      <c r="GC49" s="22">
        <f t="shared" si="25"/>
        <v>350.42636800716019</v>
      </c>
      <c r="GD49" s="62">
        <f t="shared" si="26"/>
        <v>643.75970134049351</v>
      </c>
      <c r="GE49" s="62">
        <f ca="1">AVERAGE(OFFSET($GD$3,0,0,'Données projet'!$E$17+1,1))-AVERAGE(OFFSET($H$3,0,0,'Données projet'!$E$17+1,1))</f>
        <v>256.19915261735281</v>
      </c>
      <c r="GF49" s="62">
        <f t="shared" si="50"/>
        <v>297.47246687305056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12.535897435897434</v>
      </c>
      <c r="GU49" s="13">
        <f>IF('Données projet'!$A$270&gt;35,GU48+GT49-HC48,IF(A49&lt;'Données projet'!$A$270,$GR$205^A49,IF(A49='Données projet'!$A$270,'Données projet'!$B$270,GU48+GT49-HC48)))</f>
        <v>324.8897435897436</v>
      </c>
      <c r="GV49" s="18">
        <f>GU49*VLOOKUP('Données projet'!$B$18,Paramètres!$A$1:$I$89,3,0)*VLOOKUP('Données projet'!$B$18,Paramètres!$A$1:$I$89,5,0)</f>
        <v>152.04840000000002</v>
      </c>
      <c r="GW49" s="14">
        <f t="shared" si="51"/>
        <v>39.043723763259592</v>
      </c>
      <c r="GX49" s="22">
        <f t="shared" si="28"/>
        <v>332.81878222101051</v>
      </c>
      <c r="GY49" s="62">
        <f t="shared" si="29"/>
        <v>626.15211555434382</v>
      </c>
      <c r="GZ49" s="62">
        <f ca="1">AVERAGE(OFFSET($GY$3,0,0,'Données projet'!$E$18+1,1))-AVERAGE(OFFSET($H$3,0,0,'Données projet'!$E$18+1,1))</f>
        <v>284.704043530756</v>
      </c>
      <c r="HA49" s="62">
        <f t="shared" si="52"/>
        <v>190.4880882944471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2">
        <f t="shared" si="0"/>
        <v>638.43129351369294</v>
      </c>
      <c r="S50" s="62">
        <f ca="1">AVERAGE(OFFSET($R$3,0,0,'Données projet'!$E$9+1,1))-AVERAGE(OFFSET($H$3,0,0,'Données projet'!$E$9+1,1))</f>
        <v>428.8489304403459</v>
      </c>
      <c r="T50" s="62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5.4</v>
      </c>
      <c r="AI50" s="14">
        <f>IF('Données projet'!$A$62&gt;35,AI49+AH50-AQ49,IF(A50&lt;'Données projet'!$A$62,$AF$205^A50,IF(A50='Données projet'!$A$62,'Données projet'!$B$62,AI49+AH50-AQ49)))</f>
        <v>157.79999999999993</v>
      </c>
      <c r="AJ50" s="14">
        <f>AI50*VLOOKUP('Données projet'!$B$10,Paramètres!$A$1:$I$89,3,0)*VLOOKUP('Données projet'!$B$10,Paramètres!$A$1:$I$89,5,0)</f>
        <v>137.85407999999995</v>
      </c>
      <c r="AK50" s="14">
        <f t="shared" si="35"/>
        <v>35.804964283629964</v>
      </c>
      <c r="AL50" s="22">
        <f t="shared" si="4"/>
        <v>302.45616879398875</v>
      </c>
      <c r="AM50" s="62">
        <f t="shared" si="5"/>
        <v>595.78950212732207</v>
      </c>
      <c r="AN50" s="62">
        <f ca="1">AVERAGE(OFFSET($AM$3,0,0,'Données projet'!$E$10+1,1))-AVERAGE(OFFSET($H$3,0,0,'Données projet'!$E$10+1,1))</f>
        <v>274.66236526869056</v>
      </c>
      <c r="AO50" s="62">
        <f t="shared" si="36"/>
        <v>256.90876395053073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176.84160000000006</v>
      </c>
      <c r="BF50" s="14">
        <f t="shared" si="37"/>
        <v>44.618778032982952</v>
      </c>
      <c r="BG50" s="22">
        <f t="shared" si="7"/>
        <v>385.71015840744536</v>
      </c>
      <c r="BH50" s="62">
        <f t="shared" si="8"/>
        <v>679.04349174077868</v>
      </c>
      <c r="BI50" s="62">
        <f ca="1">AVERAGE(OFFSET($BH$3,0,0,'Données projet'!$E$11+1,1))-AVERAGE(OFFSET($H$3,0,0,'Données projet'!$E$11+1,1))</f>
        <v>475.47920969424894</v>
      </c>
      <c r="BJ50" s="62">
        <f t="shared" si="38"/>
        <v>271.73544012419364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6.025641025641022</v>
      </c>
      <c r="BY50" s="13">
        <f>IF('Données projet'!$A$114&gt;35,BY49+BX50-CG49,IF(A50&lt;'Données projet'!$A$114,$BV$205^A50,IF(A50='Données projet'!$A$114,'Données projet'!$B$114,BY49+BX50-CG49)))</f>
        <v>169.102564102564</v>
      </c>
      <c r="BZ50" s="14">
        <f>BY50*VLOOKUP('Données projet'!$B$12,Paramètres!$A$1:$I$89,3,0)*VLOOKUP('Données projet'!$B$12,Paramètres!$A$1:$I$89,5,0)</f>
        <v>176.74599999999992</v>
      </c>
      <c r="CA50" s="14">
        <f t="shared" si="39"/>
        <v>44.597464251806365</v>
      </c>
      <c r="CB50" s="22">
        <f t="shared" si="10"/>
        <v>385.50653357189594</v>
      </c>
      <c r="CC50" s="62">
        <f t="shared" si="11"/>
        <v>678.8398669052292</v>
      </c>
      <c r="CD50" s="62">
        <f ca="1">AVERAGE(OFFSET($CC$3,0,0,'Données projet'!$E$12+1,1))-AVERAGE(OFFSET($H$3,0,0,'Données projet'!$E$12+1,1))</f>
        <v>490.26236605482961</v>
      </c>
      <c r="CE50" s="62">
        <f t="shared" si="40"/>
        <v>283.40133947156238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</v>
      </c>
      <c r="CT50" s="13">
        <f>IF('Données projet'!$A$140&gt;35,CT49+CS50-DB49,IF(A50&lt;'Données projet'!$A$140,$CQ$205^A50,IF(A50='Données projet'!$A$140,'Données projet'!$B$140,CT49+CS50-DB49)))</f>
        <v>155</v>
      </c>
      <c r="CU50" s="18">
        <f>CT50*VLOOKUP('Données projet'!$B$13,Paramètres!$A$1:$I$89,3,0)*VLOOKUP('Données projet'!$B$13,Paramètres!$A$1:$I$89,5,0)</f>
        <v>135.40800000000002</v>
      </c>
      <c r="CV50" s="14">
        <f t="shared" si="41"/>
        <v>35.243009677478732</v>
      </c>
      <c r="CW50" s="22">
        <f t="shared" si="13"/>
        <v>297.21717518827552</v>
      </c>
      <c r="CX50" s="62">
        <f t="shared" si="14"/>
        <v>590.55050852160889</v>
      </c>
      <c r="CY50" s="62">
        <f ca="1">AVERAGE(OFFSET($CX$3,0,0,'Données projet'!$E$13+1,1))-AVERAGE(OFFSET($H$3,0,0,'Données projet'!$E$13+1,1))</f>
        <v>315.3516976788701</v>
      </c>
      <c r="CZ50" s="62">
        <f t="shared" si="42"/>
        <v>266.32508105927997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187.72416000000004</v>
      </c>
      <c r="EL50" s="14">
        <f t="shared" si="45"/>
        <v>47.036444603668812</v>
      </c>
      <c r="EM50" s="22">
        <f t="shared" si="19"/>
        <v>408.87471968472323</v>
      </c>
      <c r="EN50" s="62">
        <f t="shared" si="20"/>
        <v>702.20805301805649</v>
      </c>
      <c r="EO50" s="62">
        <f ca="1">AVERAGE(OFFSET($EN$3,0,0,'Données projet'!$E$15+1,1))-AVERAGE(OFFSET($H$3,0,0,'Données projet'!$E$15+1,1))</f>
        <v>502.07782026233912</v>
      </c>
      <c r="EP50" s="62">
        <f t="shared" si="46"/>
        <v>285.83623046025156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5.5128205128205199</v>
      </c>
      <c r="FE50" s="13">
        <f>IF('Données projet'!$A$218&gt;35,FE49+FD50-FM49,IF(A50&lt;'Données projet'!$A$218,$FB$205^A50,IF(A50='Données projet'!$A$218,'Données projet'!$B$218,FE49+FD50-FM49)))</f>
        <v>148.20512820512812</v>
      </c>
      <c r="FF50" s="18">
        <f>FE50*VLOOKUP('Données projet'!$B$16,Paramètres!$A$1:$I$89,3,0)*VLOOKUP('Données projet'!$B$16,Paramètres!$A$1:$I$89,5,0)</f>
        <v>141.03199999999993</v>
      </c>
      <c r="FG50" s="14">
        <f t="shared" si="47"/>
        <v>36.533321053516261</v>
      </c>
      <c r="FH50" s="22">
        <f t="shared" si="22"/>
        <v>309.25960083487399</v>
      </c>
      <c r="FI50" s="62">
        <f t="shared" si="23"/>
        <v>602.59293416820731</v>
      </c>
      <c r="FJ50" s="62">
        <f ca="1">AVERAGE(OFFSET($FI$3,0,0,'Données projet'!$E$16+1,1))-AVERAGE(OFFSET($H$3,0,0,'Données projet'!$E$16+1,1))</f>
        <v>365.5904647357433</v>
      </c>
      <c r="FK50" s="62">
        <f t="shared" si="48"/>
        <v>256.56280810580841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7.6</v>
      </c>
      <c r="FZ50" s="13">
        <f>IF('Données projet'!$A$244&gt;35,FZ49+FY50-GH49,IF(A50&lt;'Données projet'!$A$244,$FW$205^A50,IF(A50='Données projet'!$A$244,'Données projet'!$B$244,FZ49+FY50-GH49)))</f>
        <v>205.2</v>
      </c>
      <c r="GA50" s="18">
        <f>FZ50*VLOOKUP('Données projet'!$B$17,Paramètres!$A$1:$I$89,3,0)*VLOOKUP('Données projet'!$B$17,Paramètres!$A$1:$I$89,5,0)</f>
        <v>166.45823999999999</v>
      </c>
      <c r="GB50" s="14">
        <f t="shared" si="49"/>
        <v>42.295817799452642</v>
      </c>
      <c r="GC50" s="22">
        <f t="shared" si="25"/>
        <v>363.5799840007133</v>
      </c>
      <c r="GD50" s="62">
        <f t="shared" si="26"/>
        <v>656.91331733404661</v>
      </c>
      <c r="GE50" s="62">
        <f ca="1">AVERAGE(OFFSET($GD$3,0,0,'Données projet'!$E$17+1,1))-AVERAGE(OFFSET($H$3,0,0,'Données projet'!$E$17+1,1))</f>
        <v>256.19915261735281</v>
      </c>
      <c r="GF50" s="62">
        <f t="shared" si="50"/>
        <v>297.47246687305056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12.535897435897434</v>
      </c>
      <c r="GU50" s="13">
        <f>IF('Données projet'!$A$270&gt;35,GU49+GT50-HC49,IF(A50&lt;'Données projet'!$A$270,$GR$205^A50,IF(A50='Données projet'!$A$270,'Données projet'!$B$270,GU49+GT50-HC49)))</f>
        <v>337.42564102564103</v>
      </c>
      <c r="GV50" s="18">
        <f>GU50*VLOOKUP('Données projet'!$B$18,Paramètres!$A$1:$I$89,3,0)*VLOOKUP('Données projet'!$B$18,Paramètres!$A$1:$I$89,5,0)</f>
        <v>157.9152</v>
      </c>
      <c r="GW50" s="14">
        <f t="shared" si="51"/>
        <v>40.371924607289195</v>
      </c>
      <c r="GX50" s="22">
        <f t="shared" si="28"/>
        <v>345.3500753576954</v>
      </c>
      <c r="GY50" s="62">
        <f t="shared" si="29"/>
        <v>638.68340869102872</v>
      </c>
      <c r="GZ50" s="62">
        <f ca="1">AVERAGE(OFFSET($GY$3,0,0,'Données projet'!$E$18+1,1))-AVERAGE(OFFSET($H$3,0,0,'Données projet'!$E$18+1,1))</f>
        <v>284.704043530756</v>
      </c>
      <c r="HA50" s="62">
        <f t="shared" si="52"/>
        <v>190.4880882944471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2">
        <f t="shared" si="0"/>
        <v>654.26480538883823</v>
      </c>
      <c r="S51" s="62">
        <f ca="1">AVERAGE(OFFSET($R$3,0,0,'Données projet'!$E$9+1,1))-AVERAGE(OFFSET($H$3,0,0,'Données projet'!$E$9+1,1))</f>
        <v>428.8489304403459</v>
      </c>
      <c r="T51" s="62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5.4</v>
      </c>
      <c r="AI51" s="14">
        <f>IF('Données projet'!$A$62&gt;35,AI50+AH51-AQ50,IF(A51&lt;'Données projet'!$A$62,$AF$205^A51,IF(A51='Données projet'!$A$62,'Données projet'!$B$62,AI50+AH51-AQ50)))</f>
        <v>163.19999999999993</v>
      </c>
      <c r="AJ51" s="14">
        <f>AI51*VLOOKUP('Données projet'!$B$10,Paramètres!$A$1:$I$89,3,0)*VLOOKUP('Données projet'!$B$10,Paramètres!$A$1:$I$89,5,0)</f>
        <v>142.57151999999996</v>
      </c>
      <c r="AK51" s="14">
        <f t="shared" si="35"/>
        <v>36.88547912245555</v>
      </c>
      <c r="AL51" s="22">
        <f t="shared" si="4"/>
        <v>312.55427347160997</v>
      </c>
      <c r="AM51" s="62">
        <f t="shared" si="5"/>
        <v>605.88760680494329</v>
      </c>
      <c r="AN51" s="62">
        <f ca="1">AVERAGE(OFFSET($AM$3,0,0,'Données projet'!$E$10+1,1))-AVERAGE(OFFSET($H$3,0,0,'Données projet'!$E$10+1,1))</f>
        <v>274.66236526869056</v>
      </c>
      <c r="AO51" s="62">
        <f t="shared" si="36"/>
        <v>256.90876395053073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185.15640000000002</v>
      </c>
      <c r="BF51" s="14">
        <f t="shared" si="37"/>
        <v>46.467497591770453</v>
      </c>
      <c r="BG51" s="22">
        <f t="shared" si="7"/>
        <v>403.4116216390002</v>
      </c>
      <c r="BH51" s="62">
        <f t="shared" si="8"/>
        <v>696.74495497233352</v>
      </c>
      <c r="BI51" s="62">
        <f ca="1">AVERAGE(OFFSET($BH$3,0,0,'Données projet'!$E$11+1,1))-AVERAGE(OFFSET($H$3,0,0,'Données projet'!$E$11+1,1))</f>
        <v>475.47920969424894</v>
      </c>
      <c r="BJ51" s="62">
        <f t="shared" si="38"/>
        <v>271.73544012419364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6.025641025641022</v>
      </c>
      <c r="BY51" s="13">
        <f>IF('Données projet'!$A$114&gt;35,BY50+BX51-CG50,IF(A51&lt;'Données projet'!$A$114,$BV$205^A51,IF(A51='Données projet'!$A$114,'Données projet'!$B$114,BY50+BX51-CG50)))</f>
        <v>175.12820512820502</v>
      </c>
      <c r="BZ51" s="14">
        <f>BY51*VLOOKUP('Données projet'!$B$12,Paramètres!$A$1:$I$89,3,0)*VLOOKUP('Données projet'!$B$12,Paramètres!$A$1:$I$89,5,0)</f>
        <v>183.04399999999993</v>
      </c>
      <c r="CA51" s="14">
        <f t="shared" si="39"/>
        <v>45.998757690103524</v>
      </c>
      <c r="CB51" s="22">
        <f t="shared" si="10"/>
        <v>398.91613631026348</v>
      </c>
      <c r="CC51" s="62">
        <f t="shared" si="11"/>
        <v>692.24946964359674</v>
      </c>
      <c r="CD51" s="62">
        <f ca="1">AVERAGE(OFFSET($CC$3,0,0,'Données projet'!$E$12+1,1))-AVERAGE(OFFSET($H$3,0,0,'Données projet'!$E$12+1,1))</f>
        <v>490.26236605482961</v>
      </c>
      <c r="CE51" s="62">
        <f t="shared" si="40"/>
        <v>283.40133947156238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</v>
      </c>
      <c r="CT51" s="13">
        <f>IF('Données projet'!$A$140&gt;35,CT50+CS51-DB50,IF(A51&lt;'Données projet'!$A$140,$CQ$205^A51,IF(A51='Données projet'!$A$140,'Données projet'!$B$140,CT50+CS51-DB50)))</f>
        <v>161</v>
      </c>
      <c r="CU51" s="18">
        <f>CT51*VLOOKUP('Données projet'!$B$13,Paramètres!$A$1:$I$89,3,0)*VLOOKUP('Données projet'!$B$13,Paramètres!$A$1:$I$89,5,0)</f>
        <v>140.64960000000002</v>
      </c>
      <c r="CV51" s="14">
        <f t="shared" si="41"/>
        <v>36.445779615258601</v>
      </c>
      <c r="CW51" s="22">
        <f t="shared" si="13"/>
        <v>308.44111949657542</v>
      </c>
      <c r="CX51" s="62">
        <f t="shared" si="14"/>
        <v>601.7744528299088</v>
      </c>
      <c r="CY51" s="62">
        <f ca="1">AVERAGE(OFFSET($CX$3,0,0,'Données projet'!$E$13+1,1))-AVERAGE(OFFSET($H$3,0,0,'Données projet'!$E$13+1,1))</f>
        <v>315.3516976788701</v>
      </c>
      <c r="CZ51" s="62">
        <f t="shared" si="42"/>
        <v>266.32508105927997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196.55064000000002</v>
      </c>
      <c r="EL51" s="14">
        <f t="shared" si="45"/>
        <v>48.985336952319578</v>
      </c>
      <c r="EM51" s="22">
        <f t="shared" si="19"/>
        <v>427.6418265252899</v>
      </c>
      <c r="EN51" s="62">
        <f t="shared" si="20"/>
        <v>720.97515985862321</v>
      </c>
      <c r="EO51" s="62">
        <f ca="1">AVERAGE(OFFSET($EN$3,0,0,'Données projet'!$E$15+1,1))-AVERAGE(OFFSET($H$3,0,0,'Données projet'!$E$15+1,1))</f>
        <v>502.07782026233912</v>
      </c>
      <c r="EP51" s="62">
        <f t="shared" si="46"/>
        <v>285.83623046025156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5.5128205128205199</v>
      </c>
      <c r="FE51" s="13">
        <f>IF('Données projet'!$A$218&gt;35,FE50+FD51-FM50,IF(A51&lt;'Données projet'!$A$218,$FB$205^A51,IF(A51='Données projet'!$A$218,'Données projet'!$B$218,FE50+FD51-FM50)))</f>
        <v>153.71794871794864</v>
      </c>
      <c r="FF51" s="18">
        <f>FE51*VLOOKUP('Données projet'!$B$16,Paramètres!$A$1:$I$89,3,0)*VLOOKUP('Données projet'!$B$16,Paramètres!$A$1:$I$89,5,0)</f>
        <v>146.27799999999993</v>
      </c>
      <c r="FG51" s="14">
        <f t="shared" si="47"/>
        <v>37.731514830438087</v>
      </c>
      <c r="FH51" s="22">
        <f t="shared" si="22"/>
        <v>320.48323832967958</v>
      </c>
      <c r="FI51" s="62">
        <f t="shared" si="23"/>
        <v>613.81657166301284</v>
      </c>
      <c r="FJ51" s="62">
        <f ca="1">AVERAGE(OFFSET($FI$3,0,0,'Données projet'!$E$16+1,1))-AVERAGE(OFFSET($H$3,0,0,'Données projet'!$E$16+1,1))</f>
        <v>365.5904647357433</v>
      </c>
      <c r="FK51" s="62">
        <f t="shared" si="48"/>
        <v>256.56280810580841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7.6</v>
      </c>
      <c r="FZ51" s="13">
        <f>IF('Données projet'!$A$244&gt;35,FZ50+FY51-GH50,IF(A51&lt;'Données projet'!$A$244,$FW$205^A51,IF(A51='Données projet'!$A$244,'Données projet'!$B$244,FZ50+FY51-GH50)))</f>
        <v>212.79999999999998</v>
      </c>
      <c r="GA51" s="18">
        <f>FZ51*VLOOKUP('Données projet'!$B$17,Paramètres!$A$1:$I$89,3,0)*VLOOKUP('Données projet'!$B$17,Paramètres!$A$1:$I$89,5,0)</f>
        <v>172.62335999999999</v>
      </c>
      <c r="GB51" s="14">
        <f t="shared" si="49"/>
        <v>43.67704427998607</v>
      </c>
      <c r="GC51" s="22">
        <f t="shared" si="25"/>
        <v>376.72320412097571</v>
      </c>
      <c r="GD51" s="62">
        <f t="shared" si="26"/>
        <v>670.05653745430902</v>
      </c>
      <c r="GE51" s="62">
        <f ca="1">AVERAGE(OFFSET($GD$3,0,0,'Données projet'!$E$17+1,1))-AVERAGE(OFFSET($H$3,0,0,'Données projet'!$E$17+1,1))</f>
        <v>256.19915261735281</v>
      </c>
      <c r="GF51" s="62">
        <f t="shared" si="50"/>
        <v>297.47246687305056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12.535897435897434</v>
      </c>
      <c r="GU51" s="13">
        <f>IF('Données projet'!$A$270&gt;35,GU50+GT51-HC50,IF(A51&lt;'Données projet'!$A$270,$GR$205^A51,IF(A51='Données projet'!$A$270,'Données projet'!$B$270,GU50+GT51-HC50)))</f>
        <v>349.96153846153845</v>
      </c>
      <c r="GV51" s="18">
        <f>GU51*VLOOKUP('Données projet'!$B$18,Paramètres!$A$1:$I$89,3,0)*VLOOKUP('Données projet'!$B$18,Paramètres!$A$1:$I$89,5,0)</f>
        <v>163.78200000000001</v>
      </c>
      <c r="GW51" s="14">
        <f t="shared" si="51"/>
        <v>41.694392728849685</v>
      </c>
      <c r="GX51" s="22">
        <f t="shared" si="28"/>
        <v>357.87138400274654</v>
      </c>
      <c r="GY51" s="62">
        <f t="shared" si="29"/>
        <v>651.20471733607985</v>
      </c>
      <c r="GZ51" s="62">
        <f ca="1">AVERAGE(OFFSET($GY$3,0,0,'Données projet'!$E$18+1,1))-AVERAGE(OFFSET($H$3,0,0,'Données projet'!$E$18+1,1))</f>
        <v>284.704043530756</v>
      </c>
      <c r="HA51" s="62">
        <f t="shared" si="52"/>
        <v>190.4880882944471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2">
        <f t="shared" si="0"/>
        <v>670.08313290501178</v>
      </c>
      <c r="S52" s="62">
        <f ca="1">AVERAGE(OFFSET($R$3,0,0,'Données projet'!$E$9+1,1))-AVERAGE(OFFSET($H$3,0,0,'Données projet'!$E$9+1,1))</f>
        <v>428.8489304403459</v>
      </c>
      <c r="T52" s="62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5.4</v>
      </c>
      <c r="AI52" s="14">
        <f>IF('Données projet'!$A$62&gt;35,AI51+AH52-AQ51,IF(A52&lt;'Données projet'!$A$62,$AF$205^A52,IF(A52='Données projet'!$A$62,'Données projet'!$B$62,AI51+AH52-AQ51)))</f>
        <v>168.59999999999994</v>
      </c>
      <c r="AJ52" s="14">
        <f>AI52*VLOOKUP('Données projet'!$B$10,Paramètres!$A$1:$I$89,3,0)*VLOOKUP('Données projet'!$B$10,Paramètres!$A$1:$I$89,5,0)</f>
        <v>147.28895999999995</v>
      </c>
      <c r="AK52" s="14">
        <f t="shared" si="35"/>
        <v>37.961839593121908</v>
      </c>
      <c r="AL52" s="22">
        <f t="shared" si="4"/>
        <v>322.6451426246872</v>
      </c>
      <c r="AM52" s="62">
        <f t="shared" si="5"/>
        <v>615.97847595802045</v>
      </c>
      <c r="AN52" s="62">
        <f ca="1">AVERAGE(OFFSET($AM$3,0,0,'Données projet'!$E$10+1,1))-AVERAGE(OFFSET($H$3,0,0,'Données projet'!$E$10+1,1))</f>
        <v>274.66236526869056</v>
      </c>
      <c r="AO52" s="62">
        <f t="shared" si="36"/>
        <v>256.90876395053073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193.47120000000001</v>
      </c>
      <c r="BF52" s="14">
        <f t="shared" si="37"/>
        <v>48.306575382296536</v>
      </c>
      <c r="BG52" s="22">
        <f t="shared" si="7"/>
        <v>421.09629212416644</v>
      </c>
      <c r="BH52" s="62">
        <f t="shared" si="8"/>
        <v>714.4296254574997</v>
      </c>
      <c r="BI52" s="62">
        <f ca="1">AVERAGE(OFFSET($BH$3,0,0,'Données projet'!$E$11+1,1))-AVERAGE(OFFSET($H$3,0,0,'Données projet'!$E$11+1,1))</f>
        <v>475.47920969424894</v>
      </c>
      <c r="BJ52" s="62">
        <f t="shared" si="38"/>
        <v>271.73544012419364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6.025641025641022</v>
      </c>
      <c r="BY52" s="13">
        <f>IF('Données projet'!$A$114&gt;35,BY51+BX52-CG51,IF(A52&lt;'Données projet'!$A$114,$BV$205^A52,IF(A52='Données projet'!$A$114,'Données projet'!$B$114,BY51+BX52-CG51)))</f>
        <v>181.15384615384605</v>
      </c>
      <c r="BZ52" s="14">
        <f>BY52*VLOOKUP('Données projet'!$B$12,Paramètres!$A$1:$I$89,3,0)*VLOOKUP('Données projet'!$B$12,Paramètres!$A$1:$I$89,5,0)</f>
        <v>189.3419999999999</v>
      </c>
      <c r="CA52" s="14">
        <f t="shared" si="39"/>
        <v>47.394449034576368</v>
      </c>
      <c r="CB52" s="22">
        <f t="shared" si="10"/>
        <v>412.31598206855364</v>
      </c>
      <c r="CC52" s="62">
        <f t="shared" si="11"/>
        <v>705.64931540188695</v>
      </c>
      <c r="CD52" s="62">
        <f ca="1">AVERAGE(OFFSET($CC$3,0,0,'Données projet'!$E$12+1,1))-AVERAGE(OFFSET($H$3,0,0,'Données projet'!$E$12+1,1))</f>
        <v>490.26236605482961</v>
      </c>
      <c r="CE52" s="62">
        <f t="shared" si="40"/>
        <v>283.40133947156238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</v>
      </c>
      <c r="CT52" s="13">
        <f>IF('Données projet'!$A$140&gt;35,CT51+CS52-DB51,IF(A52&lt;'Données projet'!$A$140,$CQ$205^A52,IF(A52='Données projet'!$A$140,'Données projet'!$B$140,CT51+CS52-DB51)))</f>
        <v>167</v>
      </c>
      <c r="CU52" s="18">
        <f>CT52*VLOOKUP('Données projet'!$B$13,Paramètres!$A$1:$I$89,3,0)*VLOOKUP('Données projet'!$B$13,Paramètres!$A$1:$I$89,5,0)</f>
        <v>145.89120000000003</v>
      </c>
      <c r="CV52" s="14">
        <f t="shared" si="41"/>
        <v>37.643342098399685</v>
      </c>
      <c r="CW52" s="22">
        <f t="shared" si="13"/>
        <v>319.6559941547128</v>
      </c>
      <c r="CX52" s="62">
        <f t="shared" si="14"/>
        <v>612.98932748804611</v>
      </c>
      <c r="CY52" s="62">
        <f ca="1">AVERAGE(OFFSET($CX$3,0,0,'Données projet'!$E$13+1,1))-AVERAGE(OFFSET($H$3,0,0,'Données projet'!$E$13+1,1))</f>
        <v>315.3516976788701</v>
      </c>
      <c r="CZ52" s="62">
        <f t="shared" si="42"/>
        <v>266.32508105927997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205.37711999999999</v>
      </c>
      <c r="EL52" s="14">
        <f t="shared" si="45"/>
        <v>50.924065093909938</v>
      </c>
      <c r="EM52" s="22">
        <f t="shared" si="19"/>
        <v>446.39123070522641</v>
      </c>
      <c r="EN52" s="62">
        <f t="shared" si="20"/>
        <v>739.72456403855972</v>
      </c>
      <c r="EO52" s="62">
        <f ca="1">AVERAGE(OFFSET($EN$3,0,0,'Données projet'!$E$15+1,1))-AVERAGE(OFFSET($H$3,0,0,'Données projet'!$E$15+1,1))</f>
        <v>502.07782026233912</v>
      </c>
      <c r="EP52" s="62">
        <f t="shared" si="46"/>
        <v>285.83623046025156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5.5128205128205199</v>
      </c>
      <c r="FE52" s="13">
        <f>IF('Données projet'!$A$218&gt;35,FE51+FD52-FM51,IF(A52&lt;'Données projet'!$A$218,$FB$205^A52,IF(A52='Données projet'!$A$218,'Données projet'!$B$218,FE51+FD52-FM51)))</f>
        <v>159.23076923076917</v>
      </c>
      <c r="FF52" s="18">
        <f>FE52*VLOOKUP('Données projet'!$B$16,Paramètres!$A$1:$I$89,3,0)*VLOOKUP('Données projet'!$B$16,Paramètres!$A$1:$I$89,5,0)</f>
        <v>151.52399999999994</v>
      </c>
      <c r="FG52" s="14">
        <f t="shared" si="47"/>
        <v>38.924716067948651</v>
      </c>
      <c r="FH52" s="22">
        <f t="shared" si="22"/>
        <v>331.69818048501048</v>
      </c>
      <c r="FI52" s="62">
        <f t="shared" si="23"/>
        <v>625.0315138183438</v>
      </c>
      <c r="FJ52" s="62">
        <f ca="1">AVERAGE(OFFSET($FI$3,0,0,'Données projet'!$E$16+1,1))-AVERAGE(OFFSET($H$3,0,0,'Données projet'!$E$16+1,1))</f>
        <v>365.5904647357433</v>
      </c>
      <c r="FK52" s="62">
        <f t="shared" si="48"/>
        <v>256.56280810580841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7.6</v>
      </c>
      <c r="FZ52" s="13">
        <f>IF('Données projet'!$A$244&gt;35,FZ51+FY52-GH51,IF(A52&lt;'Données projet'!$A$244,$FW$205^A52,IF(A52='Données projet'!$A$244,'Données projet'!$B$244,FZ51+FY52-GH51)))</f>
        <v>220.39999999999998</v>
      </c>
      <c r="GA52" s="18">
        <f>FZ52*VLOOKUP('Données projet'!$B$17,Paramètres!$A$1:$I$89,3,0)*VLOOKUP('Données projet'!$B$17,Paramètres!$A$1:$I$89,5,0)</f>
        <v>178.78847999999999</v>
      </c>
      <c r="GB52" s="14">
        <f t="shared" si="49"/>
        <v>45.052539436241446</v>
      </c>
      <c r="GC52" s="22">
        <f t="shared" si="25"/>
        <v>389.85644218478711</v>
      </c>
      <c r="GD52" s="62">
        <f t="shared" si="26"/>
        <v>683.18977551812043</v>
      </c>
      <c r="GE52" s="62">
        <f ca="1">AVERAGE(OFFSET($GD$3,0,0,'Données projet'!$E$17+1,1))-AVERAGE(OFFSET($H$3,0,0,'Données projet'!$E$17+1,1))</f>
        <v>256.19915261735281</v>
      </c>
      <c r="GF52" s="62">
        <f t="shared" si="50"/>
        <v>297.47246687305056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12.535897435897434</v>
      </c>
      <c r="GU52" s="13">
        <f>IF('Données projet'!$A$270&gt;35,GU51+GT52-HC51,IF(A52&lt;'Données projet'!$A$270,$GR$205^A52,IF(A52='Données projet'!$A$270,'Données projet'!$B$270,GU51+GT52-HC51)))</f>
        <v>362.49743589743588</v>
      </c>
      <c r="GV52" s="18">
        <f>GU52*VLOOKUP('Données projet'!$B$18,Paramètres!$A$1:$I$89,3,0)*VLOOKUP('Données projet'!$B$18,Paramètres!$A$1:$I$89,5,0)</f>
        <v>169.64879999999997</v>
      </c>
      <c r="GW52" s="14">
        <f t="shared" si="51"/>
        <v>43.01135700364128</v>
      </c>
      <c r="GX52" s="22">
        <f t="shared" si="28"/>
        <v>370.38310678134184</v>
      </c>
      <c r="GY52" s="62">
        <f t="shared" si="29"/>
        <v>663.71644011467515</v>
      </c>
      <c r="GZ52" s="62">
        <f ca="1">AVERAGE(OFFSET($GY$3,0,0,'Données projet'!$E$18+1,1))-AVERAGE(OFFSET($H$3,0,0,'Données projet'!$E$18+1,1))</f>
        <v>284.704043530756</v>
      </c>
      <c r="HA52" s="62">
        <f t="shared" si="52"/>
        <v>190.4880882944471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2">
        <f t="shared" si="0"/>
        <v>685.88700323711032</v>
      </c>
      <c r="S53" s="62">
        <f ca="1">AVERAGE(OFFSET($R$3,0,0,'Données projet'!$E$9+1,1))-AVERAGE(OFFSET($H$3,0,0,'Données projet'!$E$9+1,1))</f>
        <v>428.8489304403459</v>
      </c>
      <c r="T53" s="62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174</v>
      </c>
      <c r="AG53" s="13">
        <f>VLOOKUP(A53,'Données projet'!$A$61:$I$81,9,0)</f>
        <v>5.4</v>
      </c>
      <c r="AH53" s="13">
        <f t="array" ref="AH53">INDEX(AG:AG,MIN(IF(ISNUMBER(AG53:AG249),ROW(AG53:AG249),"")))</f>
        <v>5.4</v>
      </c>
      <c r="AI53" s="14">
        <f>IF('Données projet'!$A$62&gt;35,AI52+AH53-AQ52,IF(A53&lt;'Données projet'!$A$62,$AF$205^A53,IF(A53='Données projet'!$A$62,'Données projet'!$B$62,AI52+AH53-AQ52)))</f>
        <v>173.99999999999994</v>
      </c>
      <c r="AJ53" s="14">
        <f>AI53*VLOOKUP('Données projet'!$B$10,Paramètres!$A$1:$I$89,3,0)*VLOOKUP('Données projet'!$B$10,Paramètres!$A$1:$I$89,5,0)</f>
        <v>152.00639999999999</v>
      </c>
      <c r="AK53" s="14">
        <f t="shared" si="35"/>
        <v>39.03419401656145</v>
      </c>
      <c r="AL53" s="22">
        <f t="shared" si="4"/>
        <v>332.72903457884451</v>
      </c>
      <c r="AM53" s="62">
        <f t="shared" si="5"/>
        <v>626.06236791217782</v>
      </c>
      <c r="AN53" s="62">
        <f ca="1">AVERAGE(OFFSET($AM$3,0,0,'Données projet'!$E$10+1,1))-AVERAGE(OFFSET($H$3,0,0,'Données projet'!$E$10+1,1))</f>
        <v>274.66236526869056</v>
      </c>
      <c r="AO53" s="62">
        <f t="shared" si="36"/>
        <v>256.90876395053073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201.786</v>
      </c>
      <c r="BF53" s="14">
        <f t="shared" si="37"/>
        <v>50.136473146268756</v>
      </c>
      <c r="BG53" s="22">
        <f t="shared" si="7"/>
        <v>438.76497406308476</v>
      </c>
      <c r="BH53" s="62">
        <f t="shared" si="8"/>
        <v>732.09830739641802</v>
      </c>
      <c r="BI53" s="62">
        <f ca="1">AVERAGE(OFFSET($BH$3,0,0,'Données projet'!$E$11+1,1))-AVERAGE(OFFSET($H$3,0,0,'Données projet'!$E$11+1,1))</f>
        <v>475.47920969424894</v>
      </c>
      <c r="BJ53" s="62">
        <f t="shared" si="38"/>
        <v>271.73544012419364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191.02564102564102</v>
      </c>
      <c r="BW53" s="13">
        <f>VLOOKUP(A53,'Données projet'!$A$113:$I$133,9,0)</f>
        <v>6.025641025641022</v>
      </c>
      <c r="BX53" s="13">
        <f t="array" ref="BX53">INDEX(BW:BW,MIN(IF(ISNUMBER(BW53:BW249),ROW(BW53:BW249),"")))</f>
        <v>6.025641025641022</v>
      </c>
      <c r="BY53" s="13">
        <f>IF('Données projet'!$A$114&gt;35,BY52+BX53-CG52,IF(A53&lt;'Données projet'!$A$114,$BV$205^A53,IF(A53='Données projet'!$A$114,'Données projet'!$B$114,BY52+BX53-CG52)))</f>
        <v>187.17948717948707</v>
      </c>
      <c r="BZ53" s="14">
        <f>BY53*VLOOKUP('Données projet'!$B$12,Paramètres!$A$1:$I$89,3,0)*VLOOKUP('Données projet'!$B$12,Paramètres!$A$1:$I$89,5,0)</f>
        <v>195.6399999999999</v>
      </c>
      <c r="CA53" s="14">
        <f t="shared" si="39"/>
        <v>48.784745990783151</v>
      </c>
      <c r="CB53" s="22">
        <f t="shared" si="10"/>
        <v>425.70643260061382</v>
      </c>
      <c r="CC53" s="62">
        <f t="shared" si="11"/>
        <v>719.03976593394714</v>
      </c>
      <c r="CD53" s="62">
        <f ca="1">AVERAGE(OFFSET($CC$3,0,0,'Données projet'!$E$12+1,1))-AVERAGE(OFFSET($H$3,0,0,'Données projet'!$E$12+1,1))</f>
        <v>490.26236605482961</v>
      </c>
      <c r="CE53" s="62">
        <f t="shared" si="40"/>
        <v>283.40133947156238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173</v>
      </c>
      <c r="CR53" s="13">
        <f>VLOOKUP(A53,'Données projet'!$A$139:$I$159,9,0)</f>
        <v>6</v>
      </c>
      <c r="CS53" s="13">
        <f t="array" ref="CS53">INDEX(CR:CR,MIN(IF(ISNUMBER(CR53:CR249),ROW(CR53:CR249),"")))</f>
        <v>6</v>
      </c>
      <c r="CT53" s="13">
        <f>IF('Données projet'!$A$140&gt;35,CT52+CS53-DB52,IF(A53&lt;'Données projet'!$A$140,$CQ$205^A53,IF(A53='Données projet'!$A$140,'Données projet'!$B$140,CT52+CS53-DB52)))</f>
        <v>173</v>
      </c>
      <c r="CU53" s="18">
        <f>CT53*VLOOKUP('Données projet'!$B$13,Paramètres!$A$1:$I$89,3,0)*VLOOKUP('Données projet'!$B$13,Paramètres!$A$1:$I$89,5,0)</f>
        <v>151.13280000000003</v>
      </c>
      <c r="CV53" s="14">
        <f t="shared" si="41"/>
        <v>38.835905653934425</v>
      </c>
      <c r="CW53" s="22">
        <f t="shared" si="13"/>
        <v>330.86216234726913</v>
      </c>
      <c r="CX53" s="62">
        <f t="shared" si="14"/>
        <v>624.19549568060245</v>
      </c>
      <c r="CY53" s="62">
        <f ca="1">AVERAGE(OFFSET($CX$3,0,0,'Données projet'!$E$13+1,1))-AVERAGE(OFFSET($H$3,0,0,'Données projet'!$E$13+1,1))</f>
        <v>315.3516976788701</v>
      </c>
      <c r="CZ53" s="62">
        <f t="shared" si="42"/>
        <v>266.32508105927997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214.20360000000002</v>
      </c>
      <c r="EL53" s="14">
        <f t="shared" si="45"/>
        <v>52.853115789602029</v>
      </c>
      <c r="EM53" s="22">
        <f t="shared" si="19"/>
        <v>465.12378000022358</v>
      </c>
      <c r="EN53" s="62">
        <f t="shared" si="20"/>
        <v>758.45711333355689</v>
      </c>
      <c r="EO53" s="62">
        <f ca="1">AVERAGE(OFFSET($EN$3,0,0,'Données projet'!$E$15+1,1))-AVERAGE(OFFSET($H$3,0,0,'Données projet'!$E$15+1,1))</f>
        <v>502.07782026233912</v>
      </c>
      <c r="EP53" s="62">
        <f t="shared" si="46"/>
        <v>285.83623046025156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164.74358974358975</v>
      </c>
      <c r="FC53" s="13">
        <f>VLOOKUP(A53,'Données projet'!$A$217:$I$237,9,0)</f>
        <v>5.5128205128205199</v>
      </c>
      <c r="FD53" s="13">
        <f t="array" ref="FD53">INDEX(FC:FC,MIN(IF(ISNUMBER(FC53:FC249),ROW(FC53:FC249),"")))</f>
        <v>5.5128205128205199</v>
      </c>
      <c r="FE53" s="13">
        <f>IF('Données projet'!$A$218&gt;35,FE52+FD53-FM52,IF(A53&lt;'Données projet'!$A$218,$FB$205^A53,IF(A53='Données projet'!$A$218,'Données projet'!$B$218,FE52+FD53-FM52)))</f>
        <v>164.74358974358969</v>
      </c>
      <c r="FF53" s="18">
        <f>FE53*VLOOKUP('Données projet'!$B$16,Paramètres!$A$1:$I$89,3,0)*VLOOKUP('Données projet'!$B$16,Paramètres!$A$1:$I$89,5,0)</f>
        <v>156.76999999999995</v>
      </c>
      <c r="FG53" s="14">
        <f t="shared" si="47"/>
        <v>40.113117425252788</v>
      </c>
      <c r="FH53" s="22">
        <f t="shared" si="22"/>
        <v>342.90476284898187</v>
      </c>
      <c r="FI53" s="62">
        <f t="shared" si="23"/>
        <v>636.23809618231519</v>
      </c>
      <c r="FJ53" s="62">
        <f ca="1">AVERAGE(OFFSET($FI$3,0,0,'Données projet'!$E$16+1,1))-AVERAGE(OFFSET($H$3,0,0,'Données projet'!$E$16+1,1))</f>
        <v>365.5904647357433</v>
      </c>
      <c r="FK53" s="62">
        <f t="shared" si="48"/>
        <v>256.56280810580841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228</v>
      </c>
      <c r="FX53" s="13">
        <f>VLOOKUP(A53,'Données projet'!$A$243:$I$263,9,0)</f>
        <v>7.6</v>
      </c>
      <c r="FY53" s="13">
        <f t="array" ref="FY53">INDEX(FX:FX,MIN(IF(ISNUMBER(FX53:FX249),ROW(FX53:FX249),"")))</f>
        <v>7.6</v>
      </c>
      <c r="FZ53" s="13">
        <f>IF('Données projet'!$A$244&gt;35,FZ52+FY53-GH52,IF(A53&lt;'Données projet'!$A$244,$FW$205^A53,IF(A53='Données projet'!$A$244,'Données projet'!$B$244,FZ52+FY53-GH52)))</f>
        <v>227.99999999999997</v>
      </c>
      <c r="GA53" s="18">
        <f>FZ53*VLOOKUP('Données projet'!$B$17,Paramètres!$A$1:$I$89,3,0)*VLOOKUP('Données projet'!$B$17,Paramètres!$A$1:$I$89,5,0)</f>
        <v>184.95359999999999</v>
      </c>
      <c r="GB53" s="14">
        <f t="shared" si="49"/>
        <v>46.42252355095799</v>
      </c>
      <c r="GC53" s="22">
        <f t="shared" si="25"/>
        <v>402.98008185125178</v>
      </c>
      <c r="GD53" s="62">
        <f t="shared" si="26"/>
        <v>696.3134151845851</v>
      </c>
      <c r="GE53" s="62">
        <f ca="1">AVERAGE(OFFSET($GD$3,0,0,'Données projet'!$E$17+1,1))-AVERAGE(OFFSET($H$3,0,0,'Données projet'!$E$17+1,1))</f>
        <v>256.19915261735281</v>
      </c>
      <c r="GF53" s="62">
        <f t="shared" si="50"/>
        <v>297.47246687305056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12.535897435897434</v>
      </c>
      <c r="GU53" s="13">
        <f>IF('Données projet'!$A$270&gt;35,GU52+GT53-HC52,IF(A53&lt;'Données projet'!$A$270,$GR$205^A53,IF(A53='Données projet'!$A$270,'Données projet'!$B$270,GU52+GT53-HC52)))</f>
        <v>375.0333333333333</v>
      </c>
      <c r="GV53" s="18">
        <f>GU53*VLOOKUP('Données projet'!$B$18,Paramètres!$A$1:$I$89,3,0)*VLOOKUP('Données projet'!$B$18,Paramètres!$A$1:$I$89,5,0)</f>
        <v>175.51559999999998</v>
      </c>
      <c r="GW53" s="14">
        <f t="shared" si="51"/>
        <v>44.323029579604544</v>
      </c>
      <c r="GX53" s="22">
        <f t="shared" si="28"/>
        <v>382.8856131844779</v>
      </c>
      <c r="GY53" s="62">
        <f t="shared" si="29"/>
        <v>676.21894651781122</v>
      </c>
      <c r="GZ53" s="62">
        <f ca="1">AVERAGE(OFFSET($GY$3,0,0,'Données projet'!$E$18+1,1))-AVERAGE(OFFSET($H$3,0,0,'Données projet'!$E$18+1,1))</f>
        <v>284.704043530756</v>
      </c>
      <c r="HA53" s="62">
        <f t="shared" si="52"/>
        <v>190.4880882944471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428.8489304403459</v>
      </c>
      <c r="T54" s="62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4.8</v>
      </c>
      <c r="AI54" s="14">
        <f>IF('Données projet'!$A$62&gt;35,AI53+AH54-AQ53,IF(A54&lt;'Données projet'!$A$62,$AF$205^A54,IF(A54='Données projet'!$A$62,'Données projet'!$B$62,AI53+AH54-AQ53)))</f>
        <v>178.79999999999995</v>
      </c>
      <c r="AJ54" s="14">
        <f>AI54*VLOOKUP('Données projet'!$B$10,Paramètres!$A$1:$I$89,3,0)*VLOOKUP('Données projet'!$B$10,Paramètres!$A$1:$I$89,5,0)</f>
        <v>156.19967999999997</v>
      </c>
      <c r="AK54" s="14">
        <f t="shared" si="35"/>
        <v>39.984147088814133</v>
      </c>
      <c r="AL54" s="22">
        <f t="shared" si="4"/>
        <v>341.68683217968459</v>
      </c>
      <c r="AM54" s="62">
        <f t="shared" si="5"/>
        <v>635.0201655130179</v>
      </c>
      <c r="AN54" s="62">
        <f ca="1">AVERAGE(OFFSET($AM$3,0,0,'Données projet'!$E$10+1,1))-AVERAGE(OFFSET($H$3,0,0,'Données projet'!$E$10+1,1))</f>
        <v>274.66236526869056</v>
      </c>
      <c r="AO54" s="62">
        <f t="shared" si="36"/>
        <v>256.90876395053073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2">
        <f t="shared" si="8"/>
        <v>658.72976619125518</v>
      </c>
      <c r="BI54" s="62">
        <f ca="1">AVERAGE(OFFSET($BH$3,0,0,'Données projet'!$E$11+1,1))-AVERAGE(OFFSET($H$3,0,0,'Données projet'!$E$11+1,1))</f>
        <v>475.47920969424894</v>
      </c>
      <c r="BJ54" s="62">
        <f t="shared" si="38"/>
        <v>271.73544012419364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5.6410256410256405</v>
      </c>
      <c r="BY54" s="13">
        <f>IF('Données projet'!$A$114&gt;35,BY53+BX54-CG53,IF(A54&lt;'Données projet'!$A$114,$BV$205^A54,IF(A54='Données projet'!$A$114,'Données projet'!$B$114,BY53+BX54-CG53)))</f>
        <v>192.8205128205127</v>
      </c>
      <c r="BZ54" s="14">
        <f>BY54*VLOOKUP('Données projet'!$B$12,Paramètres!$A$1:$I$89,3,0)*VLOOKUP('Données projet'!$B$12,Paramètres!$A$1:$I$89,5,0)</f>
        <v>201.53599999999992</v>
      </c>
      <c r="CA54" s="14">
        <f t="shared" si="39"/>
        <v>50.081583580728967</v>
      </c>
      <c r="CB54" s="22">
        <f t="shared" si="10"/>
        <v>438.23395806976941</v>
      </c>
      <c r="CC54" s="62">
        <f t="shared" si="11"/>
        <v>731.56729140310267</v>
      </c>
      <c r="CD54" s="62">
        <f ca="1">AVERAGE(OFFSET($CC$3,0,0,'Données projet'!$E$12+1,1))-AVERAGE(OFFSET($H$3,0,0,'Données projet'!$E$12+1,1))</f>
        <v>490.26236605482961</v>
      </c>
      <c r="CE54" s="62">
        <f t="shared" si="40"/>
        <v>283.40133947156238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5.2</v>
      </c>
      <c r="CT54" s="13">
        <f>IF('Données projet'!$A$140&gt;35,CT53+CS54-DB53,IF(A54&lt;'Données projet'!$A$140,$CQ$205^A54,IF(A54='Données projet'!$A$140,'Données projet'!$B$140,CT53+CS54-DB53)))</f>
        <v>178.2</v>
      </c>
      <c r="CU54" s="18">
        <f>CT54*VLOOKUP('Données projet'!$B$13,Paramètres!$A$1:$I$89,3,0)*VLOOKUP('Données projet'!$B$13,Paramètres!$A$1:$I$89,5,0)</f>
        <v>155.67552000000001</v>
      </c>
      <c r="CV54" s="14">
        <f t="shared" si="41"/>
        <v>39.865566884055099</v>
      </c>
      <c r="CW54" s="22">
        <f t="shared" si="13"/>
        <v>340.56739298972934</v>
      </c>
      <c r="CX54" s="62">
        <f t="shared" si="14"/>
        <v>633.9007263230626</v>
      </c>
      <c r="CY54" s="62">
        <f ca="1">AVERAGE(OFFSET($CX$3,0,0,'Données projet'!$E$13+1,1))-AVERAGE(OFFSET($H$3,0,0,'Données projet'!$E$13+1,1))</f>
        <v>315.3516976788701</v>
      </c>
      <c r="CZ54" s="62">
        <f t="shared" si="42"/>
        <v>266.32508105927997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177.60599999999999</v>
      </c>
      <c r="EL54" s="14">
        <f t="shared" si="45"/>
        <v>44.789150937858665</v>
      </c>
      <c r="EM54" s="22">
        <f t="shared" si="19"/>
        <v>387.33822121677048</v>
      </c>
      <c r="EN54" s="62">
        <f t="shared" si="20"/>
        <v>680.67155455010379</v>
      </c>
      <c r="EO54" s="62">
        <f ca="1">AVERAGE(OFFSET($EN$3,0,0,'Données projet'!$E$15+1,1))-AVERAGE(OFFSET($H$3,0,0,'Données projet'!$E$15+1,1))</f>
        <v>502.07782026233912</v>
      </c>
      <c r="EP54" s="62">
        <f t="shared" si="46"/>
        <v>285.83623046025156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5.2564102564102537</v>
      </c>
      <c r="FE54" s="13">
        <f>IF('Données projet'!$A$218&gt;35,FE53+FD54-FM53,IF(A54&lt;'Données projet'!$A$218,$FB$205^A54,IF(A54='Données projet'!$A$218,'Données projet'!$B$218,FE53+FD54-FM53)))</f>
        <v>169.99999999999994</v>
      </c>
      <c r="FF54" s="18">
        <f>FE54*VLOOKUP('Données projet'!$B$16,Paramètres!$A$1:$I$89,3,0)*VLOOKUP('Données projet'!$B$16,Paramètres!$A$1:$I$89,5,0)</f>
        <v>161.77199999999993</v>
      </c>
      <c r="FG54" s="14">
        <f t="shared" si="47"/>
        <v>41.241938389059818</v>
      </c>
      <c r="FH54" s="22">
        <f t="shared" si="22"/>
        <v>353.5826093609457</v>
      </c>
      <c r="FI54" s="62">
        <f t="shared" si="23"/>
        <v>646.91594269427901</v>
      </c>
      <c r="FJ54" s="62">
        <f ca="1">AVERAGE(OFFSET($FI$3,0,0,'Données projet'!$E$16+1,1))-AVERAGE(OFFSET($H$3,0,0,'Données projet'!$E$16+1,1))</f>
        <v>365.5904647357433</v>
      </c>
      <c r="FK54" s="62">
        <f t="shared" si="48"/>
        <v>256.56280810580841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7.6</v>
      </c>
      <c r="FZ54" s="13">
        <f>IF('Données projet'!$A$244&gt;35,FZ53+FY54-GH53,IF(A54&lt;'Données projet'!$A$244,$FW$205^A54,IF(A54='Données projet'!$A$244,'Données projet'!$B$244,FZ53+FY54-GH53)))</f>
        <v>235.59999999999997</v>
      </c>
      <c r="GA54" s="18">
        <f>FZ54*VLOOKUP('Données projet'!$B$17,Paramètres!$A$1:$I$89,3,0)*VLOOKUP('Données projet'!$B$17,Paramètres!$A$1:$I$89,5,0)</f>
        <v>191.11872</v>
      </c>
      <c r="GB54" s="14">
        <f t="shared" si="49"/>
        <v>47.787201388032145</v>
      </c>
      <c r="GC54" s="22">
        <f t="shared" si="25"/>
        <v>416.09447975082259</v>
      </c>
      <c r="GD54" s="62">
        <f t="shared" si="26"/>
        <v>709.4278130841559</v>
      </c>
      <c r="GE54" s="62">
        <f ca="1">AVERAGE(OFFSET($GD$3,0,0,'Données projet'!$E$17+1,1))-AVERAGE(OFFSET($H$3,0,0,'Données projet'!$E$17+1,1))</f>
        <v>256.19915261735281</v>
      </c>
      <c r="GF54" s="62">
        <f t="shared" si="50"/>
        <v>297.47246687305056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>
        <f>VLOOKUP(A54,'Données projet'!$A$269:$I$289,2,0)</f>
        <v>387.56923076923073</v>
      </c>
      <c r="GS54" s="13">
        <f>VLOOKUP(A54,'Données projet'!$A$269:$I$289,9,0)</f>
        <v>12.535897435897434</v>
      </c>
      <c r="GT54" s="13">
        <f t="array" ref="GT54">INDEX(GS:GS,MIN(IF(ISNUMBER(GS54:GS250),ROW(GS54:GS250),"")))</f>
        <v>12.535897435897434</v>
      </c>
      <c r="GU54" s="13">
        <f>IF('Données projet'!$A$270&gt;35,GU53+GT54-HC53,IF(A54&lt;'Données projet'!$A$270,$GR$205^A54,IF(A54='Données projet'!$A$270,'Données projet'!$B$270,GU53+GT54-HC53)))</f>
        <v>387.56923076923073</v>
      </c>
      <c r="GV54" s="18">
        <f>GU54*VLOOKUP('Données projet'!$B$18,Paramètres!$A$1:$I$89,3,0)*VLOOKUP('Données projet'!$B$18,Paramètres!$A$1:$I$89,5,0)</f>
        <v>181.38239999999996</v>
      </c>
      <c r="GW54" s="14">
        <f t="shared" si="51"/>
        <v>45.629607617375228</v>
      </c>
      <c r="GX54" s="22">
        <f t="shared" si="28"/>
        <v>395.37924660026175</v>
      </c>
      <c r="GY54" s="62">
        <f t="shared" si="29"/>
        <v>688.71257993359507</v>
      </c>
      <c r="GZ54" s="62">
        <f ca="1">AVERAGE(OFFSET($GY$3,0,0,'Données projet'!$E$18+1,1))-AVERAGE(OFFSET($H$3,0,0,'Données projet'!$E$18+1,1))</f>
        <v>284.704043530756</v>
      </c>
      <c r="HA54" s="62">
        <f t="shared" si="52"/>
        <v>190.4880882944471</v>
      </c>
      <c r="HB54" s="16">
        <f>IF(ISNA(VLOOKUP(A54,'Données projet'!$A$269:$I$289,3,0)),0,VLOOKUP(A54,'Données projet'!$A$269:$I$289,3,0))</f>
        <v>1</v>
      </c>
      <c r="HC54" s="16">
        <f>IF(ISNA(VLOOKUP(A54,'Données projet'!$A$269:$I$289,4,0)),0,VLOOKUP(A54,'Données projet'!$A$269:$I$289,4,0))</f>
        <v>170.93076923076924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428.8489304403459</v>
      </c>
      <c r="T55" s="62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4.8</v>
      </c>
      <c r="AI55" s="14">
        <f>IF('Données projet'!$A$62&gt;35,AI54+AH55-AQ54,IF(A55&lt;'Données projet'!$A$62,$AF$205^A55,IF(A55='Données projet'!$A$62,'Données projet'!$B$62,AI54+AH55-AQ54)))</f>
        <v>183.59999999999997</v>
      </c>
      <c r="AJ55" s="14">
        <f>AI55*VLOOKUP('Données projet'!$B$10,Paramètres!$A$1:$I$89,3,0)*VLOOKUP('Données projet'!$B$10,Paramètres!$A$1:$I$89,5,0)</f>
        <v>160.39295999999999</v>
      </c>
      <c r="AK55" s="14">
        <f t="shared" si="35"/>
        <v>40.931135973980041</v>
      </c>
      <c r="AL55" s="22">
        <f t="shared" si="4"/>
        <v>350.63946715468188</v>
      </c>
      <c r="AM55" s="62">
        <f t="shared" si="5"/>
        <v>643.9728004880152</v>
      </c>
      <c r="AN55" s="62">
        <f ca="1">AVERAGE(OFFSET($AM$3,0,0,'Données projet'!$E$10+1,1))-AVERAGE(OFFSET($H$3,0,0,'Données projet'!$E$10+1,1))</f>
        <v>274.66236526869056</v>
      </c>
      <c r="AO55" s="62">
        <f t="shared" si="36"/>
        <v>256.90876395053073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2">
        <f t="shared" si="8"/>
        <v>676.01954977643072</v>
      </c>
      <c r="BI55" s="62">
        <f ca="1">AVERAGE(OFFSET($BH$3,0,0,'Données projet'!$E$11+1,1))-AVERAGE(OFFSET($H$3,0,0,'Données projet'!$E$11+1,1))</f>
        <v>475.47920969424894</v>
      </c>
      <c r="BJ55" s="62">
        <f t="shared" si="38"/>
        <v>271.73544012419364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5.6410256410256405</v>
      </c>
      <c r="BY55" s="13">
        <f>IF('Données projet'!$A$114&gt;35,BY54+BX55-CG54,IF(A55&lt;'Données projet'!$A$114,$BV$205^A55,IF(A55='Données projet'!$A$114,'Données projet'!$B$114,BY54+BX55-CG54)))</f>
        <v>198.46153846153834</v>
      </c>
      <c r="BZ55" s="14">
        <f>BY55*VLOOKUP('Données projet'!$B$12,Paramètres!$A$1:$I$89,3,0)*VLOOKUP('Données projet'!$B$12,Paramètres!$A$1:$I$89,5,0)</f>
        <v>207.4319999999999</v>
      </c>
      <c r="CA55" s="14">
        <f t="shared" si="39"/>
        <v>51.374011870883422</v>
      </c>
      <c r="CB55" s="22">
        <f t="shared" si="10"/>
        <v>450.75380400845506</v>
      </c>
      <c r="CC55" s="62">
        <f t="shared" si="11"/>
        <v>744.08713734178832</v>
      </c>
      <c r="CD55" s="62">
        <f ca="1">AVERAGE(OFFSET($CC$3,0,0,'Données projet'!$E$12+1,1))-AVERAGE(OFFSET($H$3,0,0,'Données projet'!$E$12+1,1))</f>
        <v>490.26236605482961</v>
      </c>
      <c r="CE55" s="62">
        <f t="shared" si="40"/>
        <v>283.40133947156238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5.2</v>
      </c>
      <c r="CT55" s="13">
        <f>IF('Données projet'!$A$140&gt;35,CT54+CS55-DB54,IF(A55&lt;'Données projet'!$A$140,$CQ$205^A55,IF(A55='Données projet'!$A$140,'Données projet'!$B$140,CT54+CS55-DB54)))</f>
        <v>183.39999999999998</v>
      </c>
      <c r="CU55" s="18">
        <f>CT55*VLOOKUP('Données projet'!$B$13,Paramètres!$A$1:$I$89,3,0)*VLOOKUP('Données projet'!$B$13,Paramètres!$A$1:$I$89,5,0)</f>
        <v>160.21824000000001</v>
      </c>
      <c r="CV55" s="14">
        <f t="shared" si="41"/>
        <v>40.891736142170217</v>
      </c>
      <c r="CW55" s="22">
        <f t="shared" si="13"/>
        <v>350.26654178094645</v>
      </c>
      <c r="CX55" s="62">
        <f t="shared" si="14"/>
        <v>643.59987511427971</v>
      </c>
      <c r="CY55" s="62">
        <f ca="1">AVERAGE(OFFSET($CX$3,0,0,'Données projet'!$E$13+1,1))-AVERAGE(OFFSET($H$3,0,0,'Données projet'!$E$13+1,1))</f>
        <v>315.3516976788701</v>
      </c>
      <c r="CZ55" s="62">
        <f t="shared" si="42"/>
        <v>266.32508105927997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186.21719999999999</v>
      </c>
      <c r="EL55" s="14">
        <f t="shared" si="45"/>
        <v>46.702653149673253</v>
      </c>
      <c r="EM55" s="22">
        <f t="shared" si="19"/>
        <v>405.66874423568089</v>
      </c>
      <c r="EN55" s="62">
        <f t="shared" si="20"/>
        <v>699.0020775690142</v>
      </c>
      <c r="EO55" s="62">
        <f ca="1">AVERAGE(OFFSET($EN$3,0,0,'Données projet'!$E$15+1,1))-AVERAGE(OFFSET($H$3,0,0,'Données projet'!$E$15+1,1))</f>
        <v>502.07782026233912</v>
      </c>
      <c r="EP55" s="62">
        <f t="shared" si="46"/>
        <v>285.83623046025156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5.2564102564102537</v>
      </c>
      <c r="FE55" s="13">
        <f>IF('Données projet'!$A$218&gt;35,FE54+FD55-FM54,IF(A55&lt;'Données projet'!$A$218,$FB$205^A55,IF(A55='Données projet'!$A$218,'Données projet'!$B$218,FE54+FD55-FM54)))</f>
        <v>175.25641025641019</v>
      </c>
      <c r="FF55" s="18">
        <f>FE55*VLOOKUP('Données projet'!$B$16,Paramètres!$A$1:$I$89,3,0)*VLOOKUP('Données projet'!$B$16,Paramètres!$A$1:$I$89,5,0)</f>
        <v>166.77399999999994</v>
      </c>
      <c r="FG55" s="14">
        <f t="shared" si="47"/>
        <v>42.366703238422566</v>
      </c>
      <c r="FH55" s="22">
        <f t="shared" si="22"/>
        <v>364.25339147358585</v>
      </c>
      <c r="FI55" s="62">
        <f t="shared" si="23"/>
        <v>657.58672480691916</v>
      </c>
      <c r="FJ55" s="62">
        <f ca="1">AVERAGE(OFFSET($FI$3,0,0,'Données projet'!$E$16+1,1))-AVERAGE(OFFSET($H$3,0,0,'Données projet'!$E$16+1,1))</f>
        <v>365.5904647357433</v>
      </c>
      <c r="FK55" s="62">
        <f t="shared" si="48"/>
        <v>256.56280810580841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7.6</v>
      </c>
      <c r="FZ55" s="13">
        <f>IF('Données projet'!$A$244&gt;35,FZ54+FY55-GH54,IF(A55&lt;'Données projet'!$A$244,$FW$205^A55,IF(A55='Données projet'!$A$244,'Données projet'!$B$244,FZ54+FY55-GH54)))</f>
        <v>243.19999999999996</v>
      </c>
      <c r="GA55" s="18">
        <f>FZ55*VLOOKUP('Données projet'!$B$17,Paramètres!$A$1:$I$89,3,0)*VLOOKUP('Données projet'!$B$17,Paramètres!$A$1:$I$89,5,0)</f>
        <v>197.28383999999997</v>
      </c>
      <c r="GB55" s="14">
        <f t="shared" si="49"/>
        <v>49.146763750789503</v>
      </c>
      <c r="GC55" s="22">
        <f t="shared" si="25"/>
        <v>429.19996819929173</v>
      </c>
      <c r="GD55" s="62">
        <f t="shared" si="26"/>
        <v>722.53330153262505</v>
      </c>
      <c r="GE55" s="62">
        <f ca="1">AVERAGE(OFFSET($GD$3,0,0,'Données projet'!$E$17+1,1))-AVERAGE(OFFSET($H$3,0,0,'Données projet'!$E$17+1,1))</f>
        <v>256.19915261735281</v>
      </c>
      <c r="GF55" s="62">
        <f t="shared" si="50"/>
        <v>297.47246687305056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11.418461538461548</v>
      </c>
      <c r="GU55" s="13">
        <f>IF('Données projet'!$A$270&gt;35,GU54+GT55-HC54,IF(A55&lt;'Données projet'!$A$270,$GR$205^A55,IF(A55='Données projet'!$A$270,'Données projet'!$B$270,GU54+GT55-HC54)))</f>
        <v>228.05692307692303</v>
      </c>
      <c r="GV55" s="18">
        <f>GU55*VLOOKUP('Données projet'!$B$18,Paramètres!$A$1:$I$89,3,0)*VLOOKUP('Données projet'!$B$18,Paramètres!$A$1:$I$89,5,0)</f>
        <v>106.73063999999998</v>
      </c>
      <c r="GW55" s="14">
        <f t="shared" si="51"/>
        <v>28.559350449967113</v>
      </c>
      <c r="GX55" s="22">
        <f t="shared" si="28"/>
        <v>235.63006670035932</v>
      </c>
      <c r="GY55" s="62">
        <f t="shared" si="29"/>
        <v>528.96340003369266</v>
      </c>
      <c r="GZ55" s="62">
        <f ca="1">AVERAGE(OFFSET($GY$3,0,0,'Données projet'!$E$18+1,1))-AVERAGE(OFFSET($H$3,0,0,'Données projet'!$E$18+1,1))</f>
        <v>284.704043530756</v>
      </c>
      <c r="HA55" s="62">
        <f t="shared" si="52"/>
        <v>190.4880882944471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428.8489304403459</v>
      </c>
      <c r="T56" s="62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4.8</v>
      </c>
      <c r="AI56" s="14">
        <f>IF('Données projet'!$A$62&gt;35,AI55+AH56-AQ55,IF(A56&lt;'Données projet'!$A$62,$AF$205^A56,IF(A56='Données projet'!$A$62,'Données projet'!$B$62,AI55+AH56-AQ55)))</f>
        <v>188.39999999999998</v>
      </c>
      <c r="AJ56" s="14">
        <f>AI56*VLOOKUP('Données projet'!$B$10,Paramètres!$A$1:$I$89,3,0)*VLOOKUP('Données projet'!$B$10,Paramètres!$A$1:$I$89,5,0)</f>
        <v>164.58624</v>
      </c>
      <c r="AK56" s="14">
        <f t="shared" si="35"/>
        <v>41.875247075991886</v>
      </c>
      <c r="AL56" s="22">
        <f t="shared" si="4"/>
        <v>359.58708999068585</v>
      </c>
      <c r="AM56" s="62">
        <f t="shared" si="5"/>
        <v>652.92042332401911</v>
      </c>
      <c r="AN56" s="62">
        <f ca="1">AVERAGE(OFFSET($AM$3,0,0,'Données projet'!$E$10+1,1))-AVERAGE(OFFSET($H$3,0,0,'Données projet'!$E$10+1,1))</f>
        <v>274.66236526869056</v>
      </c>
      <c r="AO56" s="62">
        <f t="shared" si="36"/>
        <v>256.90876395053073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2">
        <f t="shared" si="8"/>
        <v>693.29235603832899</v>
      </c>
      <c r="BI56" s="62">
        <f ca="1">AVERAGE(OFFSET($BH$3,0,0,'Données projet'!$E$11+1,1))-AVERAGE(OFFSET($H$3,0,0,'Données projet'!$E$11+1,1))</f>
        <v>475.47920969424894</v>
      </c>
      <c r="BJ56" s="62">
        <f t="shared" si="38"/>
        <v>271.73544012419364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5.6410256410256405</v>
      </c>
      <c r="BY56" s="13">
        <f>IF('Données projet'!$A$114&gt;35,BY55+BX56-CG55,IF(A56&lt;'Données projet'!$A$114,$BV$205^A56,IF(A56='Données projet'!$A$114,'Données projet'!$B$114,BY55+BX56-CG55)))</f>
        <v>204.10256410256397</v>
      </c>
      <c r="BZ56" s="14">
        <f>BY56*VLOOKUP('Données projet'!$B$12,Paramètres!$A$1:$I$89,3,0)*VLOOKUP('Données projet'!$B$12,Paramètres!$A$1:$I$89,5,0)</f>
        <v>213.32799999999989</v>
      </c>
      <c r="CA56" s="14">
        <f t="shared" si="39"/>
        <v>52.662170585387926</v>
      </c>
      <c r="CB56" s="22">
        <f t="shared" si="10"/>
        <v>463.2662137695504</v>
      </c>
      <c r="CC56" s="62">
        <f t="shared" si="11"/>
        <v>756.59954710288366</v>
      </c>
      <c r="CD56" s="62">
        <f ca="1">AVERAGE(OFFSET($CC$3,0,0,'Données projet'!$E$12+1,1))-AVERAGE(OFFSET($H$3,0,0,'Données projet'!$E$12+1,1))</f>
        <v>490.26236605482961</v>
      </c>
      <c r="CE56" s="62">
        <f t="shared" si="40"/>
        <v>283.40133947156238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5.2</v>
      </c>
      <c r="CT56" s="13">
        <f>IF('Données projet'!$A$140&gt;35,CT55+CS56-DB55,IF(A56&lt;'Données projet'!$A$140,$CQ$205^A56,IF(A56='Données projet'!$A$140,'Données projet'!$B$140,CT55+CS56-DB55)))</f>
        <v>188.59999999999997</v>
      </c>
      <c r="CU56" s="18">
        <f>CT56*VLOOKUP('Données projet'!$B$13,Paramètres!$A$1:$I$89,3,0)*VLOOKUP('Données projet'!$B$13,Paramètres!$A$1:$I$89,5,0)</f>
        <v>164.76095999999998</v>
      </c>
      <c r="CV56" s="14">
        <f t="shared" si="41"/>
        <v>41.91452380971991</v>
      </c>
      <c r="CW56" s="22">
        <f t="shared" si="13"/>
        <v>359.9598009685954</v>
      </c>
      <c r="CX56" s="62">
        <f t="shared" si="14"/>
        <v>653.29313430192872</v>
      </c>
      <c r="CY56" s="62">
        <f ca="1">AVERAGE(OFFSET($CX$3,0,0,'Données projet'!$E$13+1,1))-AVERAGE(OFFSET($H$3,0,0,'Données projet'!$E$13+1,1))</f>
        <v>315.3516976788701</v>
      </c>
      <c r="CZ56" s="62">
        <f t="shared" si="42"/>
        <v>266.32508105927997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194.82839999999999</v>
      </c>
      <c r="EL56" s="14">
        <f t="shared" si="45"/>
        <v>48.605879434898533</v>
      </c>
      <c r="EM56" s="22">
        <f t="shared" si="19"/>
        <v>423.98137001578152</v>
      </c>
      <c r="EN56" s="62">
        <f t="shared" si="20"/>
        <v>717.31470334911478</v>
      </c>
      <c r="EO56" s="62">
        <f ca="1">AVERAGE(OFFSET($EN$3,0,0,'Données projet'!$E$15+1,1))-AVERAGE(OFFSET($H$3,0,0,'Données projet'!$E$15+1,1))</f>
        <v>502.07782026233912</v>
      </c>
      <c r="EP56" s="62">
        <f t="shared" si="46"/>
        <v>285.83623046025156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5.2564102564102537</v>
      </c>
      <c r="FE56" s="13">
        <f>IF('Données projet'!$A$218&gt;35,FE55+FD56-FM55,IF(A56&lt;'Données projet'!$A$218,$FB$205^A56,IF(A56='Données projet'!$A$218,'Données projet'!$B$218,FE55+FD56-FM55)))</f>
        <v>180.51282051282044</v>
      </c>
      <c r="FF56" s="18">
        <f>FE56*VLOOKUP('Données projet'!$B$16,Paramètres!$A$1:$I$89,3,0)*VLOOKUP('Données projet'!$B$16,Paramètres!$A$1:$I$89,5,0)</f>
        <v>171.77599999999993</v>
      </c>
      <c r="FG56" s="14">
        <f t="shared" si="47"/>
        <v>43.48754759203468</v>
      </c>
      <c r="FH56" s="22">
        <f t="shared" si="22"/>
        <v>374.91734538946025</v>
      </c>
      <c r="FI56" s="62">
        <f t="shared" si="23"/>
        <v>668.25067872279351</v>
      </c>
      <c r="FJ56" s="62">
        <f ca="1">AVERAGE(OFFSET($FI$3,0,0,'Données projet'!$E$16+1,1))-AVERAGE(OFFSET($H$3,0,0,'Données projet'!$E$16+1,1))</f>
        <v>365.5904647357433</v>
      </c>
      <c r="FK56" s="62">
        <f t="shared" si="48"/>
        <v>256.56280810580841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7.6</v>
      </c>
      <c r="FZ56" s="13">
        <f>IF('Données projet'!$A$244&gt;35,FZ55+FY56-GH55,IF(A56&lt;'Données projet'!$A$244,$FW$205^A56,IF(A56='Données projet'!$A$244,'Données projet'!$B$244,FZ55+FY56-GH55)))</f>
        <v>250.79999999999995</v>
      </c>
      <c r="GA56" s="18">
        <f>FZ56*VLOOKUP('Données projet'!$B$17,Paramètres!$A$1:$I$89,3,0)*VLOOKUP('Données projet'!$B$17,Paramètres!$A$1:$I$89,5,0)</f>
        <v>203.44895999999997</v>
      </c>
      <c r="GB56" s="14">
        <f t="shared" si="49"/>
        <v>50.501388840000267</v>
      </c>
      <c r="GC56" s="22">
        <f t="shared" si="25"/>
        <v>442.2968575630004</v>
      </c>
      <c r="GD56" s="62">
        <f t="shared" si="26"/>
        <v>735.63019089633372</v>
      </c>
      <c r="GE56" s="62">
        <f ca="1">AVERAGE(OFFSET($GD$3,0,0,'Données projet'!$E$17+1,1))-AVERAGE(OFFSET($H$3,0,0,'Données projet'!$E$17+1,1))</f>
        <v>256.19915261735281</v>
      </c>
      <c r="GF56" s="62">
        <f t="shared" si="50"/>
        <v>297.47246687305056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11.418461538461548</v>
      </c>
      <c r="GU56" s="13">
        <f>IF('Données projet'!$A$270&gt;35,GU55+GT56-HC55,IF(A56&lt;'Données projet'!$A$270,$GR$205^A56,IF(A56='Données projet'!$A$270,'Données projet'!$B$270,GU55+GT56-HC55)))</f>
        <v>239.47538461538457</v>
      </c>
      <c r="GV56" s="18">
        <f>GU56*VLOOKUP('Données projet'!$B$18,Paramètres!$A$1:$I$89,3,0)*VLOOKUP('Données projet'!$B$18,Paramètres!$A$1:$I$89,5,0)</f>
        <v>112.07447999999998</v>
      </c>
      <c r="GW56" s="14">
        <f t="shared" si="51"/>
        <v>29.819215507289638</v>
      </c>
      <c r="GX56" s="22">
        <f t="shared" si="28"/>
        <v>247.13151967519605</v>
      </c>
      <c r="GY56" s="62">
        <f t="shared" si="29"/>
        <v>540.46485300852942</v>
      </c>
      <c r="GZ56" s="62">
        <f ca="1">AVERAGE(OFFSET($GY$3,0,0,'Données projet'!$E$18+1,1))-AVERAGE(OFFSET($H$3,0,0,'Données projet'!$E$18+1,1))</f>
        <v>284.704043530756</v>
      </c>
      <c r="HA56" s="62">
        <f t="shared" si="52"/>
        <v>190.4880882944471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428.8489304403459</v>
      </c>
      <c r="T57" s="62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4.8</v>
      </c>
      <c r="AI57" s="14">
        <f>IF('Données projet'!$A$62&gt;35,AI56+AH57-AQ56,IF(A57&lt;'Données projet'!$A$62,$AF$205^A57,IF(A57='Données projet'!$A$62,'Données projet'!$B$62,AI56+AH57-AQ56)))</f>
        <v>193.2</v>
      </c>
      <c r="AJ57" s="14">
        <f>AI57*VLOOKUP('Données projet'!$B$10,Paramètres!$A$1:$I$89,3,0)*VLOOKUP('Données projet'!$B$10,Paramètres!$A$1:$I$89,5,0)</f>
        <v>168.77952000000002</v>
      </c>
      <c r="AK57" s="14">
        <f t="shared" si="35"/>
        <v>42.816562145177031</v>
      </c>
      <c r="AL57" s="22">
        <f t="shared" si="4"/>
        <v>368.52984306951663</v>
      </c>
      <c r="AM57" s="62">
        <f t="shared" si="5"/>
        <v>661.86317640284994</v>
      </c>
      <c r="AN57" s="62">
        <f ca="1">AVERAGE(OFFSET($AM$3,0,0,'Données projet'!$E$10+1,1))-AVERAGE(OFFSET($H$3,0,0,'Données projet'!$E$10+1,1))</f>
        <v>274.66236526869056</v>
      </c>
      <c r="AO57" s="62">
        <f t="shared" si="36"/>
        <v>256.90876395053073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2">
        <f t="shared" si="8"/>
        <v>710.54902110468288</v>
      </c>
      <c r="BI57" s="62">
        <f ca="1">AVERAGE(OFFSET($BH$3,0,0,'Données projet'!$E$11+1,1))-AVERAGE(OFFSET($H$3,0,0,'Données projet'!$E$11+1,1))</f>
        <v>475.47920969424894</v>
      </c>
      <c r="BJ57" s="62">
        <f t="shared" si="38"/>
        <v>271.73544012419364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5.6410256410256405</v>
      </c>
      <c r="BY57" s="13">
        <f>IF('Données projet'!$A$114&gt;35,BY56+BX57-CG56,IF(A57&lt;'Données projet'!$A$114,$BV$205^A57,IF(A57='Données projet'!$A$114,'Données projet'!$B$114,BY56+BX57-CG56)))</f>
        <v>209.74358974358961</v>
      </c>
      <c r="BZ57" s="14">
        <f>BY57*VLOOKUP('Données projet'!$B$12,Paramètres!$A$1:$I$89,3,0)*VLOOKUP('Données projet'!$B$12,Paramètres!$A$1:$I$89,5,0)</f>
        <v>219.2239999999999</v>
      </c>
      <c r="CA57" s="14">
        <f t="shared" si="39"/>
        <v>53.946191285425314</v>
      </c>
      <c r="CB57" s="22">
        <f t="shared" si="10"/>
        <v>475.77141648878222</v>
      </c>
      <c r="CC57" s="62">
        <f t="shared" si="11"/>
        <v>769.10474982211554</v>
      </c>
      <c r="CD57" s="62">
        <f ca="1">AVERAGE(OFFSET($CC$3,0,0,'Données projet'!$E$12+1,1))-AVERAGE(OFFSET($H$3,0,0,'Données projet'!$E$12+1,1))</f>
        <v>490.26236605482961</v>
      </c>
      <c r="CE57" s="62">
        <f t="shared" si="40"/>
        <v>283.40133947156238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5.2</v>
      </c>
      <c r="CT57" s="13">
        <f>IF('Données projet'!$A$140&gt;35,CT56+CS57-DB56,IF(A57&lt;'Données projet'!$A$140,$CQ$205^A57,IF(A57='Données projet'!$A$140,'Données projet'!$B$140,CT56+CS57-DB56)))</f>
        <v>193.79999999999995</v>
      </c>
      <c r="CU57" s="18">
        <f>CT57*VLOOKUP('Données projet'!$B$13,Paramètres!$A$1:$I$89,3,0)*VLOOKUP('Données projet'!$B$13,Paramètres!$A$1:$I$89,5,0)</f>
        <v>169.30367999999999</v>
      </c>
      <c r="CV57" s="14">
        <f t="shared" si="41"/>
        <v>42.934033834973214</v>
      </c>
      <c r="CW57" s="22">
        <f t="shared" si="13"/>
        <v>369.64735159591163</v>
      </c>
      <c r="CX57" s="62">
        <f t="shared" si="14"/>
        <v>662.98068492924494</v>
      </c>
      <c r="CY57" s="62">
        <f ca="1">AVERAGE(OFFSET($CX$3,0,0,'Données projet'!$E$13+1,1))-AVERAGE(OFFSET($H$3,0,0,'Données projet'!$E$13+1,1))</f>
        <v>315.3516976788701</v>
      </c>
      <c r="CZ57" s="62">
        <f t="shared" si="42"/>
        <v>266.32508105927997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203.43960000000001</v>
      </c>
      <c r="EL57" s="14">
        <f t="shared" si="45"/>
        <v>50.499335879627459</v>
      </c>
      <c r="EM57" s="22">
        <f t="shared" si="19"/>
        <v>442.27697999035109</v>
      </c>
      <c r="EN57" s="62">
        <f t="shared" si="20"/>
        <v>735.61031332368441</v>
      </c>
      <c r="EO57" s="62">
        <f ca="1">AVERAGE(OFFSET($EN$3,0,0,'Données projet'!$E$15+1,1))-AVERAGE(OFFSET($H$3,0,0,'Données projet'!$E$15+1,1))</f>
        <v>502.07782026233912</v>
      </c>
      <c r="EP57" s="62">
        <f t="shared" si="46"/>
        <v>285.83623046025156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5.2564102564102537</v>
      </c>
      <c r="FE57" s="13">
        <f>IF('Données projet'!$A$218&gt;35,FE56+FD57-FM56,IF(A57&lt;'Données projet'!$A$218,$FB$205^A57,IF(A57='Données projet'!$A$218,'Données projet'!$B$218,FE56+FD57-FM56)))</f>
        <v>185.76923076923069</v>
      </c>
      <c r="FF57" s="18">
        <f>FE57*VLOOKUP('Données projet'!$B$16,Paramètres!$A$1:$I$89,3,0)*VLOOKUP('Données projet'!$B$16,Paramètres!$A$1:$I$89,5,0)</f>
        <v>176.77799999999991</v>
      </c>
      <c r="FG57" s="14">
        <f t="shared" si="47"/>
        <v>44.60459872124121</v>
      </c>
      <c r="FH57" s="22">
        <f t="shared" si="22"/>
        <v>385.57469277282826</v>
      </c>
      <c r="FI57" s="62">
        <f t="shared" si="23"/>
        <v>678.90802610616151</v>
      </c>
      <c r="FJ57" s="62">
        <f ca="1">AVERAGE(OFFSET($FI$3,0,0,'Données projet'!$E$16+1,1))-AVERAGE(OFFSET($H$3,0,0,'Données projet'!$E$16+1,1))</f>
        <v>365.5904647357433</v>
      </c>
      <c r="FK57" s="62">
        <f t="shared" si="48"/>
        <v>256.56280810580841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7.6</v>
      </c>
      <c r="FZ57" s="13">
        <f>IF('Données projet'!$A$244&gt;35,FZ56+FY57-GH56,IF(A57&lt;'Données projet'!$A$244,$FW$205^A57,IF(A57='Données projet'!$A$244,'Données projet'!$B$244,FZ56+FY57-GH56)))</f>
        <v>258.39999999999998</v>
      </c>
      <c r="GA57" s="18">
        <f>FZ57*VLOOKUP('Données projet'!$B$17,Paramètres!$A$1:$I$89,3,0)*VLOOKUP('Données projet'!$B$17,Paramètres!$A$1:$I$89,5,0)</f>
        <v>209.61408</v>
      </c>
      <c r="GB57" s="14">
        <f t="shared" si="49"/>
        <v>51.851243442662593</v>
      </c>
      <c r="GC57" s="22">
        <f t="shared" si="25"/>
        <v>455.38543832930395</v>
      </c>
      <c r="GD57" s="62">
        <f t="shared" si="26"/>
        <v>748.71877166263721</v>
      </c>
      <c r="GE57" s="62">
        <f ca="1">AVERAGE(OFFSET($GD$3,0,0,'Données projet'!$E$17+1,1))-AVERAGE(OFFSET($H$3,0,0,'Données projet'!$E$17+1,1))</f>
        <v>256.19915261735281</v>
      </c>
      <c r="GF57" s="62">
        <f t="shared" si="50"/>
        <v>297.47246687305056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11.418461538461548</v>
      </c>
      <c r="GU57" s="13">
        <f>IF('Données projet'!$A$270&gt;35,GU56+GT57-HC56,IF(A57&lt;'Données projet'!$A$270,$GR$205^A57,IF(A57='Données projet'!$A$270,'Données projet'!$B$270,GU56+GT57-HC56)))</f>
        <v>250.89384615384611</v>
      </c>
      <c r="GV57" s="18">
        <f>GU57*VLOOKUP('Données projet'!$B$18,Paramètres!$A$1:$I$89,3,0)*VLOOKUP('Données projet'!$B$18,Paramètres!$A$1:$I$89,5,0)</f>
        <v>117.41831999999998</v>
      </c>
      <c r="GW57" s="14">
        <f t="shared" si="51"/>
        <v>31.072104782889909</v>
      </c>
      <c r="GX57" s="22">
        <f t="shared" si="28"/>
        <v>258.6208231635332</v>
      </c>
      <c r="GY57" s="62">
        <f t="shared" si="29"/>
        <v>551.95415649686652</v>
      </c>
      <c r="GZ57" s="62">
        <f ca="1">AVERAGE(OFFSET($GY$3,0,0,'Données projet'!$E$18+1,1))-AVERAGE(OFFSET($H$3,0,0,'Données projet'!$E$18+1,1))</f>
        <v>284.704043530756</v>
      </c>
      <c r="HA57" s="62">
        <f t="shared" si="52"/>
        <v>190.4880882944471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428.8489304403459</v>
      </c>
      <c r="T58" s="62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4.8</v>
      </c>
      <c r="AH58" s="13">
        <f t="array" ref="AH58">INDEX(AG:AG,MIN(IF(ISNUMBER(AG58:AG254),ROW(AG58:AG254),"")))</f>
        <v>4.8</v>
      </c>
      <c r="AI58" s="14">
        <f>IF('Données projet'!$A$62&gt;35,AI57+AH58-AQ57,IF(A58&lt;'Données projet'!$A$62,$AF$205^A58,IF(A58='Données projet'!$A$62,'Données projet'!$B$62,AI57+AH58-AQ57)))</f>
        <v>198</v>
      </c>
      <c r="AJ58" s="14">
        <f>AI58*VLOOKUP('Données projet'!$B$10,Paramètres!$A$1:$I$89,3,0)*VLOOKUP('Données projet'!$B$10,Paramètres!$A$1:$I$89,5,0)</f>
        <v>172.97280000000003</v>
      </c>
      <c r="AK58" s="14">
        <f t="shared" si="35"/>
        <v>43.75515863819728</v>
      </c>
      <c r="AL58" s="22">
        <f t="shared" si="4"/>
        <v>377.46786129486031</v>
      </c>
      <c r="AM58" s="62">
        <f t="shared" si="5"/>
        <v>670.80119462819357</v>
      </c>
      <c r="AN58" s="62">
        <f ca="1">AVERAGE(OFFSET($AM$3,0,0,'Données projet'!$E$10+1,1))-AVERAGE(OFFSET($H$3,0,0,'Données projet'!$E$10+1,1))</f>
        <v>274.66236526869056</v>
      </c>
      <c r="AO58" s="62">
        <f t="shared" si="36"/>
        <v>256.90876395053073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24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2">
        <f t="shared" si="8"/>
        <v>727.79030631599562</v>
      </c>
      <c r="BI58" s="62">
        <f ca="1">AVERAGE(OFFSET($BH$3,0,0,'Données projet'!$E$11+1,1))-AVERAGE(OFFSET($H$3,0,0,'Données projet'!$E$11+1,1))</f>
        <v>475.47920969424894</v>
      </c>
      <c r="BJ58" s="62">
        <f t="shared" si="38"/>
        <v>271.73544012419364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219.23076923076923</v>
      </c>
      <c r="BW58" s="13">
        <f>VLOOKUP(A58,'Données projet'!$A$113:$I$133,9,0)</f>
        <v>5.6410256410256405</v>
      </c>
      <c r="BX58" s="13">
        <f t="array" ref="BX58">INDEX(BW:BW,MIN(IF(ISNUMBER(BW58:BW254),ROW(BW58:BW254),"")))</f>
        <v>5.6410256410256405</v>
      </c>
      <c r="BY58" s="13">
        <f>IF('Données projet'!$A$114&gt;35,BY57+BX58-CG57,IF(A58&lt;'Données projet'!$A$114,$BV$205^A58,IF(A58='Données projet'!$A$114,'Données projet'!$B$114,BY57+BX58-CG57)))</f>
        <v>215.38461538461524</v>
      </c>
      <c r="BZ58" s="14">
        <f>BY58*VLOOKUP('Données projet'!$B$12,Paramètres!$A$1:$I$89,3,0)*VLOOKUP('Données projet'!$B$12,Paramètres!$A$1:$I$89,5,0)</f>
        <v>225.11999999999989</v>
      </c>
      <c r="CA58" s="14">
        <f t="shared" si="39"/>
        <v>55.22619805266303</v>
      </c>
      <c r="CB58" s="22">
        <f t="shared" si="10"/>
        <v>488.26962827505463</v>
      </c>
      <c r="CC58" s="62">
        <f t="shared" si="11"/>
        <v>781.60296160838789</v>
      </c>
      <c r="CD58" s="62">
        <f ca="1">AVERAGE(OFFSET($CC$3,0,0,'Données projet'!$E$12+1,1))-AVERAGE(OFFSET($H$3,0,0,'Données projet'!$E$12+1,1))</f>
        <v>490.26236605482961</v>
      </c>
      <c r="CE58" s="62">
        <f t="shared" si="40"/>
        <v>283.40133947156238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24.358974358974358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199</v>
      </c>
      <c r="CR58" s="13">
        <f>VLOOKUP(A58,'Données projet'!$A$139:$I$159,9,0)</f>
        <v>5.2</v>
      </c>
      <c r="CS58" s="13">
        <f t="array" ref="CS58">INDEX(CR:CR,MIN(IF(ISNUMBER(CR58:CR254),ROW(CR58:CR254),"")))</f>
        <v>5.2</v>
      </c>
      <c r="CT58" s="13">
        <f>IF('Données projet'!$A$140&gt;35,CT57+CS58-DB57,IF(A58&lt;'Données projet'!$A$140,$CQ$205^A58,IF(A58='Données projet'!$A$140,'Données projet'!$B$140,CT57+CS58-DB57)))</f>
        <v>198.99999999999994</v>
      </c>
      <c r="CU58" s="18">
        <f>CT58*VLOOKUP('Données projet'!$B$13,Paramètres!$A$1:$I$89,3,0)*VLOOKUP('Données projet'!$B$13,Paramètres!$A$1:$I$89,5,0)</f>
        <v>173.84639999999999</v>
      </c>
      <c r="CV58" s="14">
        <f t="shared" si="41"/>
        <v>43.950364270382295</v>
      </c>
      <c r="CW58" s="22">
        <f t="shared" si="13"/>
        <v>379.32936443758246</v>
      </c>
      <c r="CX58" s="62">
        <f t="shared" si="14"/>
        <v>672.66269777091577</v>
      </c>
      <c r="CY58" s="62">
        <f ca="1">AVERAGE(OFFSET($CX$3,0,0,'Données projet'!$E$13+1,1))-AVERAGE(OFFSET($H$3,0,0,'Données projet'!$E$13+1,1))</f>
        <v>315.3516976788701</v>
      </c>
      <c r="CZ58" s="62">
        <f t="shared" si="42"/>
        <v>266.32508105927997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35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212.05079999999998</v>
      </c>
      <c r="EL58" s="14">
        <f t="shared" si="45"/>
        <v>52.383483303212302</v>
      </c>
      <c r="EM58" s="22">
        <f t="shared" si="19"/>
        <v>460.55637675309475</v>
      </c>
      <c r="EN58" s="62">
        <f t="shared" si="20"/>
        <v>753.88971008642807</v>
      </c>
      <c r="EO58" s="62">
        <f ca="1">AVERAGE(OFFSET($EN$3,0,0,'Données projet'!$E$15+1,1))-AVERAGE(OFFSET($H$3,0,0,'Données projet'!$E$15+1,1))</f>
        <v>502.07782026233912</v>
      </c>
      <c r="EP58" s="62">
        <f t="shared" si="46"/>
        <v>285.83623046025156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191.02564102564102</v>
      </c>
      <c r="FC58" s="13">
        <f>VLOOKUP(A58,'Données projet'!$A$217:$I$237,9,0)</f>
        <v>5.2564102564102537</v>
      </c>
      <c r="FD58" s="13">
        <f t="array" ref="FD58">INDEX(FC:FC,MIN(IF(ISNUMBER(FC58:FC254),ROW(FC58:FC254),"")))</f>
        <v>5.2564102564102537</v>
      </c>
      <c r="FE58" s="13">
        <f>IF('Données projet'!$A$218&gt;35,FE57+FD58-FM57,IF(A58&lt;'Données projet'!$A$218,$FB$205^A58,IF(A58='Données projet'!$A$218,'Données projet'!$B$218,FE57+FD58-FM57)))</f>
        <v>191.02564102564094</v>
      </c>
      <c r="FF58" s="18">
        <f>FE58*VLOOKUP('Données projet'!$B$16,Paramètres!$A$1:$I$89,3,0)*VLOOKUP('Données projet'!$B$16,Paramètres!$A$1:$I$89,5,0)</f>
        <v>181.77999999999992</v>
      </c>
      <c r="FG58" s="14">
        <f t="shared" si="47"/>
        <v>45.717976285292259</v>
      </c>
      <c r="FH58" s="22">
        <f t="shared" si="22"/>
        <v>396.22564203021716</v>
      </c>
      <c r="FI58" s="62">
        <f t="shared" si="23"/>
        <v>689.55897536355042</v>
      </c>
      <c r="FJ58" s="62">
        <f ca="1">AVERAGE(OFFSET($FI$3,0,0,'Données projet'!$E$16+1,1))-AVERAGE(OFFSET($H$3,0,0,'Données projet'!$E$16+1,1))</f>
        <v>365.5904647357433</v>
      </c>
      <c r="FK58" s="62">
        <f t="shared" si="48"/>
        <v>256.56280810580841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30.128205128205128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266</v>
      </c>
      <c r="FX58" s="13">
        <f>VLOOKUP(A58,'Données projet'!$A$243:$I$263,9,0)</f>
        <v>7.6</v>
      </c>
      <c r="FY58" s="13">
        <f t="array" ref="FY58">INDEX(FX:FX,MIN(IF(ISNUMBER(FX58:FX254),ROW(FX58:FX254),"")))</f>
        <v>7.6</v>
      </c>
      <c r="FZ58" s="13">
        <f>IF('Données projet'!$A$244&gt;35,FZ57+FY58-GH57,IF(A58&lt;'Données projet'!$A$244,$FW$205^A58,IF(A58='Données projet'!$A$244,'Données projet'!$B$244,FZ57+FY58-GH57)))</f>
        <v>266</v>
      </c>
      <c r="GA58" s="18">
        <f>FZ58*VLOOKUP('Données projet'!$B$17,Paramètres!$A$1:$I$89,3,0)*VLOOKUP('Données projet'!$B$17,Paramètres!$A$1:$I$89,5,0)</f>
        <v>215.7792</v>
      </c>
      <c r="GB58" s="14">
        <f t="shared" si="49"/>
        <v>53.196483976998607</v>
      </c>
      <c r="GC58" s="22">
        <f t="shared" si="25"/>
        <v>468.46598292660588</v>
      </c>
      <c r="GD58" s="62">
        <f t="shared" si="26"/>
        <v>761.79931625993913</v>
      </c>
      <c r="GE58" s="62">
        <f ca="1">AVERAGE(OFFSET($GD$3,0,0,'Données projet'!$E$17+1,1))-AVERAGE(OFFSET($H$3,0,0,'Données projet'!$E$17+1,1))</f>
        <v>256.19915261735281</v>
      </c>
      <c r="GF58" s="62">
        <f t="shared" si="50"/>
        <v>297.47246687305056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11.418461538461548</v>
      </c>
      <c r="GU58" s="13">
        <f>IF('Données projet'!$A$270&gt;35,GU57+GT58-HC57,IF(A58&lt;'Données projet'!$A$270,$GR$205^A58,IF(A58='Données projet'!$A$270,'Données projet'!$B$270,GU57+GT58-HC57)))</f>
        <v>262.31230769230768</v>
      </c>
      <c r="GV58" s="18">
        <f>GU58*VLOOKUP('Données projet'!$B$18,Paramètres!$A$1:$I$89,3,0)*VLOOKUP('Données projet'!$B$18,Paramètres!$A$1:$I$89,5,0)</f>
        <v>122.76215999999999</v>
      </c>
      <c r="GW58" s="14">
        <f t="shared" si="51"/>
        <v>32.318372019024729</v>
      </c>
      <c r="GX58" s="22">
        <f t="shared" si="28"/>
        <v>270.09859326646807</v>
      </c>
      <c r="GY58" s="62">
        <f t="shared" si="29"/>
        <v>563.43192659980139</v>
      </c>
      <c r="GZ58" s="62">
        <f ca="1">AVERAGE(OFFSET($GY$3,0,0,'Données projet'!$E$18+1,1))-AVERAGE(OFFSET($H$3,0,0,'Données projet'!$E$18+1,1))</f>
        <v>284.704043530756</v>
      </c>
      <c r="HA58" s="62">
        <f t="shared" si="52"/>
        <v>190.4880882944471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2">
        <f t="shared" si="0"/>
        <v>696.67192586439194</v>
      </c>
      <c r="S59" s="62">
        <f ca="1">AVERAGE(OFFSET($R$3,0,0,'Données projet'!$E$9+1,1))-AVERAGE(OFFSET($H$3,0,0,'Données projet'!$E$9+1,1))</f>
        <v>428.8489304403459</v>
      </c>
      <c r="T59" s="62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4.2</v>
      </c>
      <c r="AI59" s="14">
        <f>IF('Données projet'!$A$62&gt;35,AI58+AH59-AQ58,IF(A59&lt;'Données projet'!$A$62,$AF$205^A59,IF(A59='Données projet'!$A$62,'Données projet'!$B$62,AI58+AH59-AQ58)))</f>
        <v>178.2</v>
      </c>
      <c r="AJ59" s="14">
        <f>AI59*VLOOKUP('Données projet'!$B$10,Paramètres!$A$1:$I$89,3,0)*VLOOKUP('Données projet'!$B$10,Paramètres!$A$1:$I$89,5,0)</f>
        <v>155.67552000000001</v>
      </c>
      <c r="AK59" s="14">
        <f t="shared" si="35"/>
        <v>39.865566884055099</v>
      </c>
      <c r="AL59" s="22">
        <f t="shared" si="4"/>
        <v>340.56739298972934</v>
      </c>
      <c r="AM59" s="62">
        <f t="shared" si="5"/>
        <v>633.9007263230626</v>
      </c>
      <c r="AN59" s="62">
        <f ca="1">AVERAGE(OFFSET($AM$3,0,0,'Données projet'!$E$10+1,1))-AVERAGE(OFFSET($H$3,0,0,'Données projet'!$E$10+1,1))</f>
        <v>274.66236526869056</v>
      </c>
      <c r="AO59" s="62">
        <f t="shared" si="36"/>
        <v>256.90876395053073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207.46440000000001</v>
      </c>
      <c r="BF59" s="14">
        <f t="shared" si="37"/>
        <v>51.381102169014063</v>
      </c>
      <c r="BG59" s="22">
        <f t="shared" si="7"/>
        <v>450.82258294436616</v>
      </c>
      <c r="BH59" s="62">
        <f t="shared" si="8"/>
        <v>744.15591627769948</v>
      </c>
      <c r="BI59" s="62">
        <f ca="1">AVERAGE(OFFSET($BH$3,0,0,'Données projet'!$E$11+1,1))-AVERAGE(OFFSET($H$3,0,0,'Données projet'!$E$11+1,1))</f>
        <v>475.47920969424894</v>
      </c>
      <c r="BJ59" s="62">
        <f t="shared" si="38"/>
        <v>271.73544012419364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5.2564102564102599</v>
      </c>
      <c r="BY59" s="13">
        <f>IF('Données projet'!$A$114&gt;35,BY58+BX59-CG58,IF(A59&lt;'Données projet'!$A$114,$BV$205^A59,IF(A59='Données projet'!$A$114,'Données projet'!$B$114,BY58+BX59-CG58)))</f>
        <v>196.28205128205113</v>
      </c>
      <c r="BZ59" s="14">
        <f>BY59*VLOOKUP('Données projet'!$B$12,Paramètres!$A$1:$I$89,3,0)*VLOOKUP('Données projet'!$B$12,Paramètres!$A$1:$I$89,5,0)</f>
        <v>205.15399999999985</v>
      </c>
      <c r="CA59" s="14">
        <f t="shared" si="39"/>
        <v>50.875178173128255</v>
      </c>
      <c r="CB59" s="22">
        <f t="shared" si="10"/>
        <v>445.91748531819809</v>
      </c>
      <c r="CC59" s="62">
        <f t="shared" si="11"/>
        <v>739.2508186515314</v>
      </c>
      <c r="CD59" s="62">
        <f ca="1">AVERAGE(OFFSET($CC$3,0,0,'Données projet'!$E$12+1,1))-AVERAGE(OFFSET($H$3,0,0,'Données projet'!$E$12+1,1))</f>
        <v>490.26236605482961</v>
      </c>
      <c r="CE59" s="62">
        <f t="shared" si="40"/>
        <v>283.40133947156238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168.99999999999994</v>
      </c>
      <c r="CU59" s="18">
        <f>CT59*VLOOKUP('Données projet'!$B$13,Paramètres!$A$1:$I$89,3,0)*VLOOKUP('Données projet'!$B$13,Paramètres!$A$1:$I$89,5,0)</f>
        <v>147.63839999999996</v>
      </c>
      <c r="CV59" s="14">
        <f t="shared" si="41"/>
        <v>38.041408878951295</v>
      </c>
      <c r="CW59" s="22">
        <f t="shared" si="13"/>
        <v>323.39233379750675</v>
      </c>
      <c r="CX59" s="62">
        <f t="shared" si="14"/>
        <v>616.72566713084007</v>
      </c>
      <c r="CY59" s="62">
        <f ca="1">AVERAGE(OFFSET($CX$3,0,0,'Données projet'!$E$13+1,1))-AVERAGE(OFFSET($H$3,0,0,'Données projet'!$E$13+1,1))</f>
        <v>315.3516976788701</v>
      </c>
      <c r="CZ59" s="62">
        <f t="shared" si="42"/>
        <v>266.32508105927997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220.23143999999996</v>
      </c>
      <c r="EL59" s="14">
        <f t="shared" si="45"/>
        <v>54.165184982469711</v>
      </c>
      <c r="EM59" s="22">
        <f t="shared" si="19"/>
        <v>477.9074551778013</v>
      </c>
      <c r="EN59" s="62">
        <f t="shared" si="20"/>
        <v>771.24078851113461</v>
      </c>
      <c r="EO59" s="62">
        <f ca="1">AVERAGE(OFFSET($EN$3,0,0,'Données projet'!$E$15+1,1))-AVERAGE(OFFSET($H$3,0,0,'Données projet'!$E$15+1,1))</f>
        <v>502.07782026233912</v>
      </c>
      <c r="EP59" s="62">
        <f t="shared" si="46"/>
        <v>285.83623046025156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4.4871794871794863</v>
      </c>
      <c r="FE59" s="13">
        <f>IF('Données projet'!$A$218&gt;35,FE58+FD59-FM58,IF(A59&lt;'Données projet'!$A$218,$FB$205^A59,IF(A59='Données projet'!$A$218,'Données projet'!$B$218,FE58+FD59-FM58)))</f>
        <v>165.38461538461527</v>
      </c>
      <c r="FF59" s="18">
        <f>FE59*VLOOKUP('Données projet'!$B$16,Paramètres!$A$1:$I$89,3,0)*VLOOKUP('Données projet'!$B$16,Paramètres!$A$1:$I$89,5,0)</f>
        <v>157.37999999999991</v>
      </c>
      <c r="FG59" s="14">
        <f t="shared" si="47"/>
        <v>40.251000442952474</v>
      </c>
      <c r="FH59" s="22">
        <f t="shared" si="22"/>
        <v>344.20732577147538</v>
      </c>
      <c r="FI59" s="62">
        <f t="shared" si="23"/>
        <v>637.5406591048087</v>
      </c>
      <c r="FJ59" s="62">
        <f ca="1">AVERAGE(OFFSET($FI$3,0,0,'Données projet'!$E$16+1,1))-AVERAGE(OFFSET($H$3,0,0,'Données projet'!$E$16+1,1))</f>
        <v>365.5904647357433</v>
      </c>
      <c r="FK59" s="62">
        <f t="shared" si="48"/>
        <v>256.56280810580841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7.4</v>
      </c>
      <c r="FZ59" s="13">
        <f>IF('Données projet'!$A$244&gt;35,FZ58+FY59-GH58,IF(A59&lt;'Données projet'!$A$244,$FW$205^A59,IF(A59='Données projet'!$A$244,'Données projet'!$B$244,FZ58+FY59-GH58)))</f>
        <v>273.39999999999998</v>
      </c>
      <c r="GA59" s="18">
        <f>FZ59*VLOOKUP('Données projet'!$B$17,Paramètres!$A$1:$I$89,3,0)*VLOOKUP('Données projet'!$B$17,Paramètres!$A$1:$I$89,5,0)</f>
        <v>221.78208000000001</v>
      </c>
      <c r="GB59" s="14">
        <f t="shared" si="49"/>
        <v>54.502029950220781</v>
      </c>
      <c r="GC59" s="22">
        <f t="shared" si="25"/>
        <v>481.19482482996779</v>
      </c>
      <c r="GD59" s="62">
        <f t="shared" si="26"/>
        <v>774.5281581633011</v>
      </c>
      <c r="GE59" s="62">
        <f ca="1">AVERAGE(OFFSET($GD$3,0,0,'Données projet'!$E$17+1,1))-AVERAGE(OFFSET($H$3,0,0,'Données projet'!$E$17+1,1))</f>
        <v>256.19915261735281</v>
      </c>
      <c r="GF59" s="62">
        <f t="shared" si="50"/>
        <v>297.47246687305056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>
        <f>VLOOKUP(A59,'Données projet'!$A$269:$I$289,2,0)</f>
        <v>273.73076923076923</v>
      </c>
      <c r="GS59" s="13">
        <f>VLOOKUP(A59,'Données projet'!$A$269:$I$289,9,0)</f>
        <v>11.418461538461548</v>
      </c>
      <c r="GT59" s="13">
        <f t="array" ref="GT59">INDEX(GS:GS,MIN(IF(ISNUMBER(GS59:GS255),ROW(GS59:GS255),"")))</f>
        <v>11.418461538461548</v>
      </c>
      <c r="GU59" s="13">
        <f>IF('Données projet'!$A$270&gt;35,GU58+GT59-HC58,IF(A59&lt;'Données projet'!$A$270,$GR$205^A59,IF(A59='Données projet'!$A$270,'Données projet'!$B$270,GU58+GT59-HC58)))</f>
        <v>273.73076923076923</v>
      </c>
      <c r="GV59" s="18">
        <f>GU59*VLOOKUP('Données projet'!$B$18,Paramètres!$A$1:$I$89,3,0)*VLOOKUP('Données projet'!$B$18,Paramètres!$A$1:$I$89,5,0)</f>
        <v>128.10599999999999</v>
      </c>
      <c r="GW59" s="14">
        <f t="shared" si="51"/>
        <v>33.558338419591188</v>
      </c>
      <c r="GX59" s="22">
        <f t="shared" si="28"/>
        <v>281.56538941412128</v>
      </c>
      <c r="GY59" s="62">
        <f t="shared" si="29"/>
        <v>574.8987227474546</v>
      </c>
      <c r="GZ59" s="62">
        <f ca="1">AVERAGE(OFFSET($GY$3,0,0,'Données projet'!$E$18+1,1))-AVERAGE(OFFSET($H$3,0,0,'Données projet'!$E$18+1,1))</f>
        <v>284.704043530756</v>
      </c>
      <c r="HA59" s="62">
        <f t="shared" si="52"/>
        <v>190.4880882944471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2">
        <f t="shared" si="0"/>
        <v>711.29866832489597</v>
      </c>
      <c r="S60" s="62">
        <f ca="1">AVERAGE(OFFSET($R$3,0,0,'Données projet'!$E$9+1,1))-AVERAGE(OFFSET($H$3,0,0,'Données projet'!$E$9+1,1))</f>
        <v>428.8489304403459</v>
      </c>
      <c r="T60" s="62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4.2</v>
      </c>
      <c r="AI60" s="14">
        <f>IF('Données projet'!$A$62&gt;35,AI59+AH60-AQ59,IF(A60&lt;'Données projet'!$A$62,$AF$205^A60,IF(A60='Données projet'!$A$62,'Données projet'!$B$62,AI59+AH60-AQ59)))</f>
        <v>182.39999999999998</v>
      </c>
      <c r="AJ60" s="14">
        <f>AI60*VLOOKUP('Données projet'!$B$10,Paramètres!$A$1:$I$89,3,0)*VLOOKUP('Données projet'!$B$10,Paramètres!$A$1:$I$89,5,0)</f>
        <v>159.34464</v>
      </c>
      <c r="AK60" s="14">
        <f t="shared" si="35"/>
        <v>40.694661837553809</v>
      </c>
      <c r="AL60" s="22">
        <f t="shared" si="4"/>
        <v>348.40178403373949</v>
      </c>
      <c r="AM60" s="62">
        <f t="shared" si="5"/>
        <v>641.7351173670728</v>
      </c>
      <c r="AN60" s="62">
        <f ca="1">AVERAGE(OFFSET($AM$3,0,0,'Données projet'!$E$10+1,1))-AVERAGE(OFFSET($H$3,0,0,'Données projet'!$E$10+1,1))</f>
        <v>274.66236526869056</v>
      </c>
      <c r="AO60" s="62">
        <f t="shared" si="36"/>
        <v>256.90876395053073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215.17080000000001</v>
      </c>
      <c r="BF60" s="14">
        <f t="shared" si="37"/>
        <v>53.063930965723607</v>
      </c>
      <c r="BG60" s="22">
        <f t="shared" si="7"/>
        <v>467.17548976530185</v>
      </c>
      <c r="BH60" s="62">
        <f t="shared" si="8"/>
        <v>760.50882309863516</v>
      </c>
      <c r="BI60" s="62">
        <f ca="1">AVERAGE(OFFSET($BH$3,0,0,'Données projet'!$E$11+1,1))-AVERAGE(OFFSET($H$3,0,0,'Données projet'!$E$11+1,1))</f>
        <v>475.47920969424894</v>
      </c>
      <c r="BJ60" s="62">
        <f t="shared" si="38"/>
        <v>271.73544012419364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5.2564102564102599</v>
      </c>
      <c r="BY60" s="13">
        <f>IF('Données projet'!$A$114&gt;35,BY59+BX60-CG59,IF(A60&lt;'Données projet'!$A$114,$BV$205^A60,IF(A60='Données projet'!$A$114,'Données projet'!$B$114,BY59+BX60-CG59)))</f>
        <v>201.53846153846138</v>
      </c>
      <c r="BZ60" s="14">
        <f>BY60*VLOOKUP('Données projet'!$B$12,Paramètres!$A$1:$I$89,3,0)*VLOOKUP('Données projet'!$B$12,Paramètres!$A$1:$I$89,5,0)</f>
        <v>210.64799999999985</v>
      </c>
      <c r="CA60" s="14">
        <f t="shared" si="39"/>
        <v>52.077164600382993</v>
      </c>
      <c r="CB60" s="22">
        <f t="shared" si="10"/>
        <v>457.57966167900014</v>
      </c>
      <c r="CC60" s="62">
        <f t="shared" si="11"/>
        <v>750.91299501233345</v>
      </c>
      <c r="CD60" s="62">
        <f ca="1">AVERAGE(OFFSET($CC$3,0,0,'Données projet'!$E$12+1,1))-AVERAGE(OFFSET($H$3,0,0,'Données projet'!$E$12+1,1))</f>
        <v>490.26236605482961</v>
      </c>
      <c r="CE60" s="62">
        <f t="shared" si="40"/>
        <v>283.40133947156238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173.99999999999994</v>
      </c>
      <c r="CU60" s="18">
        <f>CT60*VLOOKUP('Données projet'!$B$13,Paramètres!$A$1:$I$89,3,0)*VLOOKUP('Données projet'!$B$13,Paramètres!$A$1:$I$89,5,0)</f>
        <v>152.00639999999999</v>
      </c>
      <c r="CV60" s="14">
        <f t="shared" si="41"/>
        <v>39.03419401656145</v>
      </c>
      <c r="CW60" s="22">
        <f t="shared" si="13"/>
        <v>332.72903457884451</v>
      </c>
      <c r="CX60" s="62">
        <f t="shared" si="14"/>
        <v>626.06236791217782</v>
      </c>
      <c r="CY60" s="62">
        <f ca="1">AVERAGE(OFFSET($CX$3,0,0,'Données projet'!$E$13+1,1))-AVERAGE(OFFSET($H$3,0,0,'Données projet'!$E$13+1,1))</f>
        <v>315.3516976788701</v>
      </c>
      <c r="CZ60" s="62">
        <f t="shared" si="42"/>
        <v>266.32508105927997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228.41207999999997</v>
      </c>
      <c r="EL60" s="14">
        <f t="shared" si="45"/>
        <v>55.939197785226767</v>
      </c>
      <c r="EM60" s="22">
        <f t="shared" si="19"/>
        <v>495.24514214260324</v>
      </c>
      <c r="EN60" s="62">
        <f t="shared" si="20"/>
        <v>788.57847547593656</v>
      </c>
      <c r="EO60" s="62">
        <f ca="1">AVERAGE(OFFSET($EN$3,0,0,'Données projet'!$E$15+1,1))-AVERAGE(OFFSET($H$3,0,0,'Données projet'!$E$15+1,1))</f>
        <v>502.07782026233912</v>
      </c>
      <c r="EP60" s="62">
        <f t="shared" si="46"/>
        <v>285.83623046025156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4.4871794871794863</v>
      </c>
      <c r="FE60" s="13">
        <f>IF('Données projet'!$A$218&gt;35,FE59+FD60-FM59,IF(A60&lt;'Données projet'!$A$218,$FB$205^A60,IF(A60='Données projet'!$A$218,'Données projet'!$B$218,FE59+FD60-FM59)))</f>
        <v>169.87179487179475</v>
      </c>
      <c r="FF60" s="18">
        <f>FE60*VLOOKUP('Données projet'!$B$16,Paramètres!$A$1:$I$89,3,0)*VLOOKUP('Données projet'!$B$16,Paramètres!$A$1:$I$89,5,0)</f>
        <v>161.64999999999989</v>
      </c>
      <c r="FG60" s="14">
        <f t="shared" si="47"/>
        <v>41.214454997903879</v>
      </c>
      <c r="FH60" s="22">
        <f t="shared" si="22"/>
        <v>353.32225912134908</v>
      </c>
      <c r="FI60" s="62">
        <f t="shared" si="23"/>
        <v>646.65559245468239</v>
      </c>
      <c r="FJ60" s="62">
        <f ca="1">AVERAGE(OFFSET($FI$3,0,0,'Données projet'!$E$16+1,1))-AVERAGE(OFFSET($H$3,0,0,'Données projet'!$E$16+1,1))</f>
        <v>365.5904647357433</v>
      </c>
      <c r="FK60" s="62">
        <f t="shared" si="48"/>
        <v>256.56280810580841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7.4</v>
      </c>
      <c r="FZ60" s="13">
        <f>IF('Données projet'!$A$244&gt;35,FZ59+FY60-GH59,IF(A60&lt;'Données projet'!$A$244,$FW$205^A60,IF(A60='Données projet'!$A$244,'Données projet'!$B$244,FZ59+FY60-GH59)))</f>
        <v>280.79999999999995</v>
      </c>
      <c r="GA60" s="18">
        <f>FZ60*VLOOKUP('Données projet'!$B$17,Paramètres!$A$1:$I$89,3,0)*VLOOKUP('Données projet'!$B$17,Paramètres!$A$1:$I$89,5,0)</f>
        <v>227.78495999999998</v>
      </c>
      <c r="GB60" s="14">
        <f t="shared" si="49"/>
        <v>55.803468680001743</v>
      </c>
      <c r="GC60" s="22">
        <f t="shared" si="25"/>
        <v>493.91651328433619</v>
      </c>
      <c r="GD60" s="62">
        <f t="shared" si="26"/>
        <v>787.2498466176695</v>
      </c>
      <c r="GE60" s="62">
        <f ca="1">AVERAGE(OFFSET($GD$3,0,0,'Données projet'!$E$17+1,1))-AVERAGE(OFFSET($H$3,0,0,'Données projet'!$E$17+1,1))</f>
        <v>256.19915261735281</v>
      </c>
      <c r="GF60" s="62">
        <f t="shared" si="50"/>
        <v>297.47246687305056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11.076923076923084</v>
      </c>
      <c r="GU60" s="13">
        <f>IF('Données projet'!$A$270&gt;35,GU59+GT60-HC59,IF(A60&lt;'Données projet'!$A$270,$GR$205^A60,IF(A60='Données projet'!$A$270,'Données projet'!$B$270,GU59+GT60-HC59)))</f>
        <v>284.80769230769232</v>
      </c>
      <c r="GV60" s="18">
        <f>GU60*VLOOKUP('Données projet'!$B$18,Paramètres!$A$1:$I$89,3,0)*VLOOKUP('Données projet'!$B$18,Paramètres!$A$1:$I$89,5,0)</f>
        <v>133.29000000000002</v>
      </c>
      <c r="GW60" s="14">
        <f t="shared" si="51"/>
        <v>34.755472404632187</v>
      </c>
      <c r="GX60" s="22">
        <f t="shared" si="28"/>
        <v>292.67919777140111</v>
      </c>
      <c r="GY60" s="62">
        <f t="shared" si="29"/>
        <v>586.01253110473442</v>
      </c>
      <c r="GZ60" s="62">
        <f ca="1">AVERAGE(OFFSET($GY$3,0,0,'Données projet'!$E$18+1,1))-AVERAGE(OFFSET($H$3,0,0,'Données projet'!$E$18+1,1))</f>
        <v>284.704043530756</v>
      </c>
      <c r="HA60" s="62">
        <f t="shared" si="52"/>
        <v>190.4880882944471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2">
        <f t="shared" si="0"/>
        <v>725.91438285442098</v>
      </c>
      <c r="S61" s="62">
        <f ca="1">AVERAGE(OFFSET($R$3,0,0,'Données projet'!$E$9+1,1))-AVERAGE(OFFSET($H$3,0,0,'Données projet'!$E$9+1,1))</f>
        <v>428.8489304403459</v>
      </c>
      <c r="T61" s="62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4.2</v>
      </c>
      <c r="AI61" s="14">
        <f>IF('Données projet'!$A$62&gt;35,AI60+AH61-AQ60,IF(A61&lt;'Données projet'!$A$62,$AF$205^A61,IF(A61='Données projet'!$A$62,'Données projet'!$B$62,AI60+AH61-AQ60)))</f>
        <v>186.59999999999997</v>
      </c>
      <c r="AJ61" s="14">
        <f>AI61*VLOOKUP('Données projet'!$B$10,Paramètres!$A$1:$I$89,3,0)*VLOOKUP('Données projet'!$B$10,Paramètres!$A$1:$I$89,5,0)</f>
        <v>163.01375999999999</v>
      </c>
      <c r="AK61" s="14">
        <f t="shared" si="35"/>
        <v>41.521537366475364</v>
      </c>
      <c r="AL61" s="22">
        <f t="shared" si="4"/>
        <v>356.23230957994457</v>
      </c>
      <c r="AM61" s="62">
        <f t="shared" si="5"/>
        <v>649.56564291327788</v>
      </c>
      <c r="AN61" s="62">
        <f ca="1">AVERAGE(OFFSET($AM$3,0,0,'Données projet'!$E$10+1,1))-AVERAGE(OFFSET($H$3,0,0,'Données projet'!$E$10+1,1))</f>
        <v>274.66236526869056</v>
      </c>
      <c r="AO61" s="62">
        <f t="shared" si="36"/>
        <v>256.90876395053073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222.87720000000002</v>
      </c>
      <c r="BF61" s="14">
        <f t="shared" si="37"/>
        <v>54.739757243913829</v>
      </c>
      <c r="BG61" s="22">
        <f t="shared" si="7"/>
        <v>483.51620053314986</v>
      </c>
      <c r="BH61" s="62">
        <f t="shared" si="8"/>
        <v>776.84953386648317</v>
      </c>
      <c r="BI61" s="62">
        <f ca="1">AVERAGE(OFFSET($BH$3,0,0,'Données projet'!$E$11+1,1))-AVERAGE(OFFSET($H$3,0,0,'Données projet'!$E$11+1,1))</f>
        <v>475.47920969424894</v>
      </c>
      <c r="BJ61" s="62">
        <f t="shared" si="38"/>
        <v>271.73544012419364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5.2564102564102599</v>
      </c>
      <c r="BY61" s="13">
        <f>IF('Données projet'!$A$114&gt;35,BY60+BX61-CG60,IF(A61&lt;'Données projet'!$A$114,$BV$205^A61,IF(A61='Données projet'!$A$114,'Données projet'!$B$114,BY60+BX61-CG60)))</f>
        <v>206.79487179487163</v>
      </c>
      <c r="BZ61" s="14">
        <f>BY61*VLOOKUP('Données projet'!$B$12,Paramètres!$A$1:$I$89,3,0)*VLOOKUP('Données projet'!$B$12,Paramètres!$A$1:$I$89,5,0)</f>
        <v>216.14199999999983</v>
      </c>
      <c r="CA61" s="14">
        <f t="shared" si="39"/>
        <v>53.275507040553315</v>
      </c>
      <c r="CB61" s="22">
        <f t="shared" si="10"/>
        <v>469.23549142896331</v>
      </c>
      <c r="CC61" s="62">
        <f t="shared" si="11"/>
        <v>762.56882476229657</v>
      </c>
      <c r="CD61" s="62">
        <f ca="1">AVERAGE(OFFSET($CC$3,0,0,'Données projet'!$E$12+1,1))-AVERAGE(OFFSET($H$3,0,0,'Données projet'!$E$12+1,1))</f>
        <v>490.26236605482961</v>
      </c>
      <c r="CE61" s="62">
        <f t="shared" si="40"/>
        <v>283.40133947156238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178.99999999999994</v>
      </c>
      <c r="CU61" s="18">
        <f>CT61*VLOOKUP('Données projet'!$B$13,Paramètres!$A$1:$I$89,3,0)*VLOOKUP('Données projet'!$B$13,Paramètres!$A$1:$I$89,5,0)</f>
        <v>156.37439999999998</v>
      </c>
      <c r="CV61" s="14">
        <f t="shared" si="41"/>
        <v>40.02366352429317</v>
      </c>
      <c r="CW61" s="22">
        <f t="shared" si="13"/>
        <v>342.05996063814388</v>
      </c>
      <c r="CX61" s="62">
        <f t="shared" si="14"/>
        <v>635.39329397147719</v>
      </c>
      <c r="CY61" s="62">
        <f ca="1">AVERAGE(OFFSET($CX$3,0,0,'Données projet'!$E$13+1,1))-AVERAGE(OFFSET($H$3,0,0,'Données projet'!$E$13+1,1))</f>
        <v>315.3516976788701</v>
      </c>
      <c r="CZ61" s="62">
        <f t="shared" si="42"/>
        <v>266.32508105927997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236.59271999999999</v>
      </c>
      <c r="EL61" s="14">
        <f t="shared" si="45"/>
        <v>57.705828638299394</v>
      </c>
      <c r="EM61" s="22">
        <f t="shared" si="19"/>
        <v>512.56997221170479</v>
      </c>
      <c r="EN61" s="62">
        <f t="shared" si="20"/>
        <v>805.90330554503817</v>
      </c>
      <c r="EO61" s="62">
        <f ca="1">AVERAGE(OFFSET($EN$3,0,0,'Données projet'!$E$15+1,1))-AVERAGE(OFFSET($H$3,0,0,'Données projet'!$E$15+1,1))</f>
        <v>502.07782026233912</v>
      </c>
      <c r="EP61" s="62">
        <f t="shared" si="46"/>
        <v>285.83623046025156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4.4871794871794863</v>
      </c>
      <c r="FE61" s="13">
        <f>IF('Données projet'!$A$218&gt;35,FE60+FD61-FM60,IF(A61&lt;'Données projet'!$A$218,$FB$205^A61,IF(A61='Données projet'!$A$218,'Données projet'!$B$218,FE60+FD61-FM60)))</f>
        <v>174.35897435897422</v>
      </c>
      <c r="FF61" s="18">
        <f>FE61*VLOOKUP('Données projet'!$B$16,Paramètres!$A$1:$I$89,3,0)*VLOOKUP('Données projet'!$B$16,Paramètres!$A$1:$I$89,5,0)</f>
        <v>165.91999999999987</v>
      </c>
      <c r="FG61" s="14">
        <f t="shared" si="47"/>
        <v>42.174951388767532</v>
      </c>
      <c r="FH61" s="22">
        <f t="shared" si="22"/>
        <v>362.43204033543657</v>
      </c>
      <c r="FI61" s="62">
        <f t="shared" si="23"/>
        <v>655.76537366876983</v>
      </c>
      <c r="FJ61" s="62">
        <f ca="1">AVERAGE(OFFSET($FI$3,0,0,'Données projet'!$E$16+1,1))-AVERAGE(OFFSET($H$3,0,0,'Données projet'!$E$16+1,1))</f>
        <v>365.5904647357433</v>
      </c>
      <c r="FK61" s="62">
        <f t="shared" si="48"/>
        <v>256.56280810580841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7.4</v>
      </c>
      <c r="FZ61" s="13">
        <f>IF('Données projet'!$A$244&gt;35,FZ60+FY61-GH60,IF(A61&lt;'Données projet'!$A$244,$FW$205^A61,IF(A61='Données projet'!$A$244,'Données projet'!$B$244,FZ60+FY61-GH60)))</f>
        <v>288.19999999999993</v>
      </c>
      <c r="GA61" s="18">
        <f>FZ61*VLOOKUP('Données projet'!$B$17,Paramètres!$A$1:$I$89,3,0)*VLOOKUP('Données projet'!$B$17,Paramètres!$A$1:$I$89,5,0)</f>
        <v>233.78783999999996</v>
      </c>
      <c r="GB61" s="14">
        <f t="shared" si="49"/>
        <v>57.100920847849451</v>
      </c>
      <c r="GC61" s="22">
        <f t="shared" si="25"/>
        <v>506.63125847667106</v>
      </c>
      <c r="GD61" s="62">
        <f t="shared" si="26"/>
        <v>799.96459181000432</v>
      </c>
      <c r="GE61" s="62">
        <f ca="1">AVERAGE(OFFSET($GD$3,0,0,'Données projet'!$E$17+1,1))-AVERAGE(OFFSET($H$3,0,0,'Données projet'!$E$17+1,1))</f>
        <v>256.19915261735281</v>
      </c>
      <c r="GF61" s="62">
        <f t="shared" si="50"/>
        <v>297.47246687305056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11.076923076923084</v>
      </c>
      <c r="GU61" s="13">
        <f>IF('Données projet'!$A$270&gt;35,GU60+GT61-HC60,IF(A61&lt;'Données projet'!$A$270,$GR$205^A61,IF(A61='Données projet'!$A$270,'Données projet'!$B$270,GU60+GT61-HC60)))</f>
        <v>295.88461538461542</v>
      </c>
      <c r="GV61" s="18">
        <f>GU61*VLOOKUP('Données projet'!$B$18,Paramètres!$A$1:$I$89,3,0)*VLOOKUP('Données projet'!$B$18,Paramètres!$A$1:$I$89,5,0)</f>
        <v>138.47400000000002</v>
      </c>
      <c r="GW61" s="14">
        <f t="shared" si="51"/>
        <v>35.947197649185291</v>
      </c>
      <c r="GX61" s="22">
        <f t="shared" si="28"/>
        <v>303.78358590566432</v>
      </c>
      <c r="GY61" s="62">
        <f t="shared" si="29"/>
        <v>597.11691923899764</v>
      </c>
      <c r="GZ61" s="62">
        <f ca="1">AVERAGE(OFFSET($GY$3,0,0,'Données projet'!$E$18+1,1))-AVERAGE(OFFSET($H$3,0,0,'Données projet'!$E$18+1,1))</f>
        <v>284.704043530756</v>
      </c>
      <c r="HA61" s="62">
        <f t="shared" si="52"/>
        <v>190.4880882944471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2">
        <f t="shared" si="0"/>
        <v>740.51949446577237</v>
      </c>
      <c r="S62" s="62">
        <f ca="1">AVERAGE(OFFSET($R$3,0,0,'Données projet'!$E$9+1,1))-AVERAGE(OFFSET($H$3,0,0,'Données projet'!$E$9+1,1))</f>
        <v>428.8489304403459</v>
      </c>
      <c r="T62" s="62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4.2</v>
      </c>
      <c r="AI62" s="14">
        <f>IF('Données projet'!$A$62&gt;35,AI61+AH62-AQ61,IF(A62&lt;'Données projet'!$A$62,$AF$205^A62,IF(A62='Données projet'!$A$62,'Données projet'!$B$62,AI61+AH62-AQ61)))</f>
        <v>190.79999999999995</v>
      </c>
      <c r="AJ62" s="14">
        <f>AI62*VLOOKUP('Données projet'!$B$10,Paramètres!$A$1:$I$89,3,0)*VLOOKUP('Données projet'!$B$10,Paramètres!$A$1:$I$89,5,0)</f>
        <v>166.68287999999998</v>
      </c>
      <c r="AK62" s="14">
        <f t="shared" si="35"/>
        <v>42.346249176975</v>
      </c>
      <c r="AL62" s="22">
        <f t="shared" si="4"/>
        <v>364.05906664989806</v>
      </c>
      <c r="AM62" s="62">
        <f t="shared" si="5"/>
        <v>657.39239998323137</v>
      </c>
      <c r="AN62" s="62">
        <f ca="1">AVERAGE(OFFSET($AM$3,0,0,'Données projet'!$E$10+1,1))-AVERAGE(OFFSET($H$3,0,0,'Données projet'!$E$10+1,1))</f>
        <v>274.66236526869056</v>
      </c>
      <c r="AO62" s="62">
        <f t="shared" si="36"/>
        <v>256.90876395053073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230.58360000000002</v>
      </c>
      <c r="BF62" s="14">
        <f t="shared" si="37"/>
        <v>56.408850878327968</v>
      </c>
      <c r="BG62" s="22">
        <f t="shared" si="7"/>
        <v>499.8451852797545</v>
      </c>
      <c r="BH62" s="62">
        <f t="shared" si="8"/>
        <v>793.17851861308782</v>
      </c>
      <c r="BI62" s="62">
        <f ca="1">AVERAGE(OFFSET($BH$3,0,0,'Données projet'!$E$11+1,1))-AVERAGE(OFFSET($H$3,0,0,'Données projet'!$E$11+1,1))</f>
        <v>475.47920969424894</v>
      </c>
      <c r="BJ62" s="62">
        <f t="shared" si="38"/>
        <v>271.73544012419364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5.2564102564102599</v>
      </c>
      <c r="BY62" s="13">
        <f>IF('Données projet'!$A$114&gt;35,BY61+BX62-CG61,IF(A62&lt;'Données projet'!$A$114,$BV$205^A62,IF(A62='Données projet'!$A$114,'Données projet'!$B$114,BY61+BX62-CG61)))</f>
        <v>212.05128205128187</v>
      </c>
      <c r="BZ62" s="14">
        <f>BY62*VLOOKUP('Données projet'!$B$12,Paramètres!$A$1:$I$89,3,0)*VLOOKUP('Données projet'!$B$12,Paramètres!$A$1:$I$89,5,0)</f>
        <v>221.63599999999983</v>
      </c>
      <c r="CA62" s="14">
        <f t="shared" si="39"/>
        <v>54.470308769415098</v>
      </c>
      <c r="CB62" s="22">
        <f t="shared" si="10"/>
        <v>480.8851544400643</v>
      </c>
      <c r="CC62" s="62">
        <f t="shared" si="11"/>
        <v>774.21848777339756</v>
      </c>
      <c r="CD62" s="62">
        <f ca="1">AVERAGE(OFFSET($CC$3,0,0,'Données projet'!$E$12+1,1))-AVERAGE(OFFSET($H$3,0,0,'Données projet'!$E$12+1,1))</f>
        <v>490.26236605482961</v>
      </c>
      <c r="CE62" s="62">
        <f t="shared" si="40"/>
        <v>283.40133947156238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183.99999999999994</v>
      </c>
      <c r="CU62" s="18">
        <f>CT62*VLOOKUP('Données projet'!$B$13,Paramètres!$A$1:$I$89,3,0)*VLOOKUP('Données projet'!$B$13,Paramètres!$A$1:$I$89,5,0)</f>
        <v>160.74239999999998</v>
      </c>
      <c r="CV62" s="14">
        <f t="shared" si="41"/>
        <v>41.009920657227809</v>
      </c>
      <c r="CW62" s="22">
        <f t="shared" si="13"/>
        <v>351.38529181133839</v>
      </c>
      <c r="CX62" s="62">
        <f t="shared" si="14"/>
        <v>644.71862514467171</v>
      </c>
      <c r="CY62" s="62">
        <f ca="1">AVERAGE(OFFSET($CX$3,0,0,'Données projet'!$E$13+1,1))-AVERAGE(OFFSET($H$3,0,0,'Données projet'!$E$13+1,1))</f>
        <v>315.3516976788701</v>
      </c>
      <c r="CZ62" s="62">
        <f t="shared" si="42"/>
        <v>266.32508105927997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244.77335999999997</v>
      </c>
      <c r="EL62" s="14">
        <f t="shared" si="45"/>
        <v>59.465362039582196</v>
      </c>
      <c r="EM62" s="22">
        <f t="shared" si="19"/>
        <v>529.88244088560566</v>
      </c>
      <c r="EN62" s="62">
        <f t="shared" si="20"/>
        <v>823.21577421893903</v>
      </c>
      <c r="EO62" s="62">
        <f ca="1">AVERAGE(OFFSET($EN$3,0,0,'Données projet'!$E$15+1,1))-AVERAGE(OFFSET($H$3,0,0,'Données projet'!$E$15+1,1))</f>
        <v>502.07782026233912</v>
      </c>
      <c r="EP62" s="62">
        <f t="shared" si="46"/>
        <v>285.83623046025156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4.4871794871794863</v>
      </c>
      <c r="FE62" s="13">
        <f>IF('Données projet'!$A$218&gt;35,FE61+FD62-FM61,IF(A62&lt;'Données projet'!$A$218,$FB$205^A62,IF(A62='Données projet'!$A$218,'Données projet'!$B$218,FE61+FD62-FM61)))</f>
        <v>178.8461538461537</v>
      </c>
      <c r="FF62" s="18">
        <f>FE62*VLOOKUP('Données projet'!$B$16,Paramètres!$A$1:$I$89,3,0)*VLOOKUP('Données projet'!$B$16,Paramètres!$A$1:$I$89,5,0)</f>
        <v>170.18999999999986</v>
      </c>
      <c r="FG62" s="14">
        <f t="shared" si="47"/>
        <v>43.132574497998021</v>
      </c>
      <c r="FH62" s="22">
        <f t="shared" si="22"/>
        <v>371.53681725067963</v>
      </c>
      <c r="FI62" s="62">
        <f t="shared" si="23"/>
        <v>664.87015058401289</v>
      </c>
      <c r="FJ62" s="62">
        <f ca="1">AVERAGE(OFFSET($FI$3,0,0,'Données projet'!$E$16+1,1))-AVERAGE(OFFSET($H$3,0,0,'Données projet'!$E$16+1,1))</f>
        <v>365.5904647357433</v>
      </c>
      <c r="FK62" s="62">
        <f t="shared" si="48"/>
        <v>256.56280810580841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7.4</v>
      </c>
      <c r="FZ62" s="13">
        <f>IF('Données projet'!$A$244&gt;35,FZ61+FY62-GH61,IF(A62&lt;'Données projet'!$A$244,$FW$205^A62,IF(A62='Données projet'!$A$244,'Données projet'!$B$244,FZ61+FY62-GH61)))</f>
        <v>295.59999999999991</v>
      </c>
      <c r="GA62" s="18">
        <f>FZ62*VLOOKUP('Données projet'!$B$17,Paramètres!$A$1:$I$89,3,0)*VLOOKUP('Données projet'!$B$17,Paramètres!$A$1:$I$89,5,0)</f>
        <v>239.79071999999994</v>
      </c>
      <c r="GB62" s="14">
        <f t="shared" si="49"/>
        <v>58.394500584818381</v>
      </c>
      <c r="GC62" s="22">
        <f t="shared" si="25"/>
        <v>519.33925918522516</v>
      </c>
      <c r="GD62" s="62">
        <f t="shared" si="26"/>
        <v>812.67259251855853</v>
      </c>
      <c r="GE62" s="62">
        <f ca="1">AVERAGE(OFFSET($GD$3,0,0,'Données projet'!$E$17+1,1))-AVERAGE(OFFSET($H$3,0,0,'Données projet'!$E$17+1,1))</f>
        <v>256.19915261735281</v>
      </c>
      <c r="GF62" s="62">
        <f t="shared" si="50"/>
        <v>297.47246687305056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11.076923076923084</v>
      </c>
      <c r="GU62" s="13">
        <f>IF('Données projet'!$A$270&gt;35,GU61+GT62-HC61,IF(A62&lt;'Données projet'!$A$270,$GR$205^A62,IF(A62='Données projet'!$A$270,'Données projet'!$B$270,GU61+GT62-HC61)))</f>
        <v>306.96153846153851</v>
      </c>
      <c r="GV62" s="18">
        <f>GU62*VLOOKUP('Données projet'!$B$18,Paramètres!$A$1:$I$89,3,0)*VLOOKUP('Données projet'!$B$18,Paramètres!$A$1:$I$89,5,0)</f>
        <v>143.65800000000002</v>
      </c>
      <c r="GW62" s="14">
        <f t="shared" si="51"/>
        <v>37.133739822996013</v>
      </c>
      <c r="GX62" s="22">
        <f t="shared" si="28"/>
        <v>314.87894685838472</v>
      </c>
      <c r="GY62" s="62">
        <f t="shared" si="29"/>
        <v>608.21228019171804</v>
      </c>
      <c r="GZ62" s="62">
        <f ca="1">AVERAGE(OFFSET($GY$3,0,0,'Données projet'!$E$18+1,1))-AVERAGE(OFFSET($H$3,0,0,'Données projet'!$E$18+1,1))</f>
        <v>284.704043530756</v>
      </c>
      <c r="HA62" s="62">
        <f t="shared" si="52"/>
        <v>190.4880882944471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2">
        <f t="shared" si="0"/>
        <v>755.11439815081053</v>
      </c>
      <c r="S63" s="62">
        <f ca="1">AVERAGE(OFFSET($R$3,0,0,'Données projet'!$E$9+1,1))-AVERAGE(OFFSET($H$3,0,0,'Données projet'!$E$9+1,1))</f>
        <v>428.8489304403459</v>
      </c>
      <c r="T63" s="62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195</v>
      </c>
      <c r="AG63" s="13">
        <f>VLOOKUP(A63,'Données projet'!$A$61:$I$81,9,0)</f>
        <v>4.2</v>
      </c>
      <c r="AH63" s="13">
        <f t="array" ref="AH63">INDEX(AG:AG,MIN(IF(ISNUMBER(AG63:AG259),ROW(AG63:AG259),"")))</f>
        <v>4.2</v>
      </c>
      <c r="AI63" s="14">
        <f>IF('Données projet'!$A$62&gt;35,AI62+AH63-AQ62,IF(A63&lt;'Données projet'!$A$62,$AF$205^A63,IF(A63='Données projet'!$A$62,'Données projet'!$B$62,AI62+AH63-AQ62)))</f>
        <v>194.99999999999994</v>
      </c>
      <c r="AJ63" s="14">
        <f>AI63*VLOOKUP('Données projet'!$B$10,Paramètres!$A$1:$I$89,3,0)*VLOOKUP('Données projet'!$B$10,Paramètres!$A$1:$I$89,5,0)</f>
        <v>170.35199999999998</v>
      </c>
      <c r="AK63" s="14">
        <f t="shared" si="35"/>
        <v>43.168850382694451</v>
      </c>
      <c r="AL63" s="22">
        <f t="shared" si="4"/>
        <v>371.88214774985937</v>
      </c>
      <c r="AM63" s="62">
        <f t="shared" si="5"/>
        <v>665.21548108319269</v>
      </c>
      <c r="AN63" s="62">
        <f ca="1">AVERAGE(OFFSET($AM$3,0,0,'Données projet'!$E$10+1,1))-AVERAGE(OFFSET($H$3,0,0,'Données projet'!$E$10+1,1))</f>
        <v>274.66236526869056</v>
      </c>
      <c r="AO63" s="62">
        <f t="shared" si="36"/>
        <v>256.90876395053073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238.29000000000002</v>
      </c>
      <c r="BF63" s="14">
        <f t="shared" si="37"/>
        <v>58.071462681001513</v>
      </c>
      <c r="BG63" s="22">
        <f t="shared" si="7"/>
        <v>516.16288083607753</v>
      </c>
      <c r="BH63" s="62">
        <f t="shared" si="8"/>
        <v>809.49621416941091</v>
      </c>
      <c r="BI63" s="62">
        <f ca="1">AVERAGE(OFFSET($BH$3,0,0,'Données projet'!$E$11+1,1))-AVERAGE(OFFSET($H$3,0,0,'Données projet'!$E$11+1,1))</f>
        <v>475.47920969424894</v>
      </c>
      <c r="BJ63" s="62">
        <f t="shared" si="38"/>
        <v>271.73544012419364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221.15384615384616</v>
      </c>
      <c r="BW63" s="13">
        <f>VLOOKUP(A63,'Données projet'!$A$113:$I$133,9,0)</f>
        <v>5.2564102564102599</v>
      </c>
      <c r="BX63" s="13">
        <f t="array" ref="BX63">INDEX(BW:BW,MIN(IF(ISNUMBER(BW63:BW259),ROW(BW63:BW259),"")))</f>
        <v>5.2564102564102599</v>
      </c>
      <c r="BY63" s="13">
        <f>IF('Données projet'!$A$114&gt;35,BY62+BX63-CG62,IF(A63&lt;'Données projet'!$A$114,$BV$205^A63,IF(A63='Données projet'!$A$114,'Données projet'!$B$114,BY62+BX63-CG62)))</f>
        <v>217.30769230769212</v>
      </c>
      <c r="BZ63" s="14">
        <f>BY63*VLOOKUP('Données projet'!$B$12,Paramètres!$A$1:$I$89,3,0)*VLOOKUP('Données projet'!$B$12,Paramètres!$A$1:$I$89,5,0)</f>
        <v>227.12999999999982</v>
      </c>
      <c r="CA63" s="14">
        <f t="shared" si="39"/>
        <v>55.661667650813428</v>
      </c>
      <c r="CB63" s="22">
        <f t="shared" si="10"/>
        <v>492.52882115849974</v>
      </c>
      <c r="CC63" s="62">
        <f t="shared" si="11"/>
        <v>785.86215449183305</v>
      </c>
      <c r="CD63" s="62">
        <f ca="1">AVERAGE(OFFSET($CC$3,0,0,'Données projet'!$E$12+1,1))-AVERAGE(OFFSET($H$3,0,0,'Données projet'!$E$12+1,1))</f>
        <v>490.26236605482961</v>
      </c>
      <c r="CE63" s="62">
        <f t="shared" si="40"/>
        <v>283.40133947156238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189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188.99999999999994</v>
      </c>
      <c r="CU63" s="18">
        <f>CT63*VLOOKUP('Données projet'!$B$13,Paramètres!$A$1:$I$89,3,0)*VLOOKUP('Données projet'!$B$13,Paramètres!$A$1:$I$89,5,0)</f>
        <v>165.11039999999997</v>
      </c>
      <c r="CV63" s="14">
        <f t="shared" si="41"/>
        <v>41.993062739333446</v>
      </c>
      <c r="CW63" s="22">
        <f t="shared" si="13"/>
        <v>360.70519760433905</v>
      </c>
      <c r="CX63" s="62">
        <f t="shared" si="14"/>
        <v>654.03853093767236</v>
      </c>
      <c r="CY63" s="62">
        <f ca="1">AVERAGE(OFFSET($CX$3,0,0,'Données projet'!$E$13+1,1))-AVERAGE(OFFSET($H$3,0,0,'Données projet'!$E$13+1,1))</f>
        <v>315.3516976788701</v>
      </c>
      <c r="CZ63" s="62">
        <f t="shared" si="42"/>
        <v>266.32508105927997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252.95399999999998</v>
      </c>
      <c r="EL63" s="14">
        <f t="shared" si="45"/>
        <v>61.218062391350081</v>
      </c>
      <c r="EM63" s="22">
        <f t="shared" si="19"/>
        <v>547.18300866493462</v>
      </c>
      <c r="EN63" s="62">
        <f t="shared" si="20"/>
        <v>840.51634199826799</v>
      </c>
      <c r="EO63" s="62">
        <f ca="1">AVERAGE(OFFSET($EN$3,0,0,'Données projet'!$E$15+1,1))-AVERAGE(OFFSET($H$3,0,0,'Données projet'!$E$15+1,1))</f>
        <v>502.07782026233912</v>
      </c>
      <c r="EP63" s="62">
        <f t="shared" si="46"/>
        <v>285.83623046025156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183.33333333333331</v>
      </c>
      <c r="FC63" s="13">
        <f>VLOOKUP(A63,'Données projet'!$A$217:$I$237,9,0)</f>
        <v>4.4871794871794863</v>
      </c>
      <c r="FD63" s="13">
        <f t="array" ref="FD63">INDEX(FC:FC,MIN(IF(ISNUMBER(FC63:FC259),ROW(FC63:FC259),"")))</f>
        <v>4.4871794871794863</v>
      </c>
      <c r="FE63" s="13">
        <f>IF('Données projet'!$A$218&gt;35,FE62+FD63-FM62,IF(A63&lt;'Données projet'!$A$218,$FB$205^A63,IF(A63='Données projet'!$A$218,'Données projet'!$B$218,FE62+FD63-FM62)))</f>
        <v>183.33333333333317</v>
      </c>
      <c r="FF63" s="18">
        <f>FE63*VLOOKUP('Données projet'!$B$16,Paramètres!$A$1:$I$89,3,0)*VLOOKUP('Données projet'!$B$16,Paramètres!$A$1:$I$89,5,0)</f>
        <v>174.45999999999984</v>
      </c>
      <c r="FG63" s="14">
        <f t="shared" si="47"/>
        <v>44.087404705973029</v>
      </c>
      <c r="FH63" s="22">
        <f t="shared" si="22"/>
        <v>380.63672986290277</v>
      </c>
      <c r="FI63" s="62">
        <f t="shared" si="23"/>
        <v>673.97006319623608</v>
      </c>
      <c r="FJ63" s="62">
        <f ca="1">AVERAGE(OFFSET($FI$3,0,0,'Données projet'!$E$16+1,1))-AVERAGE(OFFSET($H$3,0,0,'Données projet'!$E$16+1,1))</f>
        <v>365.5904647357433</v>
      </c>
      <c r="FK63" s="62">
        <f t="shared" si="48"/>
        <v>256.56280810580841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303</v>
      </c>
      <c r="FX63" s="13">
        <f>VLOOKUP(A63,'Données projet'!$A$243:$I$263,9,0)</f>
        <v>7.4</v>
      </c>
      <c r="FY63" s="13">
        <f t="array" ref="FY63">INDEX(FX:FX,MIN(IF(ISNUMBER(FX63:FX259),ROW(FX63:FX259),"")))</f>
        <v>7.4</v>
      </c>
      <c r="FZ63" s="13">
        <f>IF('Données projet'!$A$244&gt;35,FZ62+FY63-GH62,IF(A63&lt;'Données projet'!$A$244,$FW$205^A63,IF(A63='Données projet'!$A$244,'Données projet'!$B$244,FZ62+FY63-GH62)))</f>
        <v>302.99999999999989</v>
      </c>
      <c r="GA63" s="18">
        <f>FZ63*VLOOKUP('Données projet'!$B$17,Paramètres!$A$1:$I$89,3,0)*VLOOKUP('Données projet'!$B$17,Paramètres!$A$1:$I$89,5,0)</f>
        <v>245.79359999999991</v>
      </c>
      <c r="GB63" s="14">
        <f t="shared" si="49"/>
        <v>59.684315982017168</v>
      </c>
      <c r="GC63" s="22">
        <f t="shared" si="25"/>
        <v>532.04070366867973</v>
      </c>
      <c r="GD63" s="62">
        <f t="shared" si="26"/>
        <v>825.37403700201298</v>
      </c>
      <c r="GE63" s="62">
        <f ca="1">AVERAGE(OFFSET($GD$3,0,0,'Données projet'!$E$17+1,1))-AVERAGE(OFFSET($H$3,0,0,'Données projet'!$E$17+1,1))</f>
        <v>256.19915261735281</v>
      </c>
      <c r="GF63" s="62">
        <f t="shared" si="50"/>
        <v>297.47246687305056</v>
      </c>
      <c r="GG63" s="16">
        <f>IF(ISNA(VLOOKUP(A63,'Données projet'!$A$243:$I$263,3,0)),0,VLOOKUP(A63,'Données projet'!$A$243:$I$263,3,0))</f>
        <v>3</v>
      </c>
      <c r="GH63" s="16">
        <f>IF(ISNA(VLOOKUP(A63,'Données projet'!$A$243:$I$263,4,0)),0,VLOOKUP(A63,'Données projet'!$A$243:$I$263,4,0))</f>
        <v>303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11.076923076923084</v>
      </c>
      <c r="GU63" s="13">
        <f>IF('Données projet'!$A$270&gt;35,GU62+GT63-HC62,IF(A63&lt;'Données projet'!$A$270,$GR$205^A63,IF(A63='Données projet'!$A$270,'Données projet'!$B$270,GU62+GT63-HC62)))</f>
        <v>318.0384615384616</v>
      </c>
      <c r="GV63" s="18">
        <f>GU63*VLOOKUP('Données projet'!$B$18,Paramètres!$A$1:$I$89,3,0)*VLOOKUP('Données projet'!$B$18,Paramètres!$A$1:$I$89,5,0)</f>
        <v>148.84200000000004</v>
      </c>
      <c r="GW63" s="14">
        <f t="shared" si="51"/>
        <v>38.315307385764029</v>
      </c>
      <c r="GX63" s="22">
        <f t="shared" si="28"/>
        <v>325.96564369687235</v>
      </c>
      <c r="GY63" s="62">
        <f t="shared" si="29"/>
        <v>619.29897703020561</v>
      </c>
      <c r="GZ63" s="62">
        <f ca="1">AVERAGE(OFFSET($GY$3,0,0,'Données projet'!$E$18+1,1))-AVERAGE(OFFSET($H$3,0,0,'Données projet'!$E$18+1,1))</f>
        <v>284.704043530756</v>
      </c>
      <c r="HA63" s="62">
        <f t="shared" si="52"/>
        <v>190.4880882944471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428.8489304403459</v>
      </c>
      <c r="T64" s="62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3.2</v>
      </c>
      <c r="AI64" s="14">
        <f>IF('Données projet'!$A$62&gt;35,AI63+AH64-AQ63,IF(A64&lt;'Données projet'!$A$62,$AF$205^A64,IF(A64='Données projet'!$A$62,'Données projet'!$B$62,AI63+AH64-AQ63)))</f>
        <v>198.19999999999993</v>
      </c>
      <c r="AJ64" s="14">
        <f>AI64*VLOOKUP('Données projet'!$B$10,Paramètres!$A$1:$I$89,3,0)*VLOOKUP('Données projet'!$B$10,Paramètres!$A$1:$I$89,5,0)</f>
        <v>173.14751999999996</v>
      </c>
      <c r="AK64" s="14">
        <f t="shared" si="35"/>
        <v>43.794208927254033</v>
      </c>
      <c r="AL64" s="22">
        <f t="shared" si="4"/>
        <v>377.84017788163402</v>
      </c>
      <c r="AM64" s="62">
        <f t="shared" si="5"/>
        <v>671.17351121496733</v>
      </c>
      <c r="AN64" s="62">
        <f ca="1">AVERAGE(OFFSET($AM$3,0,0,'Données projet'!$E$10+1,1))-AVERAGE(OFFSET($H$3,0,0,'Données projet'!$E$10+1,1))</f>
        <v>274.66236526869056</v>
      </c>
      <c r="AO64" s="62">
        <f t="shared" si="36"/>
        <v>256.90876395053073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2">
        <f t="shared" si="8"/>
        <v>734.68267195239741</v>
      </c>
      <c r="BI64" s="62">
        <f ca="1">AVERAGE(OFFSET($BH$3,0,0,'Données projet'!$E$11+1,1))-AVERAGE(OFFSET($H$3,0,0,'Données projet'!$E$11+1,1))</f>
        <v>475.47920969424894</v>
      </c>
      <c r="BJ64" s="62">
        <f t="shared" si="38"/>
        <v>271.73544012419364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4.9999999999999947</v>
      </c>
      <c r="BY64" s="13">
        <f>IF('Données projet'!$A$114&gt;35,BY63+BX64-CG63,IF(A64&lt;'Données projet'!$A$114,$BV$205^A64,IF(A64='Données projet'!$A$114,'Données projet'!$B$114,BY63+BX64-CG63)))</f>
        <v>222.30769230769212</v>
      </c>
      <c r="BZ64" s="14">
        <f>BY64*VLOOKUP('Données projet'!$B$12,Paramètres!$A$1:$I$89,3,0)*VLOOKUP('Données projet'!$B$12,Paramètres!$A$1:$I$89,5,0)</f>
        <v>232.35599999999982</v>
      </c>
      <c r="CA64" s="14">
        <f t="shared" si="39"/>
        <v>56.791801263387164</v>
      </c>
      <c r="CB64" s="22">
        <f t="shared" si="10"/>
        <v>503.59908720039897</v>
      </c>
      <c r="CC64" s="62">
        <f t="shared" si="11"/>
        <v>796.93242053373228</v>
      </c>
      <c r="CD64" s="62">
        <f ca="1">AVERAGE(OFFSET($CC$3,0,0,'Données projet'!$E$12+1,1))-AVERAGE(OFFSET($H$3,0,0,'Données projet'!$E$12+1,1))</f>
        <v>490.26236605482961</v>
      </c>
      <c r="CE64" s="62">
        <f t="shared" si="40"/>
        <v>283.40133947156238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4.4000000000000004</v>
      </c>
      <c r="CT64" s="13">
        <f>IF('Données projet'!$A$140&gt;35,CT63+CS64-DB63,IF(A64&lt;'Données projet'!$A$140,$CQ$205^A64,IF(A64='Données projet'!$A$140,'Données projet'!$B$140,CT63+CS64-DB63)))</f>
        <v>193.39999999999995</v>
      </c>
      <c r="CU64" s="18">
        <f>CT64*VLOOKUP('Données projet'!$B$13,Paramètres!$A$1:$I$89,3,0)*VLOOKUP('Données projet'!$B$13,Paramètres!$A$1:$I$89,5,0)</f>
        <v>168.95424</v>
      </c>
      <c r="CV64" s="14">
        <f t="shared" si="41"/>
        <v>42.855724087026708</v>
      </c>
      <c r="CW64" s="22">
        <f t="shared" si="13"/>
        <v>368.90235411823818</v>
      </c>
      <c r="CX64" s="62">
        <f t="shared" si="14"/>
        <v>662.23568745157149</v>
      </c>
      <c r="CY64" s="62">
        <f ca="1">AVERAGE(OFFSET($CX$3,0,0,'Données projet'!$E$13+1,1))-AVERAGE(OFFSET($H$3,0,0,'Données projet'!$E$13+1,1))</f>
        <v>315.3516976788701</v>
      </c>
      <c r="CZ64" s="62">
        <f t="shared" si="42"/>
        <v>266.32508105927997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215.49527999999992</v>
      </c>
      <c r="EL64" s="14">
        <f t="shared" si="45"/>
        <v>53.134631326269272</v>
      </c>
      <c r="EM64" s="22">
        <f t="shared" si="19"/>
        <v>467.86376222658549</v>
      </c>
      <c r="EN64" s="62">
        <f t="shared" si="20"/>
        <v>761.19709555991881</v>
      </c>
      <c r="EO64" s="62">
        <f ca="1">AVERAGE(OFFSET($EN$3,0,0,'Données projet'!$E$15+1,1))-AVERAGE(OFFSET($H$3,0,0,'Données projet'!$E$15+1,1))</f>
        <v>502.07782026233912</v>
      </c>
      <c r="EP64" s="62">
        <f t="shared" si="46"/>
        <v>285.83623046025156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</v>
      </c>
      <c r="FE64" s="13">
        <f>IF('Données projet'!$A$218&gt;35,FE63+FD64-FM63,IF(A64&lt;'Données projet'!$A$218,$FB$205^A64,IF(A64='Données projet'!$A$218,'Données projet'!$B$218,FE63+FD64-FM63)))</f>
        <v>188.33333333333317</v>
      </c>
      <c r="FF64" s="18">
        <f>FE64*VLOOKUP('Données projet'!$B$16,Paramètres!$A$1:$I$89,3,0)*VLOOKUP('Données projet'!$B$16,Paramètres!$A$1:$I$89,5,0)</f>
        <v>179.21799999999985</v>
      </c>
      <c r="FG64" s="14">
        <f t="shared" si="47"/>
        <v>45.148161512362442</v>
      </c>
      <c r="FH64" s="22">
        <f t="shared" si="22"/>
        <v>390.77106463403101</v>
      </c>
      <c r="FI64" s="62">
        <f t="shared" si="23"/>
        <v>684.10439796736432</v>
      </c>
      <c r="FJ64" s="62">
        <f ca="1">AVERAGE(OFFSET($FI$3,0,0,'Données projet'!$E$16+1,1))-AVERAGE(OFFSET($H$3,0,0,'Données projet'!$E$16+1,1))</f>
        <v>365.5904647357433</v>
      </c>
      <c r="FK64" s="62">
        <f t="shared" si="48"/>
        <v>256.56280810580841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-1.1368683772161603E-13</v>
      </c>
      <c r="GA64" s="18">
        <f>FZ64*VLOOKUP('Données projet'!$B$17,Paramètres!$A$1:$I$89,3,0)*VLOOKUP('Données projet'!$B$17,Paramètres!$A$1:$I$89,5,0)</f>
        <v>-9.2222762759774927E-14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256.19915261735281</v>
      </c>
      <c r="GF64" s="62">
        <f t="shared" si="50"/>
        <v>297.47246687305056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>
        <f>VLOOKUP(A64,'Données projet'!$A$269:$I$289,2,0)</f>
        <v>329.11538461538464</v>
      </c>
      <c r="GS64" s="13">
        <f>VLOOKUP(A64,'Données projet'!$A$269:$I$289,9,0)</f>
        <v>11.076923076923084</v>
      </c>
      <c r="GT64" s="13">
        <f t="array" ref="GT64">INDEX(GS:GS,MIN(IF(ISNUMBER(GS64:GS260),ROW(GS64:GS260),"")))</f>
        <v>11.076923076923084</v>
      </c>
      <c r="GU64" s="13">
        <f>IF('Données projet'!$A$270&gt;35,GU63+GT64-HC63,IF(A64&lt;'Données projet'!$A$270,$GR$205^A64,IF(A64='Données projet'!$A$270,'Données projet'!$B$270,GU63+GT64-HC63)))</f>
        <v>329.1153846153847</v>
      </c>
      <c r="GV64" s="18">
        <f>GU64*VLOOKUP('Données projet'!$B$18,Paramètres!$A$1:$I$89,3,0)*VLOOKUP('Données projet'!$B$18,Paramètres!$A$1:$I$89,5,0)</f>
        <v>154.02600000000004</v>
      </c>
      <c r="GW64" s="14">
        <f t="shared" si="51"/>
        <v>39.492093452898274</v>
      </c>
      <c r="GX64" s="22">
        <f t="shared" si="28"/>
        <v>337.04401276379787</v>
      </c>
      <c r="GY64" s="62">
        <f t="shared" si="29"/>
        <v>630.37734609713118</v>
      </c>
      <c r="GZ64" s="62">
        <f ca="1">AVERAGE(OFFSET($GY$3,0,0,'Données projet'!$E$18+1,1))-AVERAGE(OFFSET($H$3,0,0,'Données projet'!$E$18+1,1))</f>
        <v>284.704043530756</v>
      </c>
      <c r="HA64" s="62">
        <f t="shared" si="52"/>
        <v>190.4880882944471</v>
      </c>
      <c r="HB64" s="16">
        <f>IF(ISNA(VLOOKUP(A64,'Données projet'!$A$269:$I$289,3,0)),0,VLOOKUP(A64,'Données projet'!$A$269:$I$289,3,0))</f>
        <v>2</v>
      </c>
      <c r="HC64" s="16">
        <f>IF(ISNA(VLOOKUP(A64,'Données projet'!$A$269:$I$289,4,0)),0,VLOOKUP(A64,'Données projet'!$A$269:$I$289,4,0))</f>
        <v>94.76153846153845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428.8489304403459</v>
      </c>
      <c r="T65" s="62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3.2</v>
      </c>
      <c r="AI65" s="14">
        <f>IF('Données projet'!$A$62&gt;35,AI64+AH65-AQ64,IF(A65&lt;'Données projet'!$A$62,$AF$205^A65,IF(A65='Données projet'!$A$62,'Données projet'!$B$62,AI64+AH65-AQ64)))</f>
        <v>201.39999999999992</v>
      </c>
      <c r="AJ65" s="14">
        <f>AI65*VLOOKUP('Données projet'!$B$10,Paramètres!$A$1:$I$89,3,0)*VLOOKUP('Données projet'!$B$10,Paramètres!$A$1:$I$89,5,0)</f>
        <v>175.94303999999994</v>
      </c>
      <c r="AK65" s="14">
        <f t="shared" si="35"/>
        <v>44.418393276556458</v>
      </c>
      <c r="AL65" s="22">
        <f t="shared" si="4"/>
        <v>383.79616295666898</v>
      </c>
      <c r="AM65" s="62">
        <f t="shared" si="5"/>
        <v>677.12949629000229</v>
      </c>
      <c r="AN65" s="62">
        <f ca="1">AVERAGE(OFFSET($AM$3,0,0,'Données projet'!$E$10+1,1))-AVERAGE(OFFSET($H$3,0,0,'Données projet'!$E$10+1,1))</f>
        <v>274.66236526869056</v>
      </c>
      <c r="AO65" s="62">
        <f t="shared" si="36"/>
        <v>256.90876395053073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2">
        <f t="shared" si="8"/>
        <v>750.18212158935489</v>
      </c>
      <c r="BI65" s="62">
        <f ca="1">AVERAGE(OFFSET($BH$3,0,0,'Données projet'!$E$11+1,1))-AVERAGE(OFFSET($H$3,0,0,'Données projet'!$E$11+1,1))</f>
        <v>475.47920969424894</v>
      </c>
      <c r="BJ65" s="62">
        <f t="shared" si="38"/>
        <v>271.73544012419364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4.9999999999999947</v>
      </c>
      <c r="BY65" s="13">
        <f>IF('Données projet'!$A$114&gt;35,BY64+BX65-CG64,IF(A65&lt;'Données projet'!$A$114,$BV$205^A65,IF(A65='Données projet'!$A$114,'Données projet'!$B$114,BY64+BX65-CG64)))</f>
        <v>227.30769230769212</v>
      </c>
      <c r="BZ65" s="14">
        <f>BY65*VLOOKUP('Données projet'!$B$12,Paramètres!$A$1:$I$89,3,0)*VLOOKUP('Données projet'!$B$12,Paramètres!$A$1:$I$89,5,0)</f>
        <v>237.58199999999985</v>
      </c>
      <c r="CA65" s="14">
        <f t="shared" si="39"/>
        <v>57.918979800180793</v>
      </c>
      <c r="CB65" s="22">
        <f t="shared" si="10"/>
        <v>514.66420648531459</v>
      </c>
      <c r="CC65" s="62">
        <f t="shared" si="11"/>
        <v>807.99753981864797</v>
      </c>
      <c r="CD65" s="62">
        <f ca="1">AVERAGE(OFFSET($CC$3,0,0,'Données projet'!$E$12+1,1))-AVERAGE(OFFSET($H$3,0,0,'Données projet'!$E$12+1,1))</f>
        <v>490.26236605482961</v>
      </c>
      <c r="CE65" s="62">
        <f t="shared" si="40"/>
        <v>283.40133947156238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4.4000000000000004</v>
      </c>
      <c r="CT65" s="13">
        <f>IF('Données projet'!$A$140&gt;35,CT64+CS65-DB64,IF(A65&lt;'Données projet'!$A$140,$CQ$205^A65,IF(A65='Données projet'!$A$140,'Données projet'!$B$140,CT64+CS65-DB64)))</f>
        <v>197.79999999999995</v>
      </c>
      <c r="CU65" s="18">
        <f>CT65*VLOOKUP('Données projet'!$B$13,Paramètres!$A$1:$I$89,3,0)*VLOOKUP('Données projet'!$B$13,Paramètres!$A$1:$I$89,5,0)</f>
        <v>172.79808</v>
      </c>
      <c r="CV65" s="14">
        <f t="shared" si="41"/>
        <v>43.716103757502424</v>
      </c>
      <c r="CW65" s="22">
        <f t="shared" si="13"/>
        <v>377.09553671098337</v>
      </c>
      <c r="CX65" s="62">
        <f t="shared" si="14"/>
        <v>670.42887004431668</v>
      </c>
      <c r="CY65" s="62">
        <f ca="1">AVERAGE(OFFSET($CX$3,0,0,'Données projet'!$E$13+1,1))-AVERAGE(OFFSET($H$3,0,0,'Données projet'!$E$13+1,1))</f>
        <v>315.3516976788701</v>
      </c>
      <c r="CZ65" s="62">
        <f t="shared" si="42"/>
        <v>266.32508105927997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223.24535999999995</v>
      </c>
      <c r="EL65" s="14">
        <f t="shared" si="45"/>
        <v>54.819646394591118</v>
      </c>
      <c r="EM65" s="22">
        <f t="shared" si="19"/>
        <v>484.29655280391279</v>
      </c>
      <c r="EN65" s="62">
        <f t="shared" si="20"/>
        <v>777.6298861372461</v>
      </c>
      <c r="EO65" s="62">
        <f ca="1">AVERAGE(OFFSET($EN$3,0,0,'Données projet'!$E$15+1,1))-AVERAGE(OFFSET($H$3,0,0,'Données projet'!$E$15+1,1))</f>
        <v>502.07782026233912</v>
      </c>
      <c r="EP65" s="62">
        <f t="shared" si="46"/>
        <v>285.83623046025156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</v>
      </c>
      <c r="FE65" s="13">
        <f>IF('Données projet'!$A$218&gt;35,FE64+FD65-FM64,IF(A65&lt;'Données projet'!$A$218,$FB$205^A65,IF(A65='Données projet'!$A$218,'Données projet'!$B$218,FE64+FD65-FM64)))</f>
        <v>193.33333333333317</v>
      </c>
      <c r="FF65" s="18">
        <f>FE65*VLOOKUP('Données projet'!$B$16,Paramètres!$A$1:$I$89,3,0)*VLOOKUP('Données projet'!$B$16,Paramètres!$A$1:$I$89,5,0)</f>
        <v>183.97599999999986</v>
      </c>
      <c r="FG65" s="14">
        <f t="shared" si="47"/>
        <v>46.205644952016648</v>
      </c>
      <c r="FH65" s="22">
        <f t="shared" si="22"/>
        <v>400.89969829142871</v>
      </c>
      <c r="FI65" s="62">
        <f t="shared" si="23"/>
        <v>694.23303162476202</v>
      </c>
      <c r="FJ65" s="62">
        <f ca="1">AVERAGE(OFFSET($FI$3,0,0,'Données projet'!$E$16+1,1))-AVERAGE(OFFSET($H$3,0,0,'Données projet'!$E$16+1,1))</f>
        <v>365.5904647357433</v>
      </c>
      <c r="FK65" s="62">
        <f t="shared" si="48"/>
        <v>256.56280810580841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-1.1368683772161603E-13</v>
      </c>
      <c r="GA65" s="18">
        <f>FZ65*VLOOKUP('Données projet'!$B$17,Paramètres!$A$1:$I$89,3,0)*VLOOKUP('Données projet'!$B$17,Paramètres!$A$1:$I$89,5,0)</f>
        <v>-9.2222762759774927E-14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256.19915261735281</v>
      </c>
      <c r="GF65" s="62">
        <f t="shared" si="50"/>
        <v>297.47246687305056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10.171794871794864</v>
      </c>
      <c r="GU65" s="13">
        <f>IF('Données projet'!$A$270&gt;35,GU64+GT65-HC64,IF(A65&lt;'Données projet'!$A$270,$GR$205^A65,IF(A65='Données projet'!$A$270,'Données projet'!$B$270,GU64+GT65-HC64)))</f>
        <v>244.52564102564111</v>
      </c>
      <c r="GV65" s="18">
        <f>GU65*VLOOKUP('Données projet'!$B$18,Paramètres!$A$1:$I$89,3,0)*VLOOKUP('Données projet'!$B$18,Paramètres!$A$1:$I$89,5,0)</f>
        <v>114.43800000000003</v>
      </c>
      <c r="GW65" s="14">
        <f t="shared" si="51"/>
        <v>30.374192839349661</v>
      </c>
      <c r="GX65" s="22">
        <f t="shared" si="28"/>
        <v>252.21456919520065</v>
      </c>
      <c r="GY65" s="62">
        <f t="shared" si="29"/>
        <v>545.547902528534</v>
      </c>
      <c r="GZ65" s="62">
        <f ca="1">AVERAGE(OFFSET($GY$3,0,0,'Données projet'!$E$18+1,1))-AVERAGE(OFFSET($H$3,0,0,'Données projet'!$E$18+1,1))</f>
        <v>284.704043530756</v>
      </c>
      <c r="HA65" s="62">
        <f t="shared" si="52"/>
        <v>190.4880882944471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428.8489304403459</v>
      </c>
      <c r="T66" s="62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3.2</v>
      </c>
      <c r="AI66" s="14">
        <f>IF('Données projet'!$A$62&gt;35,AI65+AH66-AQ65,IF(A66&lt;'Données projet'!$A$62,$AF$205^A66,IF(A66='Données projet'!$A$62,'Données projet'!$B$62,AI65+AH66-AQ65)))</f>
        <v>204.59999999999991</v>
      </c>
      <c r="AJ66" s="14">
        <f>AI66*VLOOKUP('Données projet'!$B$10,Paramètres!$A$1:$I$89,3,0)*VLOOKUP('Données projet'!$B$10,Paramètres!$A$1:$I$89,5,0)</f>
        <v>178.73855999999995</v>
      </c>
      <c r="AK66" s="14">
        <f t="shared" si="35"/>
        <v>45.041424241265332</v>
      </c>
      <c r="AL66" s="22">
        <f t="shared" si="4"/>
        <v>389.75013922020366</v>
      </c>
      <c r="AM66" s="62">
        <f t="shared" si="5"/>
        <v>683.08347255353692</v>
      </c>
      <c r="AN66" s="62">
        <f ca="1">AVERAGE(OFFSET($AM$3,0,0,'Données projet'!$E$10+1,1))-AVERAGE(OFFSET($H$3,0,0,'Données projet'!$E$10+1,1))</f>
        <v>274.66236526869056</v>
      </c>
      <c r="AO66" s="62">
        <f t="shared" si="36"/>
        <v>256.90876395053073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2">
        <f t="shared" si="8"/>
        <v>765.67034215791341</v>
      </c>
      <c r="BI66" s="62">
        <f ca="1">AVERAGE(OFFSET($BH$3,0,0,'Données projet'!$E$11+1,1))-AVERAGE(OFFSET($H$3,0,0,'Données projet'!$E$11+1,1))</f>
        <v>475.47920969424894</v>
      </c>
      <c r="BJ66" s="62">
        <f t="shared" si="38"/>
        <v>271.73544012419364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4.9999999999999947</v>
      </c>
      <c r="BY66" s="13">
        <f>IF('Données projet'!$A$114&gt;35,BY65+BX66-CG65,IF(A66&lt;'Données projet'!$A$114,$BV$205^A66,IF(A66='Données projet'!$A$114,'Données projet'!$B$114,BY65+BX66-CG65)))</f>
        <v>232.30769230769212</v>
      </c>
      <c r="BZ66" s="14">
        <f>BY66*VLOOKUP('Données projet'!$B$12,Paramètres!$A$1:$I$89,3,0)*VLOOKUP('Données projet'!$B$12,Paramètres!$A$1:$I$89,5,0)</f>
        <v>242.80799999999985</v>
      </c>
      <c r="CA66" s="14">
        <f t="shared" si="39"/>
        <v>59.04327574804163</v>
      </c>
      <c r="CB66" s="22">
        <f t="shared" si="10"/>
        <v>525.72430526117216</v>
      </c>
      <c r="CC66" s="62">
        <f t="shared" si="11"/>
        <v>819.05763859450553</v>
      </c>
      <c r="CD66" s="62">
        <f ca="1">AVERAGE(OFFSET($CC$3,0,0,'Données projet'!$E$12+1,1))-AVERAGE(OFFSET($H$3,0,0,'Données projet'!$E$12+1,1))</f>
        <v>490.26236605482961</v>
      </c>
      <c r="CE66" s="62">
        <f t="shared" si="40"/>
        <v>283.40133947156238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4.4000000000000004</v>
      </c>
      <c r="CT66" s="13">
        <f>IF('Données projet'!$A$140&gt;35,CT65+CS66-DB65,IF(A66&lt;'Données projet'!$A$140,$CQ$205^A66,IF(A66='Données projet'!$A$140,'Données projet'!$B$140,CT65+CS66-DB65)))</f>
        <v>202.19999999999996</v>
      </c>
      <c r="CU66" s="18">
        <f>CT66*VLOOKUP('Données projet'!$B$13,Paramètres!$A$1:$I$89,3,0)*VLOOKUP('Données projet'!$B$13,Paramètres!$A$1:$I$89,5,0)</f>
        <v>176.64191999999997</v>
      </c>
      <c r="CV66" s="14">
        <f t="shared" si="41"/>
        <v>44.574258350008201</v>
      </c>
      <c r="CW66" s="22">
        <f t="shared" si="13"/>
        <v>385.28484395959754</v>
      </c>
      <c r="CX66" s="62">
        <f t="shared" si="14"/>
        <v>678.6181772929308</v>
      </c>
      <c r="CY66" s="62">
        <f ca="1">AVERAGE(OFFSET($CX$3,0,0,'Données projet'!$E$13+1,1))-AVERAGE(OFFSET($H$3,0,0,'Données projet'!$E$13+1,1))</f>
        <v>315.3516976788701</v>
      </c>
      <c r="CZ66" s="62">
        <f t="shared" si="42"/>
        <v>266.32508105927997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230.99543999999995</v>
      </c>
      <c r="EL66" s="14">
        <f t="shared" si="45"/>
        <v>56.497864803589785</v>
      </c>
      <c r="EM66" s="22">
        <f t="shared" si="19"/>
        <v>500.71750586625211</v>
      </c>
      <c r="EN66" s="62">
        <f t="shared" si="20"/>
        <v>794.05083919958543</v>
      </c>
      <c r="EO66" s="62">
        <f ca="1">AVERAGE(OFFSET($EN$3,0,0,'Données projet'!$E$15+1,1))-AVERAGE(OFFSET($H$3,0,0,'Données projet'!$E$15+1,1))</f>
        <v>502.07782026233912</v>
      </c>
      <c r="EP66" s="62">
        <f t="shared" si="46"/>
        <v>285.83623046025156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</v>
      </c>
      <c r="FE66" s="13">
        <f>IF('Données projet'!$A$218&gt;35,FE65+FD66-FM65,IF(A66&lt;'Données projet'!$A$218,$FB$205^A66,IF(A66='Données projet'!$A$218,'Données projet'!$B$218,FE65+FD66-FM65)))</f>
        <v>198.33333333333317</v>
      </c>
      <c r="FF66" s="18">
        <f>FE66*VLOOKUP('Données projet'!$B$16,Paramètres!$A$1:$I$89,3,0)*VLOOKUP('Données projet'!$B$16,Paramètres!$A$1:$I$89,5,0)</f>
        <v>188.73399999999987</v>
      </c>
      <c r="FG66" s="14">
        <f t="shared" si="47"/>
        <v>47.259949414118182</v>
      </c>
      <c r="FH66" s="22">
        <f t="shared" si="22"/>
        <v>411.02279522958889</v>
      </c>
      <c r="FI66" s="62">
        <f t="shared" si="23"/>
        <v>704.35612856292221</v>
      </c>
      <c r="FJ66" s="62">
        <f ca="1">AVERAGE(OFFSET($FI$3,0,0,'Données projet'!$E$16+1,1))-AVERAGE(OFFSET($H$3,0,0,'Données projet'!$E$16+1,1))</f>
        <v>365.5904647357433</v>
      </c>
      <c r="FK66" s="62">
        <f t="shared" si="48"/>
        <v>256.56280810580841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-1.1368683772161603E-13</v>
      </c>
      <c r="GA66" s="18">
        <f>FZ66*VLOOKUP('Données projet'!$B$17,Paramètres!$A$1:$I$89,3,0)*VLOOKUP('Données projet'!$B$17,Paramètres!$A$1:$I$89,5,0)</f>
        <v>-9.2222762759774927E-14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256.19915261735281</v>
      </c>
      <c r="GF66" s="62">
        <f t="shared" si="50"/>
        <v>297.47246687305056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10.171794871794864</v>
      </c>
      <c r="GU66" s="13">
        <f>IF('Données projet'!$A$270&gt;35,GU65+GT66-HC65,IF(A66&lt;'Données projet'!$A$270,$GR$205^A66,IF(A66='Données projet'!$A$270,'Données projet'!$B$270,GU65+GT66-HC65)))</f>
        <v>254.69743589743598</v>
      </c>
      <c r="GV66" s="18">
        <f>GU66*VLOOKUP('Données projet'!$B$18,Paramètres!$A$1:$I$89,3,0)*VLOOKUP('Données projet'!$B$18,Paramètres!$A$1:$I$89,5,0)</f>
        <v>119.19840000000003</v>
      </c>
      <c r="GW66" s="14">
        <f t="shared" si="51"/>
        <v>31.48796639098763</v>
      </c>
      <c r="GX66" s="22">
        <f t="shared" si="28"/>
        <v>262.44542146430354</v>
      </c>
      <c r="GY66" s="62">
        <f t="shared" si="29"/>
        <v>555.77875479763679</v>
      </c>
      <c r="GZ66" s="62">
        <f ca="1">AVERAGE(OFFSET($GY$3,0,0,'Données projet'!$E$18+1,1))-AVERAGE(OFFSET($H$3,0,0,'Données projet'!$E$18+1,1))</f>
        <v>284.704043530756</v>
      </c>
      <c r="HA66" s="62">
        <f t="shared" si="52"/>
        <v>190.4880882944471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428.8489304403459</v>
      </c>
      <c r="T67" s="62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3.2</v>
      </c>
      <c r="AI67" s="14">
        <f>IF('Données projet'!$A$62&gt;35,AI66+AH67-AQ66,IF(A67&lt;'Données projet'!$A$62,$AF$205^A67,IF(A67='Données projet'!$A$62,'Données projet'!$B$62,AI66+AH67-AQ66)))</f>
        <v>207.7999999999999</v>
      </c>
      <c r="AJ67" s="14">
        <f>AI67*VLOOKUP('Données projet'!$B$10,Paramètres!$A$1:$I$89,3,0)*VLOOKUP('Données projet'!$B$10,Paramètres!$A$1:$I$89,5,0)</f>
        <v>181.53407999999993</v>
      </c>
      <c r="AK67" s="14">
        <f t="shared" si="35"/>
        <v>45.663321943731859</v>
      </c>
      <c r="AL67" s="22">
        <f t="shared" si="4"/>
        <v>395.70214171866616</v>
      </c>
      <c r="AM67" s="62">
        <f t="shared" si="5"/>
        <v>689.03547505199947</v>
      </c>
      <c r="AN67" s="62">
        <f ca="1">AVERAGE(OFFSET($AM$3,0,0,'Données projet'!$E$10+1,1))-AVERAGE(OFFSET($H$3,0,0,'Données projet'!$E$10+1,1))</f>
        <v>274.66236526869056</v>
      </c>
      <c r="AO67" s="62">
        <f t="shared" si="36"/>
        <v>256.90876395053073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2">
        <f t="shared" si="8"/>
        <v>781.14775359505757</v>
      </c>
      <c r="BI67" s="62">
        <f ca="1">AVERAGE(OFFSET($BH$3,0,0,'Données projet'!$E$11+1,1))-AVERAGE(OFFSET($H$3,0,0,'Données projet'!$E$11+1,1))</f>
        <v>475.47920969424894</v>
      </c>
      <c r="BJ67" s="62">
        <f t="shared" si="38"/>
        <v>271.73544012419364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4.9999999999999947</v>
      </c>
      <c r="BY67" s="13">
        <f>IF('Données projet'!$A$114&gt;35,BY66+BX67-CG66,IF(A67&lt;'Données projet'!$A$114,$BV$205^A67,IF(A67='Données projet'!$A$114,'Données projet'!$B$114,BY66+BX67-CG66)))</f>
        <v>237.30769230769212</v>
      </c>
      <c r="BZ67" s="14">
        <f>BY67*VLOOKUP('Données projet'!$B$12,Paramètres!$A$1:$I$89,3,0)*VLOOKUP('Données projet'!$B$12,Paramètres!$A$1:$I$89,5,0)</f>
        <v>248.03399999999982</v>
      </c>
      <c r="CA67" s="14">
        <f t="shared" si="39"/>
        <v>60.164758295288593</v>
      </c>
      <c r="CB67" s="22">
        <f t="shared" si="10"/>
        <v>536.77950403096065</v>
      </c>
      <c r="CC67" s="62">
        <f t="shared" si="11"/>
        <v>830.11283736429391</v>
      </c>
      <c r="CD67" s="62">
        <f ca="1">AVERAGE(OFFSET($CC$3,0,0,'Données projet'!$E$12+1,1))-AVERAGE(OFFSET($H$3,0,0,'Données projet'!$E$12+1,1))</f>
        <v>490.26236605482961</v>
      </c>
      <c r="CE67" s="62">
        <f t="shared" si="40"/>
        <v>283.40133947156238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4.4000000000000004</v>
      </c>
      <c r="CT67" s="13">
        <f>IF('Données projet'!$A$140&gt;35,CT66+CS67-DB66,IF(A67&lt;'Données projet'!$A$140,$CQ$205^A67,IF(A67='Données projet'!$A$140,'Données projet'!$B$140,CT66+CS67-DB66)))</f>
        <v>206.59999999999997</v>
      </c>
      <c r="CU67" s="18">
        <f>CT67*VLOOKUP('Données projet'!$B$13,Paramètres!$A$1:$I$89,3,0)*VLOOKUP('Données projet'!$B$13,Paramètres!$A$1:$I$89,5,0)</f>
        <v>180.48576</v>
      </c>
      <c r="CV67" s="14">
        <f t="shared" si="41"/>
        <v>45.430241859839441</v>
      </c>
      <c r="CW67" s="22">
        <f t="shared" si="13"/>
        <v>393.47036990588703</v>
      </c>
      <c r="CX67" s="62">
        <f t="shared" si="14"/>
        <v>686.80370323922034</v>
      </c>
      <c r="CY67" s="62">
        <f ca="1">AVERAGE(OFFSET($CX$3,0,0,'Données projet'!$E$13+1,1))-AVERAGE(OFFSET($H$3,0,0,'Données projet'!$E$13+1,1))</f>
        <v>315.3516976788701</v>
      </c>
      <c r="CZ67" s="62">
        <f t="shared" si="42"/>
        <v>266.32508105927997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238.74551999999991</v>
      </c>
      <c r="EL67" s="14">
        <f t="shared" si="45"/>
        <v>58.169540730060781</v>
      </c>
      <c r="EM67" s="22">
        <f t="shared" si="19"/>
        <v>517.12706410485578</v>
      </c>
      <c r="EN67" s="62">
        <f t="shared" si="20"/>
        <v>810.46039743818915</v>
      </c>
      <c r="EO67" s="62">
        <f ca="1">AVERAGE(OFFSET($EN$3,0,0,'Données projet'!$E$15+1,1))-AVERAGE(OFFSET($H$3,0,0,'Données projet'!$E$15+1,1))</f>
        <v>502.07782026233912</v>
      </c>
      <c r="EP67" s="62">
        <f t="shared" si="46"/>
        <v>285.83623046025156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</v>
      </c>
      <c r="FE67" s="13">
        <f>IF('Données projet'!$A$218&gt;35,FE66+FD67-FM66,IF(A67&lt;'Données projet'!$A$218,$FB$205^A67,IF(A67='Données projet'!$A$218,'Données projet'!$B$218,FE66+FD67-FM66)))</f>
        <v>203.33333333333317</v>
      </c>
      <c r="FF67" s="18">
        <f>FE67*VLOOKUP('Données projet'!$B$16,Paramètres!$A$1:$I$89,3,0)*VLOOKUP('Données projet'!$B$16,Paramètres!$A$1:$I$89,5,0)</f>
        <v>193.49199999999985</v>
      </c>
      <c r="FG67" s="14">
        <f t="shared" si="47"/>
        <v>48.311164257525668</v>
      </c>
      <c r="FH67" s="22">
        <f t="shared" si="22"/>
        <v>421.14051108185691</v>
      </c>
      <c r="FI67" s="62">
        <f t="shared" si="23"/>
        <v>714.47384441519023</v>
      </c>
      <c r="FJ67" s="62">
        <f ca="1">AVERAGE(OFFSET($FI$3,0,0,'Données projet'!$E$16+1,1))-AVERAGE(OFFSET($H$3,0,0,'Données projet'!$E$16+1,1))</f>
        <v>365.5904647357433</v>
      </c>
      <c r="FK67" s="62">
        <f t="shared" si="48"/>
        <v>256.56280810580841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-1.1368683772161603E-13</v>
      </c>
      <c r="GA67" s="18">
        <f>FZ67*VLOOKUP('Données projet'!$B$17,Paramètres!$A$1:$I$89,3,0)*VLOOKUP('Données projet'!$B$17,Paramètres!$A$1:$I$89,5,0)</f>
        <v>-9.2222762759774927E-14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256.19915261735281</v>
      </c>
      <c r="GF67" s="62">
        <f t="shared" si="50"/>
        <v>297.47246687305056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10.171794871794864</v>
      </c>
      <c r="GU67" s="13">
        <f>IF('Données projet'!$A$270&gt;35,GU66+GT67-HC66,IF(A67&lt;'Données projet'!$A$270,$GR$205^A67,IF(A67='Données projet'!$A$270,'Données projet'!$B$270,GU66+GT67-HC66)))</f>
        <v>264.86923076923085</v>
      </c>
      <c r="GV67" s="18">
        <f>GU67*VLOOKUP('Données projet'!$B$18,Paramètres!$A$1:$I$89,3,0)*VLOOKUP('Données projet'!$B$18,Paramètres!$A$1:$I$89,5,0)</f>
        <v>123.95880000000004</v>
      </c>
      <c r="GW67" s="14">
        <f t="shared" si="51"/>
        <v>32.596572974307513</v>
      </c>
      <c r="GX67" s="22">
        <f t="shared" si="28"/>
        <v>272.66727459691896</v>
      </c>
      <c r="GY67" s="62">
        <f t="shared" si="29"/>
        <v>566.00060793025227</v>
      </c>
      <c r="GZ67" s="62">
        <f ca="1">AVERAGE(OFFSET($GY$3,0,0,'Données projet'!$E$18+1,1))-AVERAGE(OFFSET($H$3,0,0,'Données projet'!$E$18+1,1))</f>
        <v>284.704043530756</v>
      </c>
      <c r="HA67" s="62">
        <f t="shared" si="52"/>
        <v>190.4880882944471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428.8489304403459</v>
      </c>
      <c r="T68" s="62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211</v>
      </c>
      <c r="AG68" s="13">
        <f>VLOOKUP(A68,'Données projet'!$A$61:$I$81,9,0)</f>
        <v>3.2</v>
      </c>
      <c r="AH68" s="13">
        <f t="array" ref="AH68">INDEX(AG:AG,MIN(IF(ISNUMBER(AG68:AG264),ROW(AG68:AG264),"")))</f>
        <v>3.2</v>
      </c>
      <c r="AI68" s="14">
        <f>IF('Données projet'!$A$62&gt;35,AI67+AH68-AQ67,IF(A68&lt;'Données projet'!$A$62,$AF$205^A68,IF(A68='Données projet'!$A$62,'Données projet'!$B$62,AI67+AH68-AQ67)))</f>
        <v>210.99999999999989</v>
      </c>
      <c r="AJ68" s="14">
        <f>AI68*VLOOKUP('Données projet'!$B$10,Paramètres!$A$1:$I$89,3,0)*VLOOKUP('Données projet'!$B$10,Paramètres!$A$1:$I$89,5,0)</f>
        <v>184.32959999999994</v>
      </c>
      <c r="AK68" s="14">
        <f t="shared" si="35"/>
        <v>46.284105851003062</v>
      </c>
      <c r="AL68" s="22">
        <f t="shared" ref="AL68:AL131" si="58">(AJ68+AK68)*0.475*44/12</f>
        <v>401.65220435716355</v>
      </c>
      <c r="AM68" s="62">
        <f t="shared" ref="AM68:AM131" si="59">AL68+(AD68+AE68)*44/12</f>
        <v>694.98553769049681</v>
      </c>
      <c r="AN68" s="62">
        <f ca="1">AVERAGE(OFFSET($AM$3,0,0,'Données projet'!$E$10+1,1))-AVERAGE(OFFSET($H$3,0,0,'Données projet'!$E$10+1,1))</f>
        <v>274.66236526869056</v>
      </c>
      <c r="AO68" s="62">
        <f t="shared" si="36"/>
        <v>256.90876395053073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17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2">
        <f t="shared" ref="BH68:BH131" si="62">BG68+(AY68+AZ68)*44/12</f>
        <v>796.61474702637031</v>
      </c>
      <c r="BI68" s="62">
        <f ca="1">AVERAGE(OFFSET($BH$3,0,0,'Données projet'!$E$11+1,1))-AVERAGE(OFFSET($H$3,0,0,'Données projet'!$E$11+1,1))</f>
        <v>475.47920969424894</v>
      </c>
      <c r="BJ68" s="62">
        <f t="shared" si="38"/>
        <v>271.73544012419364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246.15384615384613</v>
      </c>
      <c r="BW68" s="13">
        <f>VLOOKUP(A68,'Données projet'!$A$113:$I$133,9,0)</f>
        <v>4.9999999999999947</v>
      </c>
      <c r="BX68" s="13">
        <f t="array" ref="BX68">INDEX(BW:BW,MIN(IF(ISNUMBER(BW68:BW264),ROW(BW68:BW264),"")))</f>
        <v>4.9999999999999947</v>
      </c>
      <c r="BY68" s="13">
        <f>IF('Données projet'!$A$114&gt;35,BY67+BX68-CG67,IF(A68&lt;'Données projet'!$A$114,$BV$205^A68,IF(A68='Données projet'!$A$114,'Données projet'!$B$114,BY67+BX68-CG67)))</f>
        <v>242.30769230769212</v>
      </c>
      <c r="BZ68" s="14">
        <f>BY68*VLOOKUP('Données projet'!$B$12,Paramètres!$A$1:$I$89,3,0)*VLOOKUP('Données projet'!$B$12,Paramètres!$A$1:$I$89,5,0)</f>
        <v>253.25999999999982</v>
      </c>
      <c r="CA68" s="14">
        <f t="shared" si="39"/>
        <v>61.283493548097844</v>
      </c>
      <c r="CB68" s="22">
        <f t="shared" ref="CB68:CB131" si="64">(BZ68+CA68)*0.475*44/12</f>
        <v>547.82991792960343</v>
      </c>
      <c r="CC68" s="62">
        <f t="shared" ref="CC68:CC131" si="65">CB68+(BT68+BU68)*44/12</f>
        <v>841.16325126293668</v>
      </c>
      <c r="CD68" s="62">
        <f ca="1">AVERAGE(OFFSET($CC$3,0,0,'Données projet'!$E$12+1,1))-AVERAGE(OFFSET($H$3,0,0,'Données projet'!$E$12+1,1))</f>
        <v>490.26236605482961</v>
      </c>
      <c r="CE68" s="62">
        <f t="shared" si="40"/>
        <v>283.40133947156238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23.717948717948715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211</v>
      </c>
      <c r="CR68" s="13">
        <f>VLOOKUP(A68,'Données projet'!$A$139:$I$159,9,0)</f>
        <v>4.4000000000000004</v>
      </c>
      <c r="CS68" s="13">
        <f t="array" ref="CS68">INDEX(CR:CR,MIN(IF(ISNUMBER(CR68:CR264),ROW(CR68:CR264),"")))</f>
        <v>4.4000000000000004</v>
      </c>
      <c r="CT68" s="13">
        <f>IF('Données projet'!$A$140&gt;35,CT67+CS68-DB67,IF(A68&lt;'Données projet'!$A$140,$CQ$205^A68,IF(A68='Données projet'!$A$140,'Données projet'!$B$140,CT67+CS68-DB67)))</f>
        <v>210.99999999999997</v>
      </c>
      <c r="CU68" s="18">
        <f>CT68*VLOOKUP('Données projet'!$B$13,Paramètres!$A$1:$I$89,3,0)*VLOOKUP('Données projet'!$B$13,Paramètres!$A$1:$I$89,5,0)</f>
        <v>184.3296</v>
      </c>
      <c r="CV68" s="14">
        <f t="shared" si="41"/>
        <v>46.284105851003062</v>
      </c>
      <c r="CW68" s="22">
        <f t="shared" ref="CW68:CW131" si="67">(CU68+CV68)*0.475*44/12</f>
        <v>401.65220435716361</v>
      </c>
      <c r="CX68" s="62">
        <f t="shared" ref="CX68:CX131" si="68">CW68+(CO68+CP68)*44/12</f>
        <v>694.98553769049693</v>
      </c>
      <c r="CY68" s="62">
        <f ca="1">AVERAGE(OFFSET($CX$3,0,0,'Données projet'!$E$13+1,1))-AVERAGE(OFFSET($H$3,0,0,'Données projet'!$E$13+1,1))</f>
        <v>315.3516976788701</v>
      </c>
      <c r="CZ68" s="62">
        <f t="shared" si="42"/>
        <v>266.32508105927997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31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246.49559999999991</v>
      </c>
      <c r="EL68" s="14">
        <f t="shared" si="45"/>
        <v>59.834910912017278</v>
      </c>
      <c r="EM68" s="22">
        <f t="shared" ref="EM68:EM131" si="73">(EK68+EL68)*0.475*44/12</f>
        <v>533.52563983842992</v>
      </c>
      <c r="EN68" s="62">
        <f t="shared" ref="EN68:EN131" si="74">EM68+(EE68+EF68)*44/12</f>
        <v>826.85897317176318</v>
      </c>
      <c r="EO68" s="62">
        <f ca="1">AVERAGE(OFFSET($EN$3,0,0,'Données projet'!$E$15+1,1))-AVERAGE(OFFSET($H$3,0,0,'Données projet'!$E$15+1,1))</f>
        <v>502.07782026233912</v>
      </c>
      <c r="EP68" s="62">
        <f t="shared" si="46"/>
        <v>285.83623046025156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208.33333333333331</v>
      </c>
      <c r="FC68" s="13">
        <f>VLOOKUP(A68,'Données projet'!$A$217:$I$237,9,0)</f>
        <v>5</v>
      </c>
      <c r="FD68" s="13">
        <f t="array" ref="FD68">INDEX(FC:FC,MIN(IF(ISNUMBER(FC68:FC264),ROW(FC68:FC264),"")))</f>
        <v>5</v>
      </c>
      <c r="FE68" s="13">
        <f>IF('Données projet'!$A$218&gt;35,FE67+FD68-FM67,IF(A68&lt;'Données projet'!$A$218,$FB$205^A68,IF(A68='Données projet'!$A$218,'Données projet'!$B$218,FE67+FD68-FM67)))</f>
        <v>208.33333333333317</v>
      </c>
      <c r="FF68" s="18">
        <f>FE68*VLOOKUP('Données projet'!$B$16,Paramètres!$A$1:$I$89,3,0)*VLOOKUP('Données projet'!$B$16,Paramètres!$A$1:$I$89,5,0)</f>
        <v>198.24999999999986</v>
      </c>
      <c r="FG68" s="14">
        <f t="shared" si="47"/>
        <v>49.359374195866835</v>
      </c>
      <c r="FH68" s="22">
        <f t="shared" ref="FH68:FH131" si="76">(FF68+FG68)*0.475*44/12</f>
        <v>431.25299339113445</v>
      </c>
      <c r="FI68" s="62">
        <f t="shared" ref="FI68:FI131" si="77">FH68+(EZ68+FA68)*44/12</f>
        <v>724.58632672446777</v>
      </c>
      <c r="FJ68" s="62">
        <f ca="1">AVERAGE(OFFSET($FI$3,0,0,'Données projet'!$E$16+1,1))-AVERAGE(OFFSET($H$3,0,0,'Données projet'!$E$16+1,1))</f>
        <v>365.5904647357433</v>
      </c>
      <c r="FK68" s="62">
        <f t="shared" si="48"/>
        <v>256.56280810580841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29.487179487179485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-1.1368683772161603E-13</v>
      </c>
      <c r="GA68" s="18">
        <f>FZ68*VLOOKUP('Données projet'!$B$17,Paramètres!$A$1:$I$89,3,0)*VLOOKUP('Données projet'!$B$17,Paramètres!$A$1:$I$89,5,0)</f>
        <v>-9.2222762759774927E-14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256.19915261735281</v>
      </c>
      <c r="GF68" s="62">
        <f t="shared" si="50"/>
        <v>297.47246687305056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10.171794871794864</v>
      </c>
      <c r="GU68" s="13">
        <f>IF('Données projet'!$A$270&gt;35,GU67+GT68-HC67,IF(A68&lt;'Données projet'!$A$270,$GR$205^A68,IF(A68='Données projet'!$A$270,'Données projet'!$B$270,GU67+GT68-HC67)))</f>
        <v>275.04102564102573</v>
      </c>
      <c r="GV68" s="18">
        <f>GU68*VLOOKUP('Données projet'!$B$18,Paramètres!$A$1:$I$89,3,0)*VLOOKUP('Données projet'!$B$18,Paramètres!$A$1:$I$89,5,0)</f>
        <v>128.71920000000006</v>
      </c>
      <c r="GW68" s="14">
        <f t="shared" si="51"/>
        <v>33.700233730079567</v>
      </c>
      <c r="GX68" s="22">
        <f t="shared" ref="GX68:GX131" si="82">(GV68+GW68)*0.475*44/12</f>
        <v>282.88051374655532</v>
      </c>
      <c r="GY68" s="62">
        <f t="shared" ref="GY68:GY131" si="83">GX68+(GP68+GQ68)*44/12</f>
        <v>576.21384707988864</v>
      </c>
      <c r="GZ68" s="62">
        <f ca="1">AVERAGE(OFFSET($GY$3,0,0,'Données projet'!$E$18+1,1))-AVERAGE(OFFSET($H$3,0,0,'Données projet'!$E$18+1,1))</f>
        <v>284.704043530756</v>
      </c>
      <c r="HA68" s="62">
        <f t="shared" si="52"/>
        <v>190.4880882944471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2">
        <f t="shared" si="55"/>
        <v>756.65012524226813</v>
      </c>
      <c r="S69" s="62">
        <f ca="1">AVERAGE(OFFSET($R$3,0,0,'Données projet'!$E$9+1,1))-AVERAGE(OFFSET($H$3,0,0,'Données projet'!$E$9+1,1))</f>
        <v>428.8489304403459</v>
      </c>
      <c r="T69" s="62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</v>
      </c>
      <c r="AI69" s="14">
        <f>IF('Données projet'!$A$62&gt;35,AI68+AH69-AQ68,IF(A69&lt;'Données projet'!$A$62,$AF$205^A69,IF(A69='Données projet'!$A$62,'Données projet'!$B$62,AI68+AH69-AQ68)))</f>
        <v>196.99999999999989</v>
      </c>
      <c r="AJ69" s="14">
        <f>AI69*VLOOKUP('Données projet'!$B$10,Paramètres!$A$1:$I$89,3,0)*VLOOKUP('Données projet'!$B$10,Paramètres!$A$1:$I$89,5,0)</f>
        <v>172.09919999999994</v>
      </c>
      <c r="AK69" s="14">
        <f t="shared" ref="AK69:AK132" si="89">EXP(-1.0587+0.8836*LN(AJ69)+0.284)</f>
        <v>43.559838214506954</v>
      </c>
      <c r="AL69" s="22">
        <f t="shared" si="58"/>
        <v>375.60615822359949</v>
      </c>
      <c r="AM69" s="62">
        <f t="shared" si="59"/>
        <v>668.93949155693281</v>
      </c>
      <c r="AN69" s="62">
        <f ca="1">AVERAGE(OFFSET($AM$3,0,0,'Données projet'!$E$10+1,1))-AVERAGE(OFFSET($H$3,0,0,'Données projet'!$E$10+1,1))</f>
        <v>274.66236526869056</v>
      </c>
      <c r="AO69" s="62">
        <f t="shared" ref="AO69:AO132" si="90">$AO$3</f>
        <v>256.90876395053073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239.10119999999995</v>
      </c>
      <c r="BF69" s="14">
        <f t="shared" ref="BF69:BF132" si="91">EXP(-1.0587+0.8836*LN(BE69)+0.284)</f>
        <v>58.246107075777331</v>
      </c>
      <c r="BG69" s="22">
        <f t="shared" si="61"/>
        <v>517.87989315697871</v>
      </c>
      <c r="BH69" s="62">
        <f t="shared" si="62"/>
        <v>811.21322649031208</v>
      </c>
      <c r="BI69" s="62">
        <f ca="1">AVERAGE(OFFSET($BH$3,0,0,'Données projet'!$E$11+1,1))-AVERAGE(OFFSET($H$3,0,0,'Données projet'!$E$11+1,1))</f>
        <v>475.47920969424894</v>
      </c>
      <c r="BJ69" s="62">
        <f t="shared" ref="BJ69:BJ132" si="92">$BJ$3</f>
        <v>271.73544012419364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4.8717948717948785</v>
      </c>
      <c r="BY69" s="13">
        <f>IF('Données projet'!$A$114&gt;35,BY68+BX69-CG68,IF(A69&lt;'Données projet'!$A$114,$BV$205^A69,IF(A69='Données projet'!$A$114,'Données projet'!$B$114,BY68+BX69-CG68)))</f>
        <v>223.46153846153828</v>
      </c>
      <c r="BZ69" s="14">
        <f>BY69*VLOOKUP('Données projet'!$B$12,Paramètres!$A$1:$I$89,3,0)*VLOOKUP('Données projet'!$B$12,Paramètres!$A$1:$I$89,5,0)</f>
        <v>233.56199999999981</v>
      </c>
      <c r="CA69" s="14">
        <f t="shared" ref="CA69:CA132" si="93">EXP(-1.0587+0.8836*LN(BZ69)+0.284)</f>
        <v>57.052178977443717</v>
      </c>
      <c r="CB69" s="22">
        <f t="shared" si="64"/>
        <v>506.15302838571415</v>
      </c>
      <c r="CC69" s="62">
        <f t="shared" si="65"/>
        <v>799.48636171904741</v>
      </c>
      <c r="CD69" s="62">
        <f ca="1">AVERAGE(OFFSET($CC$3,0,0,'Données projet'!$E$12+1,1))-AVERAGE(OFFSET($H$3,0,0,'Données projet'!$E$12+1,1))</f>
        <v>490.26236605482961</v>
      </c>
      <c r="CE69" s="62">
        <f t="shared" ref="CE69:CE132" si="94">$CE$3</f>
        <v>283.40133947156238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4.2</v>
      </c>
      <c r="CT69" s="13">
        <f>IF('Données projet'!$A$140&gt;35,CT68+CS69-DB68,IF(A69&lt;'Données projet'!$A$140,$CQ$205^A69,IF(A69='Données projet'!$A$140,'Données projet'!$B$140,CT68+CS69-DB68)))</f>
        <v>184.19999999999996</v>
      </c>
      <c r="CU69" s="18">
        <f>CT69*VLOOKUP('Données projet'!$B$13,Paramètres!$A$1:$I$89,3,0)*VLOOKUP('Données projet'!$B$13,Paramètres!$A$1:$I$89,5,0)</f>
        <v>160.91711999999998</v>
      </c>
      <c r="CV69" s="14">
        <f t="shared" ref="CV69:CV132" si="95">EXP(-1.0587+0.8836*LN(CU69)+0.284)</f>
        <v>41.049305520788053</v>
      </c>
      <c r="CW69" s="22">
        <f t="shared" si="67"/>
        <v>351.75819111537254</v>
      </c>
      <c r="CX69" s="62">
        <f t="shared" si="68"/>
        <v>645.09152444870585</v>
      </c>
      <c r="CY69" s="62">
        <f ca="1">AVERAGE(OFFSET($CX$3,0,0,'Données projet'!$E$13+1,1))-AVERAGE(OFFSET($H$3,0,0,'Données projet'!$E$13+1,1))</f>
        <v>315.3516976788701</v>
      </c>
      <c r="CZ69" s="62">
        <f t="shared" ref="CZ69:CZ132" si="96">$CZ$3</f>
        <v>266.32508105927997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253.81511999999992</v>
      </c>
      <c r="EL69" s="14">
        <f t="shared" ref="EL69:EL132" si="99">EXP(-1.0587+0.8836*LN(EK69)+0.284)</f>
        <v>61.402169885153235</v>
      </c>
      <c r="EM69" s="22">
        <f t="shared" si="73"/>
        <v>549.00344654997514</v>
      </c>
      <c r="EN69" s="62">
        <f t="shared" si="74"/>
        <v>842.33677988330851</v>
      </c>
      <c r="EO69" s="62">
        <f ca="1">AVERAGE(OFFSET($EN$3,0,0,'Données projet'!$E$15+1,1))-AVERAGE(OFFSET($H$3,0,0,'Données projet'!$E$15+1,1))</f>
        <v>502.07782026233912</v>
      </c>
      <c r="EP69" s="62">
        <f t="shared" ref="EP69:EP132" si="100">$EP$3</f>
        <v>285.83623046025156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4.3589743589743595</v>
      </c>
      <c r="FE69" s="13">
        <f>IF('Données projet'!$A$218&gt;35,FE68+FD69-FM68,IF(A69&lt;'Données projet'!$A$218,$FB$205^A69,IF(A69='Données projet'!$A$218,'Données projet'!$B$218,FE68+FD69-FM68)))</f>
        <v>183.20512820512806</v>
      </c>
      <c r="FF69" s="18">
        <f>FE69*VLOOKUP('Données projet'!$B$16,Paramètres!$A$1:$I$89,3,0)*VLOOKUP('Données projet'!$B$16,Paramètres!$A$1:$I$89,5,0)</f>
        <v>174.33799999999988</v>
      </c>
      <c r="FG69" s="14">
        <f t="shared" ref="FG69:FG132" si="101">EXP(-1.0587+0.8836*LN(FF69)+0.284)</f>
        <v>44.060161897107363</v>
      </c>
      <c r="FH69" s="22">
        <f t="shared" si="76"/>
        <v>380.37679863746172</v>
      </c>
      <c r="FI69" s="62">
        <f t="shared" si="77"/>
        <v>673.71013197079503</v>
      </c>
      <c r="FJ69" s="62">
        <f ca="1">AVERAGE(OFFSET($FI$3,0,0,'Données projet'!$E$16+1,1))-AVERAGE(OFFSET($H$3,0,0,'Données projet'!$E$16+1,1))</f>
        <v>365.5904647357433</v>
      </c>
      <c r="FK69" s="62">
        <f t="shared" ref="FK69:FK132" si="102">$FK$3</f>
        <v>256.56280810580841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-1.1368683772161603E-13</v>
      </c>
      <c r="GA69" s="18">
        <f>FZ69*VLOOKUP('Données projet'!$B$17,Paramètres!$A$1:$I$89,3,0)*VLOOKUP('Données projet'!$B$17,Paramètres!$A$1:$I$89,5,0)</f>
        <v>-9.2222762759774927E-14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256.19915261735281</v>
      </c>
      <c r="GF69" s="62">
        <f t="shared" ref="GF69:GF132" si="104">$GF$3</f>
        <v>297.47246687305056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10.171794871794864</v>
      </c>
      <c r="GU69" s="13">
        <f>IF('Données projet'!$A$270&gt;35,GU68+GT69-HC68,IF(A69&lt;'Données projet'!$A$270,$GR$205^A69,IF(A69='Données projet'!$A$270,'Données projet'!$B$270,GU68+GT69-HC68)))</f>
        <v>285.2128205128206</v>
      </c>
      <c r="GV69" s="18">
        <f>GU69*VLOOKUP('Données projet'!$B$18,Paramètres!$A$1:$I$89,3,0)*VLOOKUP('Données projet'!$B$18,Paramètres!$A$1:$I$89,5,0)</f>
        <v>133.47960000000003</v>
      </c>
      <c r="GW69" s="14">
        <f t="shared" ref="GW69:GW132" si="105">EXP(-1.0587+0.8836*LN(GV69)+0.284)</f>
        <v>34.799152515460499</v>
      </c>
      <c r="GX69" s="22">
        <f t="shared" si="82"/>
        <v>293.08549396442709</v>
      </c>
      <c r="GY69" s="62">
        <f t="shared" si="83"/>
        <v>586.41882729776034</v>
      </c>
      <c r="GZ69" s="62">
        <f ca="1">AVERAGE(OFFSET($GY$3,0,0,'Données projet'!$E$18+1,1))-AVERAGE(OFFSET($H$3,0,0,'Données projet'!$E$18+1,1))</f>
        <v>284.704043530756</v>
      </c>
      <c r="HA69" s="62">
        <f t="shared" ref="HA69:HA132" si="106">$HA$3</f>
        <v>190.4880882944471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2">
        <f t="shared" si="55"/>
        <v>769.69946190259475</v>
      </c>
      <c r="S70" s="62">
        <f ca="1">AVERAGE(OFFSET($R$3,0,0,'Données projet'!$E$9+1,1))-AVERAGE(OFFSET($H$3,0,0,'Données projet'!$E$9+1,1))</f>
        <v>428.8489304403459</v>
      </c>
      <c r="T70" s="62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</v>
      </c>
      <c r="AI70" s="14">
        <f>IF('Données projet'!$A$62&gt;35,AI69+AH70-AQ69,IF(A70&lt;'Données projet'!$A$62,$AF$205^A70,IF(A70='Données projet'!$A$62,'Données projet'!$B$62,AI69+AH70-AQ69)))</f>
        <v>199.99999999999989</v>
      </c>
      <c r="AJ70" s="14">
        <f>AI70*VLOOKUP('Données projet'!$B$10,Paramètres!$A$1:$I$89,3,0)*VLOOKUP('Données projet'!$B$10,Paramètres!$A$1:$I$89,5,0)</f>
        <v>174.71999999999991</v>
      </c>
      <c r="AK70" s="14">
        <f t="shared" si="89"/>
        <v>44.145455754865203</v>
      </c>
      <c r="AL70" s="22">
        <f t="shared" si="58"/>
        <v>381.19066877305676</v>
      </c>
      <c r="AM70" s="62">
        <f t="shared" si="59"/>
        <v>674.52400210639007</v>
      </c>
      <c r="AN70" s="62">
        <f ca="1">AVERAGE(OFFSET($AM$3,0,0,'Données projet'!$E$10+1,1))-AVERAGE(OFFSET($H$3,0,0,'Données projet'!$E$10+1,1))</f>
        <v>274.66236526869056</v>
      </c>
      <c r="AO70" s="62">
        <f t="shared" si="90"/>
        <v>256.90876395053073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245.99639999999997</v>
      </c>
      <c r="BF70" s="14">
        <f t="shared" si="91"/>
        <v>59.72782632026442</v>
      </c>
      <c r="BG70" s="22">
        <f t="shared" si="61"/>
        <v>532.46969417446041</v>
      </c>
      <c r="BH70" s="62">
        <f t="shared" si="62"/>
        <v>825.80302750779379</v>
      </c>
      <c r="BI70" s="62">
        <f ca="1">AVERAGE(OFFSET($BH$3,0,0,'Données projet'!$E$11+1,1))-AVERAGE(OFFSET($H$3,0,0,'Données projet'!$E$11+1,1))</f>
        <v>475.47920969424894</v>
      </c>
      <c r="BJ70" s="62">
        <f t="shared" si="92"/>
        <v>271.73544012419364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4.8717948717948785</v>
      </c>
      <c r="BY70" s="13">
        <f>IF('Données projet'!$A$114&gt;35,BY69+BX70-CG69,IF(A70&lt;'Données projet'!$A$114,$BV$205^A70,IF(A70='Données projet'!$A$114,'Données projet'!$B$114,BY69+BX70-CG69)))</f>
        <v>228.33333333333317</v>
      </c>
      <c r="BZ70" s="14">
        <f>BY70*VLOOKUP('Données projet'!$B$12,Paramètres!$A$1:$I$89,3,0)*VLOOKUP('Données projet'!$B$12,Paramètres!$A$1:$I$89,5,0)</f>
        <v>238.65399999999985</v>
      </c>
      <c r="CA70" s="14">
        <f t="shared" si="93"/>
        <v>58.149837301068004</v>
      </c>
      <c r="CB70" s="22">
        <f t="shared" si="64"/>
        <v>516.93334996602653</v>
      </c>
      <c r="CC70" s="62">
        <f t="shared" si="65"/>
        <v>810.26668329935978</v>
      </c>
      <c r="CD70" s="62">
        <f ca="1">AVERAGE(OFFSET($CC$3,0,0,'Données projet'!$E$12+1,1))-AVERAGE(OFFSET($H$3,0,0,'Données projet'!$E$12+1,1))</f>
        <v>490.26236605482961</v>
      </c>
      <c r="CE70" s="62">
        <f t="shared" si="94"/>
        <v>283.40133947156238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4.2</v>
      </c>
      <c r="CT70" s="13">
        <f>IF('Données projet'!$A$140&gt;35,CT69+CS70-DB69,IF(A70&lt;'Données projet'!$A$140,$CQ$205^A70,IF(A70='Données projet'!$A$140,'Données projet'!$B$140,CT69+CS70-DB69)))</f>
        <v>188.39999999999995</v>
      </c>
      <c r="CU70" s="18">
        <f>CT70*VLOOKUP('Données projet'!$B$13,Paramètres!$A$1:$I$89,3,0)*VLOOKUP('Données projet'!$B$13,Paramètres!$A$1:$I$89,5,0)</f>
        <v>164.58623999999998</v>
      </c>
      <c r="CV70" s="14">
        <f t="shared" si="95"/>
        <v>41.875247075991844</v>
      </c>
      <c r="CW70" s="22">
        <f t="shared" si="67"/>
        <v>359.58708999068568</v>
      </c>
      <c r="CX70" s="62">
        <f t="shared" si="68"/>
        <v>652.920423324019</v>
      </c>
      <c r="CY70" s="62">
        <f ca="1">AVERAGE(OFFSET($CX$3,0,0,'Données projet'!$E$13+1,1))-AVERAGE(OFFSET($H$3,0,0,'Données projet'!$E$13+1,1))</f>
        <v>315.3516976788701</v>
      </c>
      <c r="CZ70" s="62">
        <f t="shared" si="96"/>
        <v>266.32508105927997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261.13463999999993</v>
      </c>
      <c r="EL70" s="14">
        <f t="shared" si="99"/>
        <v>62.964176023241265</v>
      </c>
      <c r="EM70" s="22">
        <f t="shared" si="73"/>
        <v>564.47210457381163</v>
      </c>
      <c r="EN70" s="62">
        <f t="shared" si="74"/>
        <v>857.80543790714501</v>
      </c>
      <c r="EO70" s="62">
        <f ca="1">AVERAGE(OFFSET($EN$3,0,0,'Données projet'!$E$15+1,1))-AVERAGE(OFFSET($H$3,0,0,'Données projet'!$E$15+1,1))</f>
        <v>502.07782026233912</v>
      </c>
      <c r="EP70" s="62">
        <f t="shared" si="100"/>
        <v>285.83623046025156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4.3589743589743595</v>
      </c>
      <c r="FE70" s="13">
        <f>IF('Données projet'!$A$218&gt;35,FE69+FD70-FM69,IF(A70&lt;'Données projet'!$A$218,$FB$205^A70,IF(A70='Données projet'!$A$218,'Données projet'!$B$218,FE69+FD70-FM69)))</f>
        <v>187.56410256410243</v>
      </c>
      <c r="FF70" s="18">
        <f>FE70*VLOOKUP('Données projet'!$B$16,Paramètres!$A$1:$I$89,3,0)*VLOOKUP('Données projet'!$B$16,Paramètres!$A$1:$I$89,5,0)</f>
        <v>178.48599999999988</v>
      </c>
      <c r="FG70" s="14">
        <f t="shared" si="101"/>
        <v>44.985183651187008</v>
      </c>
      <c r="FH70" s="22">
        <f t="shared" si="76"/>
        <v>389.21231152581714</v>
      </c>
      <c r="FI70" s="62">
        <f t="shared" si="77"/>
        <v>682.54564485915046</v>
      </c>
      <c r="FJ70" s="62">
        <f ca="1">AVERAGE(OFFSET($FI$3,0,0,'Données projet'!$E$16+1,1))-AVERAGE(OFFSET($H$3,0,0,'Données projet'!$E$16+1,1))</f>
        <v>365.5904647357433</v>
      </c>
      <c r="FK70" s="62">
        <f t="shared" si="102"/>
        <v>256.56280810580841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-1.1368683772161603E-13</v>
      </c>
      <c r="GA70" s="18">
        <f>FZ70*VLOOKUP('Données projet'!$B$17,Paramètres!$A$1:$I$89,3,0)*VLOOKUP('Données projet'!$B$17,Paramètres!$A$1:$I$89,5,0)</f>
        <v>-9.2222762759774927E-14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256.19915261735281</v>
      </c>
      <c r="GF70" s="62">
        <f t="shared" si="104"/>
        <v>297.47246687305056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>
        <f>VLOOKUP(A70,'Données projet'!$A$269:$I$289,2,0)</f>
        <v>295.38461538461536</v>
      </c>
      <c r="GS70" s="13">
        <f>VLOOKUP(A70,'Données projet'!$A$269:$I$289,9,0)</f>
        <v>10.171794871794864</v>
      </c>
      <c r="GT70" s="13">
        <f t="array" ref="GT70">INDEX(GS:GS,MIN(IF(ISNUMBER(GS70:GS266),ROW(GS70:GS266),"")))</f>
        <v>10.171794871794864</v>
      </c>
      <c r="GU70" s="13">
        <f>IF('Données projet'!$A$270&gt;35,GU69+GT70-HC69,IF(A70&lt;'Données projet'!$A$270,$GR$205^A70,IF(A70='Données projet'!$A$270,'Données projet'!$B$270,GU69+GT70-HC69)))</f>
        <v>295.38461538461547</v>
      </c>
      <c r="GV70" s="18">
        <f>GU70*VLOOKUP('Données projet'!$B$18,Paramètres!$A$1:$I$89,3,0)*VLOOKUP('Données projet'!$B$18,Paramètres!$A$1:$I$89,5,0)</f>
        <v>138.24000000000004</v>
      </c>
      <c r="GW70" s="14">
        <f t="shared" si="105"/>
        <v>35.893517822631601</v>
      </c>
      <c r="GX70" s="22">
        <f t="shared" si="82"/>
        <v>303.28254354108338</v>
      </c>
      <c r="GY70" s="62">
        <f t="shared" si="83"/>
        <v>596.6158768744167</v>
      </c>
      <c r="GZ70" s="62">
        <f ca="1">AVERAGE(OFFSET($GY$3,0,0,'Données projet'!$E$18+1,1))-AVERAGE(OFFSET($H$3,0,0,'Données projet'!$E$18+1,1))</f>
        <v>284.704043530756</v>
      </c>
      <c r="HA70" s="62">
        <f t="shared" si="106"/>
        <v>190.4880882944471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2">
        <f t="shared" si="55"/>
        <v>782.74119655001107</v>
      </c>
      <c r="S71" s="62">
        <f ca="1">AVERAGE(OFFSET($R$3,0,0,'Données projet'!$E$9+1,1))-AVERAGE(OFFSET($H$3,0,0,'Données projet'!$E$9+1,1))</f>
        <v>428.8489304403459</v>
      </c>
      <c r="T71" s="62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</v>
      </c>
      <c r="AI71" s="14">
        <f>IF('Données projet'!$A$62&gt;35,AI70+AH71-AQ70,IF(A71&lt;'Données projet'!$A$62,$AF$205^A71,IF(A71='Données projet'!$A$62,'Données projet'!$B$62,AI70+AH71-AQ70)))</f>
        <v>202.99999999999989</v>
      </c>
      <c r="AJ71" s="14">
        <f>AI71*VLOOKUP('Données projet'!$B$10,Paramètres!$A$1:$I$89,3,0)*VLOOKUP('Données projet'!$B$10,Paramètres!$A$1:$I$89,5,0)</f>
        <v>177.34079999999992</v>
      </c>
      <c r="AK71" s="14">
        <f t="shared" si="89"/>
        <v>44.73005165860306</v>
      </c>
      <c r="AL71" s="22">
        <f t="shared" si="58"/>
        <v>386.7733999720669</v>
      </c>
      <c r="AM71" s="62">
        <f t="shared" si="59"/>
        <v>680.10673330540021</v>
      </c>
      <c r="AN71" s="62">
        <f ca="1">AVERAGE(OFFSET($AM$3,0,0,'Données projet'!$E$10+1,1))-AVERAGE(OFFSET($H$3,0,0,'Données projet'!$E$10+1,1))</f>
        <v>274.66236526869056</v>
      </c>
      <c r="AO71" s="62">
        <f t="shared" si="90"/>
        <v>256.90876395053073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252.89159999999998</v>
      </c>
      <c r="BF71" s="14">
        <f t="shared" si="91"/>
        <v>61.204718436590312</v>
      </c>
      <c r="BG71" s="22">
        <f t="shared" si="61"/>
        <v>547.05108794372802</v>
      </c>
      <c r="BH71" s="62">
        <f t="shared" si="62"/>
        <v>840.38442127706139</v>
      </c>
      <c r="BI71" s="62">
        <f ca="1">AVERAGE(OFFSET($BH$3,0,0,'Données projet'!$E$11+1,1))-AVERAGE(OFFSET($H$3,0,0,'Données projet'!$E$11+1,1))</f>
        <v>475.47920969424894</v>
      </c>
      <c r="BJ71" s="62">
        <f t="shared" si="92"/>
        <v>271.73544012419364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4.8717948717948785</v>
      </c>
      <c r="BY71" s="13">
        <f>IF('Données projet'!$A$114&gt;35,BY70+BX71-CG70,IF(A71&lt;'Données projet'!$A$114,$BV$205^A71,IF(A71='Données projet'!$A$114,'Données projet'!$B$114,BY70+BX71-CG70)))</f>
        <v>233.20512820512806</v>
      </c>
      <c r="BZ71" s="14">
        <f>BY71*VLOOKUP('Données projet'!$B$12,Paramètres!$A$1:$I$89,3,0)*VLOOKUP('Données projet'!$B$12,Paramètres!$A$1:$I$89,5,0)</f>
        <v>243.7459999999999</v>
      </c>
      <c r="CA71" s="14">
        <f t="shared" si="93"/>
        <v>59.244772700945703</v>
      </c>
      <c r="CB71" s="22">
        <f t="shared" si="64"/>
        <v>527.70892912081365</v>
      </c>
      <c r="CC71" s="62">
        <f t="shared" si="65"/>
        <v>821.04226245414702</v>
      </c>
      <c r="CD71" s="62">
        <f ca="1">AVERAGE(OFFSET($CC$3,0,0,'Données projet'!$E$12+1,1))-AVERAGE(OFFSET($H$3,0,0,'Données projet'!$E$12+1,1))</f>
        <v>490.26236605482961</v>
      </c>
      <c r="CE71" s="62">
        <f t="shared" si="94"/>
        <v>283.40133947156238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4.2</v>
      </c>
      <c r="CT71" s="13">
        <f>IF('Données projet'!$A$140&gt;35,CT70+CS71-DB70,IF(A71&lt;'Données projet'!$A$140,$CQ$205^A71,IF(A71='Données projet'!$A$140,'Données projet'!$B$140,CT70+CS71-DB70)))</f>
        <v>192.59999999999994</v>
      </c>
      <c r="CU71" s="18">
        <f>CT71*VLOOKUP('Données projet'!$B$13,Paramètres!$A$1:$I$89,3,0)*VLOOKUP('Données projet'!$B$13,Paramètres!$A$1:$I$89,5,0)</f>
        <v>168.25535999999997</v>
      </c>
      <c r="CV71" s="14">
        <f t="shared" si="95"/>
        <v>42.699047982710887</v>
      </c>
      <c r="CW71" s="22">
        <f t="shared" si="67"/>
        <v>367.41226056988802</v>
      </c>
      <c r="CX71" s="62">
        <f t="shared" si="68"/>
        <v>660.74559390322133</v>
      </c>
      <c r="CY71" s="62">
        <f ca="1">AVERAGE(OFFSET($CX$3,0,0,'Données projet'!$E$13+1,1))-AVERAGE(OFFSET($H$3,0,0,'Données projet'!$E$13+1,1))</f>
        <v>315.3516976788701</v>
      </c>
      <c r="CZ71" s="62">
        <f t="shared" si="96"/>
        <v>266.32508105927997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268.45415999999994</v>
      </c>
      <c r="EL71" s="14">
        <f t="shared" si="99"/>
        <v>64.521093475436089</v>
      </c>
      <c r="EM71" s="22">
        <f t="shared" si="73"/>
        <v>579.93189980305101</v>
      </c>
      <c r="EN71" s="62">
        <f t="shared" si="74"/>
        <v>873.26523313638427</v>
      </c>
      <c r="EO71" s="62">
        <f ca="1">AVERAGE(OFFSET($EN$3,0,0,'Données projet'!$E$15+1,1))-AVERAGE(OFFSET($H$3,0,0,'Données projet'!$E$15+1,1))</f>
        <v>502.07782026233912</v>
      </c>
      <c r="EP71" s="62">
        <f t="shared" si="100"/>
        <v>285.83623046025156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4.3589743589743595</v>
      </c>
      <c r="FE71" s="13">
        <f>IF('Données projet'!$A$218&gt;35,FE70+FD71-FM70,IF(A71&lt;'Données projet'!$A$218,$FB$205^A71,IF(A71='Données projet'!$A$218,'Données projet'!$B$218,FE70+FD71-FM70)))</f>
        <v>191.92307692307679</v>
      </c>
      <c r="FF71" s="18">
        <f>FE71*VLOOKUP('Données projet'!$B$16,Paramètres!$A$1:$I$89,3,0)*VLOOKUP('Données projet'!$B$16,Paramètres!$A$1:$I$89,5,0)</f>
        <v>182.63399999999987</v>
      </c>
      <c r="FG71" s="14">
        <f t="shared" si="101"/>
        <v>45.907706248155456</v>
      </c>
      <c r="FH71" s="22">
        <f t="shared" si="76"/>
        <v>398.04347171553718</v>
      </c>
      <c r="FI71" s="62">
        <f t="shared" si="77"/>
        <v>691.37680504887044</v>
      </c>
      <c r="FJ71" s="62">
        <f ca="1">AVERAGE(OFFSET($FI$3,0,0,'Données projet'!$E$16+1,1))-AVERAGE(OFFSET($H$3,0,0,'Données projet'!$E$16+1,1))</f>
        <v>365.5904647357433</v>
      </c>
      <c r="FK71" s="62">
        <f t="shared" si="102"/>
        <v>256.56280810580841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-1.1368683772161603E-13</v>
      </c>
      <c r="GA71" s="18">
        <f>FZ71*VLOOKUP('Données projet'!$B$17,Paramètres!$A$1:$I$89,3,0)*VLOOKUP('Données projet'!$B$17,Paramètres!$A$1:$I$89,5,0)</f>
        <v>-9.2222762759774927E-14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256.19915261735281</v>
      </c>
      <c r="GF71" s="62">
        <f t="shared" si="104"/>
        <v>297.47246687305056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10.457692307692307</v>
      </c>
      <c r="GU71" s="13">
        <f>IF('Données projet'!$A$270&gt;35,GU70+GT71-HC70,IF(A71&lt;'Données projet'!$A$270,$GR$205^A71,IF(A71='Données projet'!$A$270,'Données projet'!$B$270,GU70+GT71-HC70)))</f>
        <v>305.84230769230777</v>
      </c>
      <c r="GV71" s="18">
        <f>GU71*VLOOKUP('Données projet'!$B$18,Paramètres!$A$1:$I$89,3,0)*VLOOKUP('Données projet'!$B$18,Paramètres!$A$1:$I$89,5,0)</f>
        <v>143.13420000000002</v>
      </c>
      <c r="GW71" s="14">
        <f t="shared" si="105"/>
        <v>37.014078899239095</v>
      </c>
      <c r="GX71" s="22">
        <f t="shared" si="82"/>
        <v>313.7582524161748</v>
      </c>
      <c r="GY71" s="62">
        <f t="shared" si="83"/>
        <v>607.09158574950811</v>
      </c>
      <c r="GZ71" s="62">
        <f ca="1">AVERAGE(OFFSET($GY$3,0,0,'Données projet'!$E$18+1,1))-AVERAGE(OFFSET($H$3,0,0,'Données projet'!$E$18+1,1))</f>
        <v>284.704043530756</v>
      </c>
      <c r="HA71" s="62">
        <f t="shared" si="106"/>
        <v>190.4880882944471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2">
        <f t="shared" si="55"/>
        <v>795.77556027438573</v>
      </c>
      <c r="S72" s="62">
        <f ca="1">AVERAGE(OFFSET($R$3,0,0,'Données projet'!$E$9+1,1))-AVERAGE(OFFSET($H$3,0,0,'Données projet'!$E$9+1,1))</f>
        <v>428.8489304403459</v>
      </c>
      <c r="T72" s="62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</v>
      </c>
      <c r="AI72" s="14">
        <f>IF('Données projet'!$A$62&gt;35,AI71+AH72-AQ71,IF(A72&lt;'Données projet'!$A$62,$AF$205^A72,IF(A72='Données projet'!$A$62,'Données projet'!$B$62,AI71+AH72-AQ71)))</f>
        <v>205.99999999999989</v>
      </c>
      <c r="AJ72" s="14">
        <f>AI72*VLOOKUP('Données projet'!$B$10,Paramètres!$A$1:$I$89,3,0)*VLOOKUP('Données projet'!$B$10,Paramètres!$A$1:$I$89,5,0)</f>
        <v>179.96159999999992</v>
      </c>
      <c r="AK72" s="14">
        <f t="shared" si="89"/>
        <v>45.313642767960104</v>
      </c>
      <c r="AL72" s="22">
        <f t="shared" si="58"/>
        <v>392.35438115419703</v>
      </c>
      <c r="AM72" s="62">
        <f t="shared" si="59"/>
        <v>685.68771448753034</v>
      </c>
      <c r="AN72" s="62">
        <f ca="1">AVERAGE(OFFSET($AM$3,0,0,'Données projet'!$E$10+1,1))-AVERAGE(OFFSET($H$3,0,0,'Données projet'!$E$10+1,1))</f>
        <v>274.66236526869056</v>
      </c>
      <c r="AO72" s="62">
        <f t="shared" si="90"/>
        <v>256.90876395053073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259.78679999999997</v>
      </c>
      <c r="BF72" s="14">
        <f t="shared" si="91"/>
        <v>62.676930162260739</v>
      </c>
      <c r="BG72" s="22">
        <f t="shared" si="61"/>
        <v>561.62433003260401</v>
      </c>
      <c r="BH72" s="62">
        <f t="shared" si="62"/>
        <v>854.95766336593738</v>
      </c>
      <c r="BI72" s="62">
        <f ca="1">AVERAGE(OFFSET($BH$3,0,0,'Données projet'!$E$11+1,1))-AVERAGE(OFFSET($H$3,0,0,'Données projet'!$E$11+1,1))</f>
        <v>475.47920969424894</v>
      </c>
      <c r="BJ72" s="62">
        <f t="shared" si="92"/>
        <v>271.73544012419364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4.8717948717948785</v>
      </c>
      <c r="BY72" s="13">
        <f>IF('Données projet'!$A$114&gt;35,BY71+BX72-CG71,IF(A72&lt;'Données projet'!$A$114,$BV$205^A72,IF(A72='Données projet'!$A$114,'Données projet'!$B$114,BY71+BX72-CG71)))</f>
        <v>238.07692307692295</v>
      </c>
      <c r="BZ72" s="14">
        <f>BY72*VLOOKUP('Données projet'!$B$12,Paramètres!$A$1:$I$89,3,0)*VLOOKUP('Données projet'!$B$12,Paramètres!$A$1:$I$89,5,0)</f>
        <v>248.83799999999988</v>
      </c>
      <c r="CA72" s="14">
        <f t="shared" si="93"/>
        <v>60.337048613993815</v>
      </c>
      <c r="CB72" s="22">
        <f t="shared" si="64"/>
        <v>538.47987633603896</v>
      </c>
      <c r="CC72" s="62">
        <f t="shared" si="65"/>
        <v>831.81320966937233</v>
      </c>
      <c r="CD72" s="62">
        <f ca="1">AVERAGE(OFFSET($CC$3,0,0,'Données projet'!$E$12+1,1))-AVERAGE(OFFSET($H$3,0,0,'Données projet'!$E$12+1,1))</f>
        <v>490.26236605482961</v>
      </c>
      <c r="CE72" s="62">
        <f t="shared" si="94"/>
        <v>283.40133947156238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4.2</v>
      </c>
      <c r="CT72" s="13">
        <f>IF('Données projet'!$A$140&gt;35,CT71+CS72-DB71,IF(A72&lt;'Données projet'!$A$140,$CQ$205^A72,IF(A72='Données projet'!$A$140,'Données projet'!$B$140,CT71+CS72-DB71)))</f>
        <v>196.79999999999993</v>
      </c>
      <c r="CU72" s="18">
        <f>CT72*VLOOKUP('Données projet'!$B$13,Paramètres!$A$1:$I$89,3,0)*VLOOKUP('Données projet'!$B$13,Paramètres!$A$1:$I$89,5,0)</f>
        <v>171.92447999999996</v>
      </c>
      <c r="CV72" s="14">
        <f t="shared" si="95"/>
        <v>43.520760297647755</v>
      </c>
      <c r="CW72" s="22">
        <f t="shared" si="67"/>
        <v>375.23379351840316</v>
      </c>
      <c r="CX72" s="62">
        <f t="shared" si="68"/>
        <v>668.56712685173648</v>
      </c>
      <c r="CY72" s="62">
        <f ca="1">AVERAGE(OFFSET($CX$3,0,0,'Données projet'!$E$13+1,1))-AVERAGE(OFFSET($H$3,0,0,'Données projet'!$E$13+1,1))</f>
        <v>315.3516976788701</v>
      </c>
      <c r="CZ72" s="62">
        <f t="shared" si="96"/>
        <v>266.32508105927997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275.7736799999999</v>
      </c>
      <c r="EL72" s="14">
        <f t="shared" si="99"/>
        <v>66.073076930208813</v>
      </c>
      <c r="EM72" s="22">
        <f t="shared" si="73"/>
        <v>595.38310165344672</v>
      </c>
      <c r="EN72" s="62">
        <f t="shared" si="74"/>
        <v>888.71643498678009</v>
      </c>
      <c r="EO72" s="62">
        <f ca="1">AVERAGE(OFFSET($EN$3,0,0,'Données projet'!$E$15+1,1))-AVERAGE(OFFSET($H$3,0,0,'Données projet'!$E$15+1,1))</f>
        <v>502.07782026233912</v>
      </c>
      <c r="EP72" s="62">
        <f t="shared" si="100"/>
        <v>285.83623046025156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4.3589743589743595</v>
      </c>
      <c r="FE72" s="13">
        <f>IF('Données projet'!$A$218&gt;35,FE71+FD72-FM71,IF(A72&lt;'Données projet'!$A$218,$FB$205^A72,IF(A72='Données projet'!$A$218,'Données projet'!$B$218,FE71+FD72-FM71)))</f>
        <v>196.28205128205116</v>
      </c>
      <c r="FF72" s="18">
        <f>FE72*VLOOKUP('Données projet'!$B$16,Paramètres!$A$1:$I$89,3,0)*VLOOKUP('Données projet'!$B$16,Paramètres!$A$1:$I$89,5,0)</f>
        <v>186.78199999999987</v>
      </c>
      <c r="FG72" s="14">
        <f t="shared" si="101"/>
        <v>46.827792983393998</v>
      </c>
      <c r="FH72" s="22">
        <f t="shared" si="76"/>
        <v>406.87038944607758</v>
      </c>
      <c r="FI72" s="62">
        <f t="shared" si="77"/>
        <v>700.2037227794109</v>
      </c>
      <c r="FJ72" s="62">
        <f ca="1">AVERAGE(OFFSET($FI$3,0,0,'Données projet'!$E$16+1,1))-AVERAGE(OFFSET($H$3,0,0,'Données projet'!$E$16+1,1))</f>
        <v>365.5904647357433</v>
      </c>
      <c r="FK72" s="62">
        <f t="shared" si="102"/>
        <v>256.56280810580841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-1.1368683772161603E-13</v>
      </c>
      <c r="GA72" s="18">
        <f>FZ72*VLOOKUP('Données projet'!$B$17,Paramètres!$A$1:$I$89,3,0)*VLOOKUP('Données projet'!$B$17,Paramètres!$A$1:$I$89,5,0)</f>
        <v>-9.2222762759774927E-14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256.19915261735281</v>
      </c>
      <c r="GF72" s="62">
        <f t="shared" si="104"/>
        <v>297.47246687305056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10.457692307692307</v>
      </c>
      <c r="GU72" s="13">
        <f>IF('Données projet'!$A$270&gt;35,GU71+GT72-HC71,IF(A72&lt;'Données projet'!$A$270,$GR$205^A72,IF(A72='Données projet'!$A$270,'Données projet'!$B$270,GU71+GT72-HC71)))</f>
        <v>316.30000000000007</v>
      </c>
      <c r="GV72" s="18">
        <f>GU72*VLOOKUP('Données projet'!$B$18,Paramètres!$A$1:$I$89,3,0)*VLOOKUP('Données projet'!$B$18,Paramètres!$A$1:$I$89,5,0)</f>
        <v>148.02840000000003</v>
      </c>
      <c r="GW72" s="14">
        <f t="shared" si="105"/>
        <v>38.130188005693356</v>
      </c>
      <c r="GX72" s="22">
        <f t="shared" si="82"/>
        <v>324.22620744324928</v>
      </c>
      <c r="GY72" s="62">
        <f t="shared" si="83"/>
        <v>617.55954077658259</v>
      </c>
      <c r="GZ72" s="62">
        <f ca="1">AVERAGE(OFFSET($GY$3,0,0,'Données projet'!$E$18+1,1))-AVERAGE(OFFSET($H$3,0,0,'Données projet'!$E$18+1,1))</f>
        <v>284.704043530756</v>
      </c>
      <c r="HA72" s="62">
        <f t="shared" si="106"/>
        <v>190.4880882944471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2">
        <f t="shared" si="55"/>
        <v>808.80277120001347</v>
      </c>
      <c r="S73" s="62">
        <f ca="1">AVERAGE(OFFSET($R$3,0,0,'Données projet'!$E$9+1,1))-AVERAGE(OFFSET($H$3,0,0,'Données projet'!$E$9+1,1))</f>
        <v>428.8489304403459</v>
      </c>
      <c r="T73" s="62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209</v>
      </c>
      <c r="AG73" s="13">
        <f>VLOOKUP(A73,'Données projet'!$A$61:$I$81,9,0)</f>
        <v>3</v>
      </c>
      <c r="AH73" s="13">
        <f t="array" ref="AH73">INDEX(AG:AG,MIN(IF(ISNUMBER(AG73:AG269),ROW(AG73:AG269),"")))</f>
        <v>3</v>
      </c>
      <c r="AI73" s="14">
        <f>IF('Données projet'!$A$62&gt;35,AI72+AH73-AQ72,IF(A73&lt;'Données projet'!$A$62,$AF$205^A73,IF(A73='Données projet'!$A$62,'Données projet'!$B$62,AI72+AH73-AQ72)))</f>
        <v>208.99999999999989</v>
      </c>
      <c r="AJ73" s="14">
        <f>AI73*VLOOKUP('Données projet'!$B$10,Paramètres!$A$1:$I$89,3,0)*VLOOKUP('Données projet'!$B$10,Paramètres!$A$1:$I$89,5,0)</f>
        <v>182.58239999999992</v>
      </c>
      <c r="AK73" s="14">
        <f t="shared" si="89"/>
        <v>45.896245406460245</v>
      </c>
      <c r="AL73" s="22">
        <f t="shared" si="58"/>
        <v>397.93364074958481</v>
      </c>
      <c r="AM73" s="62">
        <f t="shared" si="59"/>
        <v>691.26697408291807</v>
      </c>
      <c r="AN73" s="62">
        <f ca="1">AVERAGE(OFFSET($AM$3,0,0,'Données projet'!$E$10+1,1))-AVERAGE(OFFSET($H$3,0,0,'Données projet'!$E$10+1,1))</f>
        <v>274.66236526869056</v>
      </c>
      <c r="AO73" s="62">
        <f t="shared" si="90"/>
        <v>256.90876395053073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266.68199999999996</v>
      </c>
      <c r="BF73" s="14">
        <f t="shared" si="91"/>
        <v>64.144600001897771</v>
      </c>
      <c r="BG73" s="22">
        <f t="shared" si="61"/>
        <v>576.189661669972</v>
      </c>
      <c r="BH73" s="62">
        <f t="shared" si="62"/>
        <v>869.52299500330537</v>
      </c>
      <c r="BI73" s="62">
        <f ca="1">AVERAGE(OFFSET($BH$3,0,0,'Données projet'!$E$11+1,1))-AVERAGE(OFFSET($H$3,0,0,'Données projet'!$E$11+1,1))</f>
        <v>475.47920969424894</v>
      </c>
      <c r="BJ73" s="62">
        <f t="shared" si="92"/>
        <v>271.73544012419364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246.7948717948718</v>
      </c>
      <c r="BW73" s="13">
        <f>VLOOKUP(A73,'Données projet'!$A$113:$I$133,9,0)</f>
        <v>4.8717948717948785</v>
      </c>
      <c r="BX73" s="13">
        <f t="array" ref="BX73">INDEX(BW:BW,MIN(IF(ISNUMBER(BW73:BW269),ROW(BW73:BW269),"")))</f>
        <v>4.8717948717948785</v>
      </c>
      <c r="BY73" s="13">
        <f>IF('Données projet'!$A$114&gt;35,BY72+BX73-CG72,IF(A73&lt;'Données projet'!$A$114,$BV$205^A73,IF(A73='Données projet'!$A$114,'Données projet'!$B$114,BY72+BX73-CG72)))</f>
        <v>242.94871794871784</v>
      </c>
      <c r="BZ73" s="14">
        <f>BY73*VLOOKUP('Données projet'!$B$12,Paramètres!$A$1:$I$89,3,0)*VLOOKUP('Données projet'!$B$12,Paramètres!$A$1:$I$89,5,0)</f>
        <v>253.92999999999992</v>
      </c>
      <c r="CA73" s="14">
        <f t="shared" si="93"/>
        <v>61.426725732489594</v>
      </c>
      <c r="CB73" s="22">
        <f t="shared" si="64"/>
        <v>549.24629731741913</v>
      </c>
      <c r="CC73" s="62">
        <f t="shared" si="65"/>
        <v>842.57963065075251</v>
      </c>
      <c r="CD73" s="62">
        <f ca="1">AVERAGE(OFFSET($CC$3,0,0,'Données projet'!$E$12+1,1))-AVERAGE(OFFSET($H$3,0,0,'Données projet'!$E$12+1,1))</f>
        <v>490.26236605482961</v>
      </c>
      <c r="CE73" s="62">
        <f t="shared" si="94"/>
        <v>283.40133947156238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201</v>
      </c>
      <c r="CR73" s="13">
        <f>VLOOKUP(A73,'Données projet'!$A$139:$I$159,9,0)</f>
        <v>4.2</v>
      </c>
      <c r="CS73" s="13">
        <f t="array" ref="CS73">INDEX(CR:CR,MIN(IF(ISNUMBER(CR73:CR269),ROW(CR73:CR269),"")))</f>
        <v>4.2</v>
      </c>
      <c r="CT73" s="13">
        <f>IF('Données projet'!$A$140&gt;35,CT72+CS73-DB72,IF(A73&lt;'Données projet'!$A$140,$CQ$205^A73,IF(A73='Données projet'!$A$140,'Données projet'!$B$140,CT72+CS73-DB72)))</f>
        <v>200.99999999999991</v>
      </c>
      <c r="CU73" s="18">
        <f>CT73*VLOOKUP('Données projet'!$B$13,Paramètres!$A$1:$I$89,3,0)*VLOOKUP('Données projet'!$B$13,Paramètres!$A$1:$I$89,5,0)</f>
        <v>175.59359999999995</v>
      </c>
      <c r="CV73" s="14">
        <f t="shared" si="95"/>
        <v>44.340433728638573</v>
      </c>
      <c r="CW73" s="22">
        <f t="shared" si="67"/>
        <v>383.05177541071203</v>
      </c>
      <c r="CX73" s="62">
        <f t="shared" si="68"/>
        <v>676.38510874404528</v>
      </c>
      <c r="CY73" s="62">
        <f ca="1">AVERAGE(OFFSET($CX$3,0,0,'Données projet'!$E$13+1,1))-AVERAGE(OFFSET($H$3,0,0,'Données projet'!$E$13+1,1))</f>
        <v>315.3516976788701</v>
      </c>
      <c r="CZ73" s="62">
        <f t="shared" si="96"/>
        <v>266.32508105927997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283.09319999999991</v>
      </c>
      <c r="EL73" s="14">
        <f t="shared" si="99"/>
        <v>67.620272397048666</v>
      </c>
      <c r="EM73" s="22">
        <f t="shared" si="73"/>
        <v>610.82596442485954</v>
      </c>
      <c r="EN73" s="62">
        <f t="shared" si="74"/>
        <v>904.15929775819291</v>
      </c>
      <c r="EO73" s="62">
        <f ca="1">AVERAGE(OFFSET($EN$3,0,0,'Données projet'!$E$15+1,1))-AVERAGE(OFFSET($H$3,0,0,'Données projet'!$E$15+1,1))</f>
        <v>502.07782026233912</v>
      </c>
      <c r="EP73" s="62">
        <f t="shared" si="100"/>
        <v>285.83623046025156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200.64102564102564</v>
      </c>
      <c r="FC73" s="13">
        <f>VLOOKUP(A73,'Données projet'!$A$217:$I$237,9,0)</f>
        <v>4.3589743589743595</v>
      </c>
      <c r="FD73" s="13">
        <f t="array" ref="FD73">INDEX(FC:FC,MIN(IF(ISNUMBER(FC73:FC269),ROW(FC73:FC269),"")))</f>
        <v>4.3589743589743595</v>
      </c>
      <c r="FE73" s="13">
        <f>IF('Données projet'!$A$218&gt;35,FE72+FD73-FM72,IF(A73&lt;'Données projet'!$A$218,$FB$205^A73,IF(A73='Données projet'!$A$218,'Données projet'!$B$218,FE72+FD73-FM72)))</f>
        <v>200.64102564102552</v>
      </c>
      <c r="FF73" s="18">
        <f>FE73*VLOOKUP('Données projet'!$B$16,Paramètres!$A$1:$I$89,3,0)*VLOOKUP('Données projet'!$B$16,Paramètres!$A$1:$I$89,5,0)</f>
        <v>190.92999999999989</v>
      </c>
      <c r="FG73" s="14">
        <f t="shared" si="101"/>
        <v>47.745504180483643</v>
      </c>
      <c r="FH73" s="22">
        <f t="shared" si="76"/>
        <v>415.69316978100875</v>
      </c>
      <c r="FI73" s="62">
        <f t="shared" si="77"/>
        <v>709.02650311434206</v>
      </c>
      <c r="FJ73" s="62">
        <f ca="1">AVERAGE(OFFSET($FI$3,0,0,'Données projet'!$E$16+1,1))-AVERAGE(OFFSET($H$3,0,0,'Données projet'!$E$16+1,1))</f>
        <v>365.5904647357433</v>
      </c>
      <c r="FK73" s="62">
        <f t="shared" si="102"/>
        <v>256.56280810580841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-1.1368683772161603E-13</v>
      </c>
      <c r="GA73" s="18">
        <f>FZ73*VLOOKUP('Données projet'!$B$17,Paramètres!$A$1:$I$89,3,0)*VLOOKUP('Données projet'!$B$17,Paramètres!$A$1:$I$89,5,0)</f>
        <v>-9.2222762759774927E-14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256.19915261735281</v>
      </c>
      <c r="GF73" s="62">
        <f t="shared" si="104"/>
        <v>297.47246687305056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10.457692307692307</v>
      </c>
      <c r="GU73" s="13">
        <f>IF('Données projet'!$A$270&gt;35,GU72+GT73-HC72,IF(A73&lt;'Données projet'!$A$270,$GR$205^A73,IF(A73='Données projet'!$A$270,'Données projet'!$B$270,GU72+GT73-HC72)))</f>
        <v>326.75769230769237</v>
      </c>
      <c r="GV73" s="18">
        <f>GU73*VLOOKUP('Données projet'!$B$18,Paramètres!$A$1:$I$89,3,0)*VLOOKUP('Données projet'!$B$18,Paramètres!$A$1:$I$89,5,0)</f>
        <v>152.92260000000002</v>
      </c>
      <c r="GW73" s="14">
        <f t="shared" si="105"/>
        <v>39.242009213831587</v>
      </c>
      <c r="GX73" s="22">
        <f t="shared" si="82"/>
        <v>334.68669438075665</v>
      </c>
      <c r="GY73" s="62">
        <f t="shared" si="83"/>
        <v>628.02002771409002</v>
      </c>
      <c r="GZ73" s="62">
        <f ca="1">AVERAGE(OFFSET($GY$3,0,0,'Données projet'!$E$18+1,1))-AVERAGE(OFFSET($H$3,0,0,'Données projet'!$E$18+1,1))</f>
        <v>284.704043530756</v>
      </c>
      <c r="HA73" s="62">
        <f t="shared" si="106"/>
        <v>190.4880882944471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428.8489304403459</v>
      </c>
      <c r="T74" s="62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2.6</v>
      </c>
      <c r="AI74" s="14">
        <f>IF('Données projet'!$A$62&gt;35,AI73+AH74-AQ73,IF(A74&lt;'Données projet'!$A$62,$AF$205^A74,IF(A74='Données projet'!$A$62,'Données projet'!$B$62,AI73+AH74-AQ73)))</f>
        <v>211.59999999999988</v>
      </c>
      <c r="AJ74" s="14">
        <f>AI74*VLOOKUP('Données projet'!$B$10,Paramètres!$A$1:$I$89,3,0)*VLOOKUP('Données projet'!$B$10,Paramètres!$A$1:$I$89,5,0)</f>
        <v>184.85375999999991</v>
      </c>
      <c r="AK74" s="14">
        <f t="shared" si="89"/>
        <v>46.400380376458166</v>
      </c>
      <c r="AL74" s="22">
        <f t="shared" si="58"/>
        <v>402.76762782233112</v>
      </c>
      <c r="AM74" s="62">
        <f t="shared" si="59"/>
        <v>696.10096115566444</v>
      </c>
      <c r="AN74" s="62">
        <f ca="1">AVERAGE(OFFSET($AM$3,0,0,'Données projet'!$E$10+1,1))-AVERAGE(OFFSET($H$3,0,0,'Données projet'!$E$10+1,1))</f>
        <v>274.66236526869056</v>
      </c>
      <c r="AO74" s="62">
        <f t="shared" si="90"/>
        <v>256.90876395053073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230.38079999999994</v>
      </c>
      <c r="BF74" s="14">
        <f t="shared" si="91"/>
        <v>56.365011465139979</v>
      </c>
      <c r="BG74" s="22">
        <f t="shared" si="61"/>
        <v>499.41562163511867</v>
      </c>
      <c r="BH74" s="62">
        <f t="shared" si="62"/>
        <v>792.74895496845193</v>
      </c>
      <c r="BI74" s="62">
        <f ca="1">AVERAGE(OFFSET($BH$3,0,0,'Données projet'!$E$11+1,1))-AVERAGE(OFFSET($H$3,0,0,'Données projet'!$E$11+1,1))</f>
        <v>475.47920969424894</v>
      </c>
      <c r="BJ74" s="62">
        <f t="shared" si="92"/>
        <v>271.73544012419364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4.4871794871794863</v>
      </c>
      <c r="BY74" s="13">
        <f>IF('Données projet'!$A$114&gt;35,BY73+BX74-CG73,IF(A74&lt;'Données projet'!$A$114,$BV$205^A74,IF(A74='Données projet'!$A$114,'Données projet'!$B$114,BY73+BX74-CG73)))</f>
        <v>247.43589743589732</v>
      </c>
      <c r="BZ74" s="14">
        <f>BY74*VLOOKUP('Données projet'!$B$12,Paramètres!$A$1:$I$89,3,0)*VLOOKUP('Données projet'!$B$12,Paramètres!$A$1:$I$89,5,0)</f>
        <v>258.61999999999989</v>
      </c>
      <c r="CA74" s="14">
        <f t="shared" si="93"/>
        <v>62.428126674880708</v>
      </c>
      <c r="CB74" s="22">
        <f t="shared" si="64"/>
        <v>559.15882062541698</v>
      </c>
      <c r="CC74" s="62">
        <f t="shared" si="65"/>
        <v>852.49215395875035</v>
      </c>
      <c r="CD74" s="62">
        <f ca="1">AVERAGE(OFFSET($CC$3,0,0,'Données projet'!$E$12+1,1))-AVERAGE(OFFSET($H$3,0,0,'Données projet'!$E$12+1,1))</f>
        <v>490.26236605482961</v>
      </c>
      <c r="CE74" s="62">
        <f t="shared" si="94"/>
        <v>283.40133947156238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204.39999999999992</v>
      </c>
      <c r="CU74" s="18">
        <f>CT74*VLOOKUP('Données projet'!$B$13,Paramètres!$A$1:$I$89,3,0)*VLOOKUP('Données projet'!$B$13,Paramètres!$A$1:$I$89,5,0)</f>
        <v>178.56383999999997</v>
      </c>
      <c r="CV74" s="14">
        <f t="shared" si="95"/>
        <v>45.002518212442546</v>
      </c>
      <c r="CW74" s="22">
        <f t="shared" si="67"/>
        <v>389.37807388667073</v>
      </c>
      <c r="CX74" s="62">
        <f t="shared" si="68"/>
        <v>682.71140722000405</v>
      </c>
      <c r="CY74" s="62">
        <f ca="1">AVERAGE(OFFSET($CX$3,0,0,'Données projet'!$E$13+1,1))-AVERAGE(OFFSET($H$3,0,0,'Données projet'!$E$13+1,1))</f>
        <v>315.3516976788701</v>
      </c>
      <c r="CZ74" s="62">
        <f t="shared" si="96"/>
        <v>266.32508105927997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244.55807999999993</v>
      </c>
      <c r="EL74" s="14">
        <f t="shared" si="99"/>
        <v>59.419147189674156</v>
      </c>
      <c r="EM74" s="22">
        <f t="shared" si="73"/>
        <v>529.42700402201569</v>
      </c>
      <c r="EN74" s="62">
        <f t="shared" si="74"/>
        <v>822.76033735534907</v>
      </c>
      <c r="EO74" s="62">
        <f ca="1">AVERAGE(OFFSET($EN$3,0,0,'Données projet'!$E$15+1,1))-AVERAGE(OFFSET($H$3,0,0,'Données projet'!$E$15+1,1))</f>
        <v>502.07782026233912</v>
      </c>
      <c r="EP74" s="62">
        <f t="shared" si="100"/>
        <v>285.83623046025156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4.2307692307692317</v>
      </c>
      <c r="FE74" s="13">
        <f>IF('Données projet'!$A$218&gt;35,FE73+FD74-FM73,IF(A74&lt;'Données projet'!$A$218,$FB$205^A74,IF(A74='Données projet'!$A$218,'Données projet'!$B$218,FE73+FD74-FM73)))</f>
        <v>204.87179487179475</v>
      </c>
      <c r="FF74" s="18">
        <f>FE74*VLOOKUP('Données projet'!$B$16,Paramètres!$A$1:$I$89,3,0)*VLOOKUP('Données projet'!$B$16,Paramètres!$A$1:$I$89,5,0)</f>
        <v>194.9559999999999</v>
      </c>
      <c r="FG74" s="14">
        <f t="shared" si="101"/>
        <v>48.634006626561394</v>
      </c>
      <c r="FH74" s="22">
        <f t="shared" si="76"/>
        <v>424.25259487459419</v>
      </c>
      <c r="FI74" s="62">
        <f t="shared" si="77"/>
        <v>717.58592820792751</v>
      </c>
      <c r="FJ74" s="62">
        <f ca="1">AVERAGE(OFFSET($FI$3,0,0,'Données projet'!$E$16+1,1))-AVERAGE(OFFSET($H$3,0,0,'Données projet'!$E$16+1,1))</f>
        <v>365.5904647357433</v>
      </c>
      <c r="FK74" s="62">
        <f t="shared" si="102"/>
        <v>256.56280810580841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-1.1368683772161603E-13</v>
      </c>
      <c r="GA74" s="18">
        <f>FZ74*VLOOKUP('Données projet'!$B$17,Paramètres!$A$1:$I$89,3,0)*VLOOKUP('Données projet'!$B$17,Paramètres!$A$1:$I$89,5,0)</f>
        <v>-9.2222762759774927E-14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256.19915261735281</v>
      </c>
      <c r="GF74" s="62">
        <f t="shared" si="104"/>
        <v>297.47246687305056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10.457692307692307</v>
      </c>
      <c r="GU74" s="13">
        <f>IF('Données projet'!$A$270&gt;35,GU73+GT74-HC73,IF(A74&lt;'Données projet'!$A$270,$GR$205^A74,IF(A74='Données projet'!$A$270,'Données projet'!$B$270,GU73+GT74-HC73)))</f>
        <v>337.21538461538466</v>
      </c>
      <c r="GV74" s="18">
        <f>GU74*VLOOKUP('Données projet'!$B$18,Paramètres!$A$1:$I$89,3,0)*VLOOKUP('Données projet'!$B$18,Paramètres!$A$1:$I$89,5,0)</f>
        <v>157.81680000000003</v>
      </c>
      <c r="GW74" s="14">
        <f t="shared" si="105"/>
        <v>40.34969549714323</v>
      </c>
      <c r="GX74" s="22">
        <f t="shared" si="82"/>
        <v>345.13997965752452</v>
      </c>
      <c r="GY74" s="62">
        <f t="shared" si="83"/>
        <v>638.47331299085783</v>
      </c>
      <c r="GZ74" s="62">
        <f ca="1">AVERAGE(OFFSET($GY$3,0,0,'Données projet'!$E$18+1,1))-AVERAGE(OFFSET($H$3,0,0,'Données projet'!$E$18+1,1))</f>
        <v>284.704043530756</v>
      </c>
      <c r="HA74" s="62">
        <f t="shared" si="106"/>
        <v>190.4880882944471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428.8489304403459</v>
      </c>
      <c r="T75" s="62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2.6</v>
      </c>
      <c r="AI75" s="14">
        <f>IF('Données projet'!$A$62&gt;35,AI74+AH75-AQ74,IF(A75&lt;'Données projet'!$A$62,$AF$205^A75,IF(A75='Données projet'!$A$62,'Données projet'!$B$62,AI74+AH75-AQ74)))</f>
        <v>214.19999999999987</v>
      </c>
      <c r="AJ75" s="14">
        <f>AI75*VLOOKUP('Données projet'!$B$10,Paramètres!$A$1:$I$89,3,0)*VLOOKUP('Données projet'!$B$10,Paramètres!$A$1:$I$89,5,0)</f>
        <v>187.12511999999992</v>
      </c>
      <c r="AK75" s="14">
        <f t="shared" si="89"/>
        <v>46.903794805770502</v>
      </c>
      <c r="AL75" s="22">
        <f t="shared" si="58"/>
        <v>407.60035995338347</v>
      </c>
      <c r="AM75" s="62">
        <f t="shared" si="59"/>
        <v>700.93369328671679</v>
      </c>
      <c r="AN75" s="62">
        <f ca="1">AVERAGE(OFFSET($AM$3,0,0,'Données projet'!$E$10+1,1))-AVERAGE(OFFSET($H$3,0,0,'Données projet'!$E$10+1,1))</f>
        <v>274.66236526869056</v>
      </c>
      <c r="AO75" s="62">
        <f t="shared" si="90"/>
        <v>256.90876395053073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236.66759999999994</v>
      </c>
      <c r="BF75" s="14">
        <f t="shared" si="91"/>
        <v>57.721965974560838</v>
      </c>
      <c r="BG75" s="22">
        <f t="shared" si="61"/>
        <v>512.72849407235992</v>
      </c>
      <c r="BH75" s="62">
        <f t="shared" si="62"/>
        <v>806.06182740569329</v>
      </c>
      <c r="BI75" s="62">
        <f ca="1">AVERAGE(OFFSET($BH$3,0,0,'Données projet'!$E$11+1,1))-AVERAGE(OFFSET($H$3,0,0,'Données projet'!$E$11+1,1))</f>
        <v>475.47920969424894</v>
      </c>
      <c r="BJ75" s="62">
        <f t="shared" si="92"/>
        <v>271.73544012419364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4.4871794871794863</v>
      </c>
      <c r="BY75" s="13">
        <f>IF('Données projet'!$A$114&gt;35,BY74+BX75-CG74,IF(A75&lt;'Données projet'!$A$114,$BV$205^A75,IF(A75='Données projet'!$A$114,'Données projet'!$B$114,BY74+BX75-CG74)))</f>
        <v>251.92307692307679</v>
      </c>
      <c r="BZ75" s="14">
        <f>BY75*VLOOKUP('Données projet'!$B$12,Paramètres!$A$1:$I$89,3,0)*VLOOKUP('Données projet'!$B$12,Paramètres!$A$1:$I$89,5,0)</f>
        <v>263.30999999999989</v>
      </c>
      <c r="CA75" s="14">
        <f t="shared" si="93"/>
        <v>63.427415886317817</v>
      </c>
      <c r="CB75" s="22">
        <f t="shared" si="64"/>
        <v>569.06766600200319</v>
      </c>
      <c r="CC75" s="62">
        <f t="shared" si="65"/>
        <v>862.40099933533656</v>
      </c>
      <c r="CD75" s="62">
        <f ca="1">AVERAGE(OFFSET($CC$3,0,0,'Données projet'!$E$12+1,1))-AVERAGE(OFFSET($H$3,0,0,'Données projet'!$E$12+1,1))</f>
        <v>490.26236605482961</v>
      </c>
      <c r="CE75" s="62">
        <f t="shared" si="94"/>
        <v>283.40133947156238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207.79999999999993</v>
      </c>
      <c r="CU75" s="18">
        <f>CT75*VLOOKUP('Données projet'!$B$13,Paramètres!$A$1:$I$89,3,0)*VLOOKUP('Données projet'!$B$13,Paramètres!$A$1:$I$89,5,0)</f>
        <v>181.53407999999996</v>
      </c>
      <c r="CV75" s="14">
        <f t="shared" si="95"/>
        <v>45.663321943731859</v>
      </c>
      <c r="CW75" s="22">
        <f t="shared" si="67"/>
        <v>395.70214171866616</v>
      </c>
      <c r="CX75" s="62">
        <f t="shared" si="68"/>
        <v>689.03547505199947</v>
      </c>
      <c r="CY75" s="62">
        <f ca="1">AVERAGE(OFFSET($CX$3,0,0,'Données projet'!$E$13+1,1))-AVERAGE(OFFSET($H$3,0,0,'Données projet'!$E$13+1,1))</f>
        <v>315.3516976788701</v>
      </c>
      <c r="CZ75" s="62">
        <f t="shared" si="96"/>
        <v>266.32508105927997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251.23175999999989</v>
      </c>
      <c r="EL75" s="14">
        <f t="shared" si="99"/>
        <v>60.849628220886878</v>
      </c>
      <c r="EM75" s="22">
        <f t="shared" si="73"/>
        <v>543.54175115137775</v>
      </c>
      <c r="EN75" s="62">
        <f t="shared" si="74"/>
        <v>836.87508448471112</v>
      </c>
      <c r="EO75" s="62">
        <f ca="1">AVERAGE(OFFSET($EN$3,0,0,'Données projet'!$E$15+1,1))-AVERAGE(OFFSET($H$3,0,0,'Données projet'!$E$15+1,1))</f>
        <v>502.07782026233912</v>
      </c>
      <c r="EP75" s="62">
        <f t="shared" si="100"/>
        <v>285.83623046025156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4.2307692307692317</v>
      </c>
      <c r="FE75" s="13">
        <f>IF('Données projet'!$A$218&gt;35,FE74+FD75-FM74,IF(A75&lt;'Données projet'!$A$218,$FB$205^A75,IF(A75='Données projet'!$A$218,'Données projet'!$B$218,FE74+FD75-FM74)))</f>
        <v>209.10256410256397</v>
      </c>
      <c r="FF75" s="18">
        <f>FE75*VLOOKUP('Données projet'!$B$16,Paramètres!$A$1:$I$89,3,0)*VLOOKUP('Données projet'!$B$16,Paramètres!$A$1:$I$89,5,0)</f>
        <v>198.98199999999989</v>
      </c>
      <c r="FG75" s="14">
        <f t="shared" si="101"/>
        <v>49.520375735280943</v>
      </c>
      <c r="FH75" s="22">
        <f t="shared" si="76"/>
        <v>432.80830440561408</v>
      </c>
      <c r="FI75" s="62">
        <f t="shared" si="77"/>
        <v>726.14163773894734</v>
      </c>
      <c r="FJ75" s="62">
        <f ca="1">AVERAGE(OFFSET($FI$3,0,0,'Données projet'!$E$16+1,1))-AVERAGE(OFFSET($H$3,0,0,'Données projet'!$E$16+1,1))</f>
        <v>365.5904647357433</v>
      </c>
      <c r="FK75" s="62">
        <f t="shared" si="102"/>
        <v>256.56280810580841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-1.1368683772161603E-13</v>
      </c>
      <c r="GA75" s="18">
        <f>FZ75*VLOOKUP('Données projet'!$B$17,Paramètres!$A$1:$I$89,3,0)*VLOOKUP('Données projet'!$B$17,Paramètres!$A$1:$I$89,5,0)</f>
        <v>-9.2222762759774927E-14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256.19915261735281</v>
      </c>
      <c r="GF75" s="62">
        <f t="shared" si="104"/>
        <v>297.47246687305056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10.457692307692307</v>
      </c>
      <c r="GU75" s="13">
        <f>IF('Données projet'!$A$270&gt;35,GU74+GT75-HC74,IF(A75&lt;'Données projet'!$A$270,$GR$205^A75,IF(A75='Données projet'!$A$270,'Données projet'!$B$270,GU74+GT75-HC74)))</f>
        <v>347.67307692307696</v>
      </c>
      <c r="GV75" s="18">
        <f>GU75*VLOOKUP('Données projet'!$B$18,Paramètres!$A$1:$I$89,3,0)*VLOOKUP('Données projet'!$B$18,Paramètres!$A$1:$I$89,5,0)</f>
        <v>162.71100000000001</v>
      </c>
      <c r="GW75" s="14">
        <f t="shared" si="105"/>
        <v>41.453389802140954</v>
      </c>
      <c r="GX75" s="22">
        <f t="shared" si="82"/>
        <v>355.58631223872879</v>
      </c>
      <c r="GY75" s="62">
        <f t="shared" si="83"/>
        <v>648.91964557206211</v>
      </c>
      <c r="GZ75" s="62">
        <f ca="1">AVERAGE(OFFSET($GY$3,0,0,'Données projet'!$E$18+1,1))-AVERAGE(OFFSET($H$3,0,0,'Données projet'!$E$18+1,1))</f>
        <v>284.704043530756</v>
      </c>
      <c r="HA75" s="62">
        <f t="shared" si="106"/>
        <v>190.4880882944471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2">
        <f t="shared" si="55"/>
        <v>763.94335289202195</v>
      </c>
      <c r="S76" s="62">
        <f ca="1">AVERAGE(OFFSET($R$3,0,0,'Données projet'!$E$9+1,1))-AVERAGE(OFFSET($H$3,0,0,'Données projet'!$E$9+1,1))</f>
        <v>428.8489304403459</v>
      </c>
      <c r="T76" s="62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2.6</v>
      </c>
      <c r="AI76" s="14">
        <f>IF('Données projet'!$A$62&gt;35,AI75+AH76-AQ75,IF(A76&lt;'Données projet'!$A$62,$AF$205^A76,IF(A76='Données projet'!$A$62,'Données projet'!$B$62,AI75+AH76-AQ75)))</f>
        <v>216.79999999999987</v>
      </c>
      <c r="AJ76" s="14">
        <f>AI76*VLOOKUP('Données projet'!$B$10,Paramètres!$A$1:$I$89,3,0)*VLOOKUP('Données projet'!$B$10,Paramètres!$A$1:$I$89,5,0)</f>
        <v>189.39647999999991</v>
      </c>
      <c r="AK76" s="14">
        <f t="shared" si="89"/>
        <v>47.406498452084506</v>
      </c>
      <c r="AL76" s="22">
        <f t="shared" si="58"/>
        <v>412.4318541373803</v>
      </c>
      <c r="AM76" s="62">
        <f t="shared" si="59"/>
        <v>705.76518747071361</v>
      </c>
      <c r="AN76" s="62">
        <f ca="1">AVERAGE(OFFSET($AM$3,0,0,'Données projet'!$E$10+1,1))-AVERAGE(OFFSET($H$3,0,0,'Données projet'!$E$10+1,1))</f>
        <v>274.66236526869056</v>
      </c>
      <c r="AO76" s="62">
        <f t="shared" si="90"/>
        <v>256.90876395053073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2">
        <f t="shared" si="62"/>
        <v>819.36740263248726</v>
      </c>
      <c r="BI76" s="62">
        <f ca="1">AVERAGE(OFFSET($BH$3,0,0,'Données projet'!$E$11+1,1))-AVERAGE(OFFSET($H$3,0,0,'Données projet'!$E$11+1,1))</f>
        <v>475.47920969424894</v>
      </c>
      <c r="BJ76" s="62">
        <f t="shared" si="92"/>
        <v>271.73544012419364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4.4871794871794863</v>
      </c>
      <c r="BY76" s="13">
        <f>IF('Données projet'!$A$114&gt;35,BY75+BX76-CG75,IF(A76&lt;'Données projet'!$A$114,$BV$205^A76,IF(A76='Données projet'!$A$114,'Données projet'!$B$114,BY75+BX76-CG75)))</f>
        <v>256.4102564102563</v>
      </c>
      <c r="BZ76" s="14">
        <f>BY76*VLOOKUP('Données projet'!$B$12,Paramètres!$A$1:$I$89,3,0)*VLOOKUP('Données projet'!$B$12,Paramètres!$A$1:$I$89,5,0)</f>
        <v>267.99999999999994</v>
      </c>
      <c r="CA76" s="14">
        <f t="shared" si="93"/>
        <v>64.424635319516241</v>
      </c>
      <c r="CB76" s="22">
        <f t="shared" si="64"/>
        <v>578.97290651482399</v>
      </c>
      <c r="CC76" s="62">
        <f t="shared" si="65"/>
        <v>872.30623984815725</v>
      </c>
      <c r="CD76" s="62">
        <f ca="1">AVERAGE(OFFSET($CC$3,0,0,'Données projet'!$E$12+1,1))-AVERAGE(OFFSET($H$3,0,0,'Données projet'!$E$12+1,1))</f>
        <v>490.26236605482961</v>
      </c>
      <c r="CE76" s="62">
        <f t="shared" si="94"/>
        <v>283.40133947156238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211.19999999999993</v>
      </c>
      <c r="CU76" s="18">
        <f>CT76*VLOOKUP('Données projet'!$B$13,Paramètres!$A$1:$I$89,3,0)*VLOOKUP('Données projet'!$B$13,Paramètres!$A$1:$I$89,5,0)</f>
        <v>184.50431999999998</v>
      </c>
      <c r="CV76" s="14">
        <f t="shared" si="95"/>
        <v>46.32286829709458</v>
      </c>
      <c r="CW76" s="22">
        <f t="shared" si="67"/>
        <v>402.02401961743971</v>
      </c>
      <c r="CX76" s="62">
        <f t="shared" si="68"/>
        <v>695.35735295077302</v>
      </c>
      <c r="CY76" s="62">
        <f ca="1">AVERAGE(OFFSET($CX$3,0,0,'Données projet'!$E$13+1,1))-AVERAGE(OFFSET($H$3,0,0,'Données projet'!$E$13+1,1))</f>
        <v>315.3516976788701</v>
      </c>
      <c r="CZ76" s="62">
        <f t="shared" si="96"/>
        <v>266.32508105927997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257.90543999999989</v>
      </c>
      <c r="EL76" s="14">
        <f t="shared" si="99"/>
        <v>62.275692442827719</v>
      </c>
      <c r="EM76" s="22">
        <f t="shared" si="73"/>
        <v>557.64880567125817</v>
      </c>
      <c r="EN76" s="62">
        <f t="shared" si="74"/>
        <v>850.98213900459155</v>
      </c>
      <c r="EO76" s="62">
        <f ca="1">AVERAGE(OFFSET($EN$3,0,0,'Données projet'!$E$15+1,1))-AVERAGE(OFFSET($H$3,0,0,'Données projet'!$E$15+1,1))</f>
        <v>502.07782026233912</v>
      </c>
      <c r="EP76" s="62">
        <f t="shared" si="100"/>
        <v>285.83623046025156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4.2307692307692317</v>
      </c>
      <c r="FE76" s="13">
        <f>IF('Données projet'!$A$218&gt;35,FE75+FD76-FM75,IF(A76&lt;'Données projet'!$A$218,$FB$205^A76,IF(A76='Données projet'!$A$218,'Données projet'!$B$218,FE75+FD76-FM75)))</f>
        <v>213.3333333333332</v>
      </c>
      <c r="FF76" s="18">
        <f>FE76*VLOOKUP('Données projet'!$B$16,Paramètres!$A$1:$I$89,3,0)*VLOOKUP('Données projet'!$B$16,Paramètres!$A$1:$I$89,5,0)</f>
        <v>203.00799999999987</v>
      </c>
      <c r="FG76" s="14">
        <f t="shared" si="101"/>
        <v>50.404659644621184</v>
      </c>
      <c r="FH76" s="22">
        <f t="shared" si="76"/>
        <v>441.36038221438162</v>
      </c>
      <c r="FI76" s="62">
        <f t="shared" si="77"/>
        <v>734.69371554771487</v>
      </c>
      <c r="FJ76" s="62">
        <f ca="1">AVERAGE(OFFSET($FI$3,0,0,'Données projet'!$E$16+1,1))-AVERAGE(OFFSET($H$3,0,0,'Données projet'!$E$16+1,1))</f>
        <v>365.5904647357433</v>
      </c>
      <c r="FK76" s="62">
        <f t="shared" si="102"/>
        <v>256.56280810580841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-1.1368683772161603E-13</v>
      </c>
      <c r="GA76" s="18">
        <f>FZ76*VLOOKUP('Données projet'!$B$17,Paramètres!$A$1:$I$89,3,0)*VLOOKUP('Données projet'!$B$17,Paramètres!$A$1:$I$89,5,0)</f>
        <v>-9.2222762759774927E-14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256.19915261735281</v>
      </c>
      <c r="GF76" s="62">
        <f t="shared" si="104"/>
        <v>297.47246687305056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>
        <f>VLOOKUP(A76,'Données projet'!$A$269:$I$289,2,0)</f>
        <v>358.1307692307692</v>
      </c>
      <c r="GS76" s="13">
        <f>VLOOKUP(A76,'Données projet'!$A$269:$I$289,9,0)</f>
        <v>10.457692307692307</v>
      </c>
      <c r="GT76" s="13">
        <f t="array" ref="GT76">INDEX(GS:GS,MIN(IF(ISNUMBER(GS76:GS272),ROW(GS76:GS272),"")))</f>
        <v>10.457692307692307</v>
      </c>
      <c r="GU76" s="13">
        <f>IF('Données projet'!$A$270&gt;35,GU75+GT76-HC75,IF(A76&lt;'Données projet'!$A$270,$GR$205^A76,IF(A76='Données projet'!$A$270,'Données projet'!$B$270,GU75+GT76-HC75)))</f>
        <v>358.13076923076926</v>
      </c>
      <c r="GV76" s="18">
        <f>GU76*VLOOKUP('Données projet'!$B$18,Paramètres!$A$1:$I$89,3,0)*VLOOKUP('Données projet'!$B$18,Paramètres!$A$1:$I$89,5,0)</f>
        <v>167.6052</v>
      </c>
      <c r="GW76" s="14">
        <f t="shared" si="105"/>
        <v>42.553225987206737</v>
      </c>
      <c r="GX76" s="22">
        <f t="shared" si="82"/>
        <v>366.02592526105173</v>
      </c>
      <c r="GY76" s="62">
        <f t="shared" si="83"/>
        <v>659.35925859438498</v>
      </c>
      <c r="GZ76" s="62">
        <f ca="1">AVERAGE(OFFSET($GY$3,0,0,'Données projet'!$E$18+1,1))-AVERAGE(OFFSET($H$3,0,0,'Données projet'!$E$18+1,1))</f>
        <v>284.704043530756</v>
      </c>
      <c r="HA76" s="62">
        <f t="shared" si="106"/>
        <v>190.4880882944471</v>
      </c>
      <c r="HB76" s="16">
        <f>IF(ISNA(VLOOKUP(A76,'Données projet'!$A$269:$I$289,3,0)),0,VLOOKUP(A76,'Données projet'!$A$269:$I$289,3,0))</f>
        <v>3</v>
      </c>
      <c r="HC76" s="16">
        <f>IF(ISNA(VLOOKUP(A76,'Données projet'!$A$269:$I$289,4,0)),0,VLOOKUP(A76,'Données projet'!$A$269:$I$289,4,0))</f>
        <v>93.584615384615375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428.8489304403459</v>
      </c>
      <c r="T77" s="62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2.6</v>
      </c>
      <c r="AI77" s="14">
        <f>IF('Données projet'!$A$62&gt;35,AI76+AH77-AQ76,IF(A77&lt;'Données projet'!$A$62,$AF$205^A77,IF(A77='Données projet'!$A$62,'Données projet'!$B$62,AI76+AH77-AQ76)))</f>
        <v>219.39999999999986</v>
      </c>
      <c r="AJ77" s="14">
        <f>AI77*VLOOKUP('Données projet'!$B$10,Paramètres!$A$1:$I$89,3,0)*VLOOKUP('Données projet'!$B$10,Paramètres!$A$1:$I$89,5,0)</f>
        <v>191.6678399999999</v>
      </c>
      <c r="AK77" s="14">
        <f t="shared" si="89"/>
        <v>47.908500825580958</v>
      </c>
      <c r="AL77" s="22">
        <f t="shared" si="58"/>
        <v>417.26212693788665</v>
      </c>
      <c r="AM77" s="62">
        <f t="shared" si="59"/>
        <v>710.59546027121996</v>
      </c>
      <c r="AN77" s="62">
        <f ca="1">AVERAGE(OFFSET($AM$3,0,0,'Données projet'!$E$10+1,1))-AVERAGE(OFFSET($H$3,0,0,'Données projet'!$E$10+1,1))</f>
        <v>274.66236526869056</v>
      </c>
      <c r="AO77" s="62">
        <f t="shared" si="90"/>
        <v>256.90876395053073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249.24119999999988</v>
      </c>
      <c r="BF77" s="14">
        <f t="shared" si="91"/>
        <v>60.42342651744687</v>
      </c>
      <c r="BG77" s="22">
        <f t="shared" si="61"/>
        <v>539.3325578512198</v>
      </c>
      <c r="BH77" s="62">
        <f t="shared" si="62"/>
        <v>832.66589118455317</v>
      </c>
      <c r="BI77" s="62">
        <f ca="1">AVERAGE(OFFSET($BH$3,0,0,'Données projet'!$E$11+1,1))-AVERAGE(OFFSET($H$3,0,0,'Données projet'!$E$11+1,1))</f>
        <v>475.47920969424894</v>
      </c>
      <c r="BJ77" s="62">
        <f t="shared" si="92"/>
        <v>271.73544012419364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4.4871794871794863</v>
      </c>
      <c r="BY77" s="13">
        <f>IF('Données projet'!$A$114&gt;35,BY76+BX77-CG76,IF(A77&lt;'Données projet'!$A$114,$BV$205^A77,IF(A77='Données projet'!$A$114,'Données projet'!$B$114,BY76+BX77-CG76)))</f>
        <v>260.8974358974358</v>
      </c>
      <c r="BZ77" s="14">
        <f>BY77*VLOOKUP('Données projet'!$B$12,Paramètres!$A$1:$I$89,3,0)*VLOOKUP('Données projet'!$B$12,Paramètres!$A$1:$I$89,5,0)</f>
        <v>272.68999999999988</v>
      </c>
      <c r="CA77" s="14">
        <f t="shared" si="93"/>
        <v>65.419825374732966</v>
      </c>
      <c r="CB77" s="22">
        <f t="shared" si="64"/>
        <v>588.87461252765968</v>
      </c>
      <c r="CC77" s="62">
        <f t="shared" si="65"/>
        <v>882.20794586099305</v>
      </c>
      <c r="CD77" s="62">
        <f ca="1">AVERAGE(OFFSET($CC$3,0,0,'Données projet'!$E$12+1,1))-AVERAGE(OFFSET($H$3,0,0,'Données projet'!$E$12+1,1))</f>
        <v>490.26236605482961</v>
      </c>
      <c r="CE77" s="62">
        <f t="shared" si="94"/>
        <v>283.40133947156238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214.59999999999994</v>
      </c>
      <c r="CU77" s="18">
        <f>CT77*VLOOKUP('Données projet'!$B$13,Paramètres!$A$1:$I$89,3,0)*VLOOKUP('Données projet'!$B$13,Paramètres!$A$1:$I$89,5,0)</f>
        <v>187.47455999999997</v>
      </c>
      <c r="CV77" s="14">
        <f t="shared" si="95"/>
        <v>46.981179851370101</v>
      </c>
      <c r="CW77" s="22">
        <f t="shared" si="67"/>
        <v>408.34374690780288</v>
      </c>
      <c r="CX77" s="62">
        <f t="shared" si="68"/>
        <v>701.6770802411362</v>
      </c>
      <c r="CY77" s="62">
        <f ca="1">AVERAGE(OFFSET($CX$3,0,0,'Données projet'!$E$13+1,1))-AVERAGE(OFFSET($H$3,0,0,'Données projet'!$E$13+1,1))</f>
        <v>315.3516976788701</v>
      </c>
      <c r="CZ77" s="62">
        <f t="shared" si="96"/>
        <v>266.32508105927997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264.57911999999988</v>
      </c>
      <c r="EL77" s="14">
        <f t="shared" si="99"/>
        <v>63.697467287221869</v>
      </c>
      <c r="EM77" s="22">
        <f t="shared" si="73"/>
        <v>571.74838952524453</v>
      </c>
      <c r="EN77" s="62">
        <f t="shared" si="74"/>
        <v>865.0817228585779</v>
      </c>
      <c r="EO77" s="62">
        <f ca="1">AVERAGE(OFFSET($EN$3,0,0,'Données projet'!$E$15+1,1))-AVERAGE(OFFSET($H$3,0,0,'Données projet'!$E$15+1,1))</f>
        <v>502.07782026233912</v>
      </c>
      <c r="EP77" s="62">
        <f t="shared" si="100"/>
        <v>285.83623046025156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4.2307692307692317</v>
      </c>
      <c r="FE77" s="13">
        <f>IF('Données projet'!$A$218&gt;35,FE76+FD77-FM76,IF(A77&lt;'Données projet'!$A$218,$FB$205^A77,IF(A77='Données projet'!$A$218,'Données projet'!$B$218,FE76+FD77-FM76)))</f>
        <v>217.56410256410243</v>
      </c>
      <c r="FF77" s="18">
        <f>FE77*VLOOKUP('Données projet'!$B$16,Paramètres!$A$1:$I$89,3,0)*VLOOKUP('Données projet'!$B$16,Paramètres!$A$1:$I$89,5,0)</f>
        <v>207.03399999999988</v>
      </c>
      <c r="FG77" s="14">
        <f t="shared" si="101"/>
        <v>51.286904474053166</v>
      </c>
      <c r="FH77" s="22">
        <f t="shared" si="76"/>
        <v>449.90890862564243</v>
      </c>
      <c r="FI77" s="62">
        <f t="shared" si="77"/>
        <v>743.24224195897568</v>
      </c>
      <c r="FJ77" s="62">
        <f ca="1">AVERAGE(OFFSET($FI$3,0,0,'Données projet'!$E$16+1,1))-AVERAGE(OFFSET($H$3,0,0,'Données projet'!$E$16+1,1))</f>
        <v>365.5904647357433</v>
      </c>
      <c r="FK77" s="62">
        <f t="shared" si="102"/>
        <v>256.56280810580841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-1.1368683772161603E-13</v>
      </c>
      <c r="GA77" s="18">
        <f>FZ77*VLOOKUP('Données projet'!$B$17,Paramètres!$A$1:$I$89,3,0)*VLOOKUP('Données projet'!$B$17,Paramètres!$A$1:$I$89,5,0)</f>
        <v>-9.2222762759774927E-14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256.19915261735281</v>
      </c>
      <c r="GF77" s="62">
        <f t="shared" si="104"/>
        <v>297.47246687305056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9.4346153846153786</v>
      </c>
      <c r="GU77" s="13">
        <f>IF('Données projet'!$A$270&gt;35,GU76+GT77-HC76,IF(A77&lt;'Données projet'!$A$270,$GR$205^A77,IF(A77='Données projet'!$A$270,'Données projet'!$B$270,GU76+GT77-HC76)))</f>
        <v>273.98076923076928</v>
      </c>
      <c r="GV77" s="18">
        <f>GU77*VLOOKUP('Données projet'!$B$18,Paramètres!$A$1:$I$89,3,0)*VLOOKUP('Données projet'!$B$18,Paramètres!$A$1:$I$89,5,0)</f>
        <v>128.22300000000004</v>
      </c>
      <c r="GW77" s="14">
        <f t="shared" si="105"/>
        <v>33.585418470094481</v>
      </c>
      <c r="GX77" s="22">
        <f t="shared" si="82"/>
        <v>281.81632883541465</v>
      </c>
      <c r="GY77" s="62">
        <f t="shared" si="83"/>
        <v>575.14966216874791</v>
      </c>
      <c r="GZ77" s="62">
        <f ca="1">AVERAGE(OFFSET($GY$3,0,0,'Données projet'!$E$18+1,1))-AVERAGE(OFFSET($H$3,0,0,'Données projet'!$E$18+1,1))</f>
        <v>284.704043530756</v>
      </c>
      <c r="HA77" s="62">
        <f t="shared" si="106"/>
        <v>190.4880882944471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2">
        <f t="shared" si="55"/>
        <v>787.72578207012918</v>
      </c>
      <c r="S78" s="62">
        <f ca="1">AVERAGE(OFFSET($R$3,0,0,'Données projet'!$E$9+1,1))-AVERAGE(OFFSET($H$3,0,0,'Données projet'!$E$9+1,1))</f>
        <v>428.8489304403459</v>
      </c>
      <c r="T78" s="62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222</v>
      </c>
      <c r="AG78" s="13">
        <f>VLOOKUP(A78,'Données projet'!$A$61:$I$81,9,0)</f>
        <v>2.6</v>
      </c>
      <c r="AH78" s="13">
        <f t="array" ref="AH78">INDEX(AG:AG,MIN(IF(ISNUMBER(AG78:AG274),ROW(AG78:AG274),"")))</f>
        <v>2.6</v>
      </c>
      <c r="AI78" s="14">
        <f>IF('Données projet'!$A$62&gt;35,AI77+AH78-AQ77,IF(A78&lt;'Données projet'!$A$62,$AF$205^A78,IF(A78='Données projet'!$A$62,'Données projet'!$B$62,AI77+AH78-AQ77)))</f>
        <v>221.99999999999986</v>
      </c>
      <c r="AJ78" s="14">
        <f>AI78*VLOOKUP('Données projet'!$B$10,Paramètres!$A$1:$I$89,3,0)*VLOOKUP('Données projet'!$B$10,Paramètres!$A$1:$I$89,5,0)</f>
        <v>193.93919999999991</v>
      </c>
      <c r="AK78" s="14">
        <f t="shared" si="89"/>
        <v>48.409811198069342</v>
      </c>
      <c r="AL78" s="22">
        <f t="shared" si="58"/>
        <v>422.091194503304</v>
      </c>
      <c r="AM78" s="62">
        <f t="shared" si="59"/>
        <v>715.42452783663725</v>
      </c>
      <c r="AN78" s="62">
        <f ca="1">AVERAGE(OFFSET($AM$3,0,0,'Données projet'!$E$10+1,1))-AVERAGE(OFFSET($H$3,0,0,'Données projet'!$E$10+1,1))</f>
        <v>274.66236526869056</v>
      </c>
      <c r="AO78" s="62">
        <f t="shared" si="90"/>
        <v>256.90876395053073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255.52799999999991</v>
      </c>
      <c r="BF78" s="14">
        <f t="shared" si="91"/>
        <v>61.768167868721477</v>
      </c>
      <c r="BG78" s="22">
        <f t="shared" si="61"/>
        <v>552.62415903802309</v>
      </c>
      <c r="BH78" s="62">
        <f t="shared" si="62"/>
        <v>845.95749237135647</v>
      </c>
      <c r="BI78" s="62">
        <f ca="1">AVERAGE(OFFSET($BH$3,0,0,'Données projet'!$E$11+1,1))-AVERAGE(OFFSET($H$3,0,0,'Données projet'!$E$11+1,1))</f>
        <v>475.47920969424894</v>
      </c>
      <c r="BJ78" s="62">
        <f t="shared" si="92"/>
        <v>271.73544012419364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269.23076923076923</v>
      </c>
      <c r="BW78" s="13">
        <f>VLOOKUP(A78,'Données projet'!$A$113:$I$133,9,0)</f>
        <v>4.4871794871794863</v>
      </c>
      <c r="BX78" s="13">
        <f t="array" ref="BX78">INDEX(BW:BW,MIN(IF(ISNUMBER(BW78:BW274),ROW(BW78:BW274),"")))</f>
        <v>4.4871794871794863</v>
      </c>
      <c r="BY78" s="13">
        <f>IF('Données projet'!$A$114&gt;35,BY77+BX78-CG77,IF(A78&lt;'Données projet'!$A$114,$BV$205^A78,IF(A78='Données projet'!$A$114,'Données projet'!$B$114,BY77+BX78-CG77)))</f>
        <v>265.3846153846153</v>
      </c>
      <c r="BZ78" s="14">
        <f>BY78*VLOOKUP('Données projet'!$B$12,Paramètres!$A$1:$I$89,3,0)*VLOOKUP('Données projet'!$B$12,Paramètres!$A$1:$I$89,5,0)</f>
        <v>277.37999999999994</v>
      </c>
      <c r="CA78" s="14">
        <f t="shared" si="93"/>
        <v>66.413024982910031</v>
      </c>
      <c r="CB78" s="22">
        <f t="shared" si="64"/>
        <v>598.77285184523487</v>
      </c>
      <c r="CC78" s="62">
        <f t="shared" si="65"/>
        <v>892.10618517856824</v>
      </c>
      <c r="CD78" s="62">
        <f ca="1">AVERAGE(OFFSET($CC$3,0,0,'Données projet'!$E$12+1,1))-AVERAGE(OFFSET($H$3,0,0,'Données projet'!$E$12+1,1))</f>
        <v>490.26236605482961</v>
      </c>
      <c r="CE78" s="62">
        <f t="shared" si="94"/>
        <v>283.40133947156238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23.076923076923077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218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217.99999999999994</v>
      </c>
      <c r="CU78" s="18">
        <f>CT78*VLOOKUP('Données projet'!$B$13,Paramètres!$A$1:$I$89,3,0)*VLOOKUP('Données projet'!$B$13,Paramètres!$A$1:$I$89,5,0)</f>
        <v>190.44479999999999</v>
      </c>
      <c r="CV78" s="14">
        <f t="shared" si="95"/>
        <v>47.638278428909231</v>
      </c>
      <c r="CW78" s="22">
        <f t="shared" si="67"/>
        <v>414.66136159701688</v>
      </c>
      <c r="CX78" s="62">
        <f t="shared" si="68"/>
        <v>707.99469493035019</v>
      </c>
      <c r="CY78" s="62">
        <f ca="1">AVERAGE(OFFSET($CX$3,0,0,'Données projet'!$E$13+1,1))-AVERAGE(OFFSET($H$3,0,0,'Données projet'!$E$13+1,1))</f>
        <v>315.3516976788701</v>
      </c>
      <c r="CZ78" s="62">
        <f t="shared" si="96"/>
        <v>266.32508105927997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271.25279999999987</v>
      </c>
      <c r="EL78" s="14">
        <f t="shared" si="99"/>
        <v>65.115073390838859</v>
      </c>
      <c r="EM78" s="22">
        <f t="shared" si="73"/>
        <v>585.84071282237744</v>
      </c>
      <c r="EN78" s="62">
        <f t="shared" si="74"/>
        <v>879.17404615571081</v>
      </c>
      <c r="EO78" s="62">
        <f ca="1">AVERAGE(OFFSET($EN$3,0,0,'Données projet'!$E$15+1,1))-AVERAGE(OFFSET($H$3,0,0,'Données projet'!$E$15+1,1))</f>
        <v>502.07782026233912</v>
      </c>
      <c r="EP78" s="62">
        <f t="shared" si="100"/>
        <v>285.83623046025156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221.7948717948718</v>
      </c>
      <c r="FC78" s="13">
        <f>VLOOKUP(A78,'Données projet'!$A$217:$I$237,9,0)</f>
        <v>4.2307692307692317</v>
      </c>
      <c r="FD78" s="13">
        <f t="array" ref="FD78">INDEX(FC:FC,MIN(IF(ISNUMBER(FC78:FC274),ROW(FC78:FC274),"")))</f>
        <v>4.2307692307692317</v>
      </c>
      <c r="FE78" s="13">
        <f>IF('Données projet'!$A$218&gt;35,FE77+FD78-FM77,IF(A78&lt;'Données projet'!$A$218,$FB$205^A78,IF(A78='Données projet'!$A$218,'Données projet'!$B$218,FE77+FD78-FM77)))</f>
        <v>221.79487179487165</v>
      </c>
      <c r="FF78" s="18">
        <f>FE78*VLOOKUP('Données projet'!$B$16,Paramètres!$A$1:$I$89,3,0)*VLOOKUP('Données projet'!$B$16,Paramètres!$A$1:$I$89,5,0)</f>
        <v>211.05999999999989</v>
      </c>
      <c r="FG78" s="14">
        <f t="shared" si="101"/>
        <v>52.167154446757742</v>
      </c>
      <c r="FH78" s="22">
        <f t="shared" si="76"/>
        <v>458.45396066143621</v>
      </c>
      <c r="FI78" s="62">
        <f t="shared" si="77"/>
        <v>751.78729399476947</v>
      </c>
      <c r="FJ78" s="62">
        <f ca="1">AVERAGE(OFFSET($FI$3,0,0,'Données projet'!$E$16+1,1))-AVERAGE(OFFSET($H$3,0,0,'Données projet'!$E$16+1,1))</f>
        <v>365.5904647357433</v>
      </c>
      <c r="FK78" s="62">
        <f t="shared" si="102"/>
        <v>256.56280810580841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28.205128205128204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-1.1368683772161603E-13</v>
      </c>
      <c r="GA78" s="18">
        <f>FZ78*VLOOKUP('Données projet'!$B$17,Paramètres!$A$1:$I$89,3,0)*VLOOKUP('Données projet'!$B$17,Paramètres!$A$1:$I$89,5,0)</f>
        <v>-9.2222762759774927E-14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256.19915261735281</v>
      </c>
      <c r="GF78" s="62">
        <f t="shared" si="104"/>
        <v>297.47246687305056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9.4346153846153786</v>
      </c>
      <c r="GU78" s="13">
        <f>IF('Données projet'!$A$270&gt;35,GU77+GT78-HC77,IF(A78&lt;'Données projet'!$A$270,$GR$205^A78,IF(A78='Données projet'!$A$270,'Données projet'!$B$270,GU77+GT78-HC77)))</f>
        <v>283.41538461538465</v>
      </c>
      <c r="GV78" s="18">
        <f>GU78*VLOOKUP('Données projet'!$B$18,Paramètres!$A$1:$I$89,3,0)*VLOOKUP('Données projet'!$B$18,Paramètres!$A$1:$I$89,5,0)</f>
        <v>132.63840000000002</v>
      </c>
      <c r="GW78" s="14">
        <f t="shared" si="105"/>
        <v>34.60530136679548</v>
      </c>
      <c r="GX78" s="22">
        <f t="shared" si="82"/>
        <v>291.28277988050218</v>
      </c>
      <c r="GY78" s="62">
        <f t="shared" si="83"/>
        <v>584.61611321383543</v>
      </c>
      <c r="GZ78" s="62">
        <f ca="1">AVERAGE(OFFSET($GY$3,0,0,'Données projet'!$E$18+1,1))-AVERAGE(OFFSET($H$3,0,0,'Données projet'!$E$18+1,1))</f>
        <v>284.704043530756</v>
      </c>
      <c r="HA78" s="62">
        <f t="shared" si="106"/>
        <v>190.4880882944471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2">
        <f t="shared" si="55"/>
        <v>799.22462707153909</v>
      </c>
      <c r="S79" s="62">
        <f ca="1">AVERAGE(OFFSET($R$3,0,0,'Données projet'!$E$9+1,1))-AVERAGE(OFFSET($H$3,0,0,'Données projet'!$E$9+1,1))</f>
        <v>428.8489304403459</v>
      </c>
      <c r="T79" s="62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2.4</v>
      </c>
      <c r="AI79" s="14">
        <f>IF('Données projet'!$A$62&gt;35,AI78+AH79-AQ78,IF(A79&lt;'Données projet'!$A$62,$AF$205^A79,IF(A79='Données projet'!$A$62,'Données projet'!$B$62,AI78+AH79-AQ78)))</f>
        <v>224.39999999999986</v>
      </c>
      <c r="AJ79" s="14">
        <f>AI79*VLOOKUP('Données projet'!$B$10,Paramètres!$A$1:$I$89,3,0)*VLOOKUP('Données projet'!$B$10,Paramètres!$A$1:$I$89,5,0)</f>
        <v>196.03583999999989</v>
      </c>
      <c r="AK79" s="14">
        <f t="shared" si="89"/>
        <v>48.871952855623412</v>
      </c>
      <c r="AL79" s="22">
        <f t="shared" si="58"/>
        <v>426.54773922354394</v>
      </c>
      <c r="AM79" s="62">
        <f t="shared" si="59"/>
        <v>719.88107255687726</v>
      </c>
      <c r="AN79" s="62">
        <f ca="1">AVERAGE(OFFSET($AM$3,0,0,'Données projet'!$E$10+1,1))-AVERAGE(OFFSET($H$3,0,0,'Données projet'!$E$10+1,1))</f>
        <v>274.66236526869056</v>
      </c>
      <c r="AO79" s="62">
        <f t="shared" si="90"/>
        <v>256.90876395053073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261.61199999999991</v>
      </c>
      <c r="BF79" s="14">
        <f t="shared" si="91"/>
        <v>63.065867509496442</v>
      </c>
      <c r="BG79" s="22">
        <f t="shared" si="61"/>
        <v>565.48061924570618</v>
      </c>
      <c r="BH79" s="62">
        <f t="shared" si="62"/>
        <v>858.81395257903955</v>
      </c>
      <c r="BI79" s="62">
        <f ca="1">AVERAGE(OFFSET($BH$3,0,0,'Données projet'!$E$11+1,1))-AVERAGE(OFFSET($H$3,0,0,'Données projet'!$E$11+1,1))</f>
        <v>475.47920969424894</v>
      </c>
      <c r="BJ79" s="62">
        <f t="shared" si="92"/>
        <v>271.73544012419364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4.3589743589743595</v>
      </c>
      <c r="BY79" s="13">
        <f>IF('Données projet'!$A$114&gt;35,BY78+BX79-CG78,IF(A79&lt;'Données projet'!$A$114,$BV$205^A79,IF(A79='Données projet'!$A$114,'Données projet'!$B$114,BY78+BX79-CG78)))</f>
        <v>246.6666666666666</v>
      </c>
      <c r="BZ79" s="14">
        <f>BY79*VLOOKUP('Données projet'!$B$12,Paramètres!$A$1:$I$89,3,0)*VLOOKUP('Données projet'!$B$12,Paramètres!$A$1:$I$89,5,0)</f>
        <v>257.81599999999992</v>
      </c>
      <c r="CA79" s="14">
        <f t="shared" si="93"/>
        <v>62.256609105523367</v>
      </c>
      <c r="CB79" s="22">
        <f t="shared" si="64"/>
        <v>557.45979419211972</v>
      </c>
      <c r="CC79" s="62">
        <f t="shared" si="65"/>
        <v>850.79312752545297</v>
      </c>
      <c r="CD79" s="62">
        <f ca="1">AVERAGE(OFFSET($CC$3,0,0,'Données projet'!$E$12+1,1))-AVERAGE(OFFSET($H$3,0,0,'Données projet'!$E$12+1,1))</f>
        <v>490.26236605482961</v>
      </c>
      <c r="CE79" s="62">
        <f t="shared" si="94"/>
        <v>283.40133947156238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3.2</v>
      </c>
      <c r="CT79" s="13">
        <f>IF('Données projet'!$A$140&gt;35,CT78+CS79-DB78,IF(A79&lt;'Données projet'!$A$140,$CQ$205^A79,IF(A79='Données projet'!$A$140,'Données projet'!$B$140,CT78+CS79-DB78)))</f>
        <v>195.19999999999993</v>
      </c>
      <c r="CU79" s="18">
        <f>CT79*VLOOKUP('Données projet'!$B$13,Paramètres!$A$1:$I$89,3,0)*VLOOKUP('Données projet'!$B$13,Paramètres!$A$1:$I$89,5,0)</f>
        <v>170.52671999999995</v>
      </c>
      <c r="CV79" s="14">
        <f t="shared" si="95"/>
        <v>43.207970095682747</v>
      </c>
      <c r="CW79" s="22">
        <f t="shared" si="67"/>
        <v>372.25458524998072</v>
      </c>
      <c r="CX79" s="62">
        <f t="shared" si="68"/>
        <v>665.58791858331404</v>
      </c>
      <c r="CY79" s="62">
        <f ca="1">AVERAGE(OFFSET($CX$3,0,0,'Données projet'!$E$13+1,1))-AVERAGE(OFFSET($H$3,0,0,'Données projet'!$E$13+1,1))</f>
        <v>315.3516976788701</v>
      </c>
      <c r="CZ79" s="62">
        <f t="shared" si="96"/>
        <v>266.32508105927997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277.71119999999985</v>
      </c>
      <c r="EL79" s="14">
        <f t="shared" si="99"/>
        <v>66.483088830893976</v>
      </c>
      <c r="EM79" s="22">
        <f t="shared" si="73"/>
        <v>599.47171971380669</v>
      </c>
      <c r="EN79" s="62">
        <f t="shared" si="74"/>
        <v>892.80505304714006</v>
      </c>
      <c r="EO79" s="62">
        <f ca="1">AVERAGE(OFFSET($EN$3,0,0,'Données projet'!$E$15+1,1))-AVERAGE(OFFSET($H$3,0,0,'Données projet'!$E$15+1,1))</f>
        <v>502.07782026233912</v>
      </c>
      <c r="EP79" s="62">
        <f t="shared" si="100"/>
        <v>285.83623046025156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3.9743589743589722</v>
      </c>
      <c r="FE79" s="13">
        <f>IF('Données projet'!$A$218&gt;35,FE78+FD79-FM78,IF(A79&lt;'Données projet'!$A$218,$FB$205^A79,IF(A79='Données projet'!$A$218,'Données projet'!$B$218,FE78+FD79-FM78)))</f>
        <v>197.56410256410243</v>
      </c>
      <c r="FF79" s="18">
        <f>FE79*VLOOKUP('Données projet'!$B$16,Paramètres!$A$1:$I$89,3,0)*VLOOKUP('Données projet'!$B$16,Paramètres!$A$1:$I$89,5,0)</f>
        <v>188.00199999999987</v>
      </c>
      <c r="FG79" s="14">
        <f t="shared" si="101"/>
        <v>47.097952008610882</v>
      </c>
      <c r="FH79" s="22">
        <f t="shared" si="76"/>
        <v>409.46574974833038</v>
      </c>
      <c r="FI79" s="62">
        <f t="shared" si="77"/>
        <v>702.79908308166364</v>
      </c>
      <c r="FJ79" s="62">
        <f ca="1">AVERAGE(OFFSET($FI$3,0,0,'Données projet'!$E$16+1,1))-AVERAGE(OFFSET($H$3,0,0,'Données projet'!$E$16+1,1))</f>
        <v>365.5904647357433</v>
      </c>
      <c r="FK79" s="62">
        <f t="shared" si="102"/>
        <v>256.56280810580841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-1.1368683772161603E-13</v>
      </c>
      <c r="GA79" s="18">
        <f>FZ79*VLOOKUP('Données projet'!$B$17,Paramètres!$A$1:$I$89,3,0)*VLOOKUP('Données projet'!$B$17,Paramètres!$A$1:$I$89,5,0)</f>
        <v>-9.2222762759774927E-14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256.19915261735281</v>
      </c>
      <c r="GF79" s="62">
        <f t="shared" si="104"/>
        <v>297.47246687305056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9.4346153846153786</v>
      </c>
      <c r="GU79" s="13">
        <f>IF('Données projet'!$A$270&gt;35,GU78+GT79-HC78,IF(A79&lt;'Données projet'!$A$270,$GR$205^A79,IF(A79='Données projet'!$A$270,'Données projet'!$B$270,GU78+GT79-HC78)))</f>
        <v>292.85000000000002</v>
      </c>
      <c r="GV79" s="18">
        <f>GU79*VLOOKUP('Données projet'!$B$18,Paramètres!$A$1:$I$89,3,0)*VLOOKUP('Données projet'!$B$18,Paramètres!$A$1:$I$89,5,0)</f>
        <v>137.0538</v>
      </c>
      <c r="GW79" s="14">
        <f t="shared" si="105"/>
        <v>35.621239257433281</v>
      </c>
      <c r="GX79" s="22">
        <f t="shared" si="82"/>
        <v>300.74236004002955</v>
      </c>
      <c r="GY79" s="62">
        <f t="shared" si="83"/>
        <v>594.07569337336281</v>
      </c>
      <c r="GZ79" s="62">
        <f ca="1">AVERAGE(OFFSET($GY$3,0,0,'Données projet'!$E$18+1,1))-AVERAGE(OFFSET($H$3,0,0,'Données projet'!$E$18+1,1))</f>
        <v>284.704043530756</v>
      </c>
      <c r="HA79" s="62">
        <f t="shared" si="106"/>
        <v>190.4880882944471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2">
        <f t="shared" si="55"/>
        <v>810.71794681982283</v>
      </c>
      <c r="S80" s="62">
        <f ca="1">AVERAGE(OFFSET($R$3,0,0,'Données projet'!$E$9+1,1))-AVERAGE(OFFSET($H$3,0,0,'Données projet'!$E$9+1,1))</f>
        <v>428.8489304403459</v>
      </c>
      <c r="T80" s="62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2.4</v>
      </c>
      <c r="AI80" s="14">
        <f>IF('Données projet'!$A$62&gt;35,AI79+AH80-AQ79,IF(A80&lt;'Données projet'!$A$62,$AF$205^A80,IF(A80='Données projet'!$A$62,'Données projet'!$B$62,AI79+AH80-AQ79)))</f>
        <v>226.79999999999987</v>
      </c>
      <c r="AJ80" s="14">
        <f>AI80*VLOOKUP('Données projet'!$B$10,Paramètres!$A$1:$I$89,3,0)*VLOOKUP('Données projet'!$B$10,Paramètres!$A$1:$I$89,5,0)</f>
        <v>198.1324799999999</v>
      </c>
      <c r="AK80" s="14">
        <f t="shared" si="89"/>
        <v>49.333519530262052</v>
      </c>
      <c r="AL80" s="22">
        <f t="shared" si="58"/>
        <v>431.00328251520631</v>
      </c>
      <c r="AM80" s="62">
        <f t="shared" si="59"/>
        <v>724.33661584853962</v>
      </c>
      <c r="AN80" s="62">
        <f ca="1">AVERAGE(OFFSET($AM$3,0,0,'Données projet'!$E$10+1,1))-AVERAGE(OFFSET($H$3,0,0,'Données projet'!$E$10+1,1))</f>
        <v>274.66236526869056</v>
      </c>
      <c r="AO80" s="62">
        <f t="shared" si="90"/>
        <v>256.90876395053073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267.69599999999991</v>
      </c>
      <c r="BF80" s="14">
        <f t="shared" si="91"/>
        <v>64.360058723585439</v>
      </c>
      <c r="BG80" s="22">
        <f t="shared" si="61"/>
        <v>578.33096894357777</v>
      </c>
      <c r="BH80" s="62">
        <f t="shared" si="62"/>
        <v>871.66430227691103</v>
      </c>
      <c r="BI80" s="62">
        <f ca="1">AVERAGE(OFFSET($BH$3,0,0,'Données projet'!$E$11+1,1))-AVERAGE(OFFSET($H$3,0,0,'Données projet'!$E$11+1,1))</f>
        <v>475.47920969424894</v>
      </c>
      <c r="BJ80" s="62">
        <f t="shared" si="92"/>
        <v>271.73544012419364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4.3589743589743595</v>
      </c>
      <c r="BY80" s="13">
        <f>IF('Données projet'!$A$114&gt;35,BY79+BX80-CG79,IF(A80&lt;'Données projet'!$A$114,$BV$205^A80,IF(A80='Données projet'!$A$114,'Données projet'!$B$114,BY79+BX80-CG79)))</f>
        <v>251.02564102564097</v>
      </c>
      <c r="BZ80" s="14">
        <f>BY80*VLOOKUP('Données projet'!$B$12,Paramètres!$A$1:$I$89,3,0)*VLOOKUP('Données projet'!$B$12,Paramètres!$A$1:$I$89,5,0)</f>
        <v>262.37199999999996</v>
      </c>
      <c r="CA80" s="14">
        <f t="shared" si="93"/>
        <v>63.227724945873646</v>
      </c>
      <c r="CB80" s="22">
        <f t="shared" si="64"/>
        <v>567.08618761406308</v>
      </c>
      <c r="CC80" s="62">
        <f t="shared" si="65"/>
        <v>860.41952094739645</v>
      </c>
      <c r="CD80" s="62">
        <f ca="1">AVERAGE(OFFSET($CC$3,0,0,'Données projet'!$E$12+1,1))-AVERAGE(OFFSET($H$3,0,0,'Données projet'!$E$12+1,1))</f>
        <v>490.26236605482961</v>
      </c>
      <c r="CE80" s="62">
        <f t="shared" si="94"/>
        <v>283.40133947156238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3.2</v>
      </c>
      <c r="CT80" s="13">
        <f>IF('Données projet'!$A$140&gt;35,CT79+CS80-DB79,IF(A80&lt;'Données projet'!$A$140,$CQ$205^A80,IF(A80='Données projet'!$A$140,'Données projet'!$B$140,CT79+CS80-DB79)))</f>
        <v>198.39999999999992</v>
      </c>
      <c r="CU80" s="18">
        <f>CT80*VLOOKUP('Données projet'!$B$13,Paramètres!$A$1:$I$89,3,0)*VLOOKUP('Données projet'!$B$13,Paramètres!$A$1:$I$89,5,0)</f>
        <v>173.32223999999997</v>
      </c>
      <c r="CV80" s="14">
        <f t="shared" si="95"/>
        <v>43.833254629845122</v>
      </c>
      <c r="CW80" s="22">
        <f t="shared" si="67"/>
        <v>378.21248648031354</v>
      </c>
      <c r="CX80" s="62">
        <f t="shared" si="68"/>
        <v>671.54581981364686</v>
      </c>
      <c r="CY80" s="62">
        <f ca="1">AVERAGE(OFFSET($CX$3,0,0,'Données projet'!$E$13+1,1))-AVERAGE(OFFSET($H$3,0,0,'Données projet'!$E$13+1,1))</f>
        <v>315.3516976788701</v>
      </c>
      <c r="CZ80" s="62">
        <f t="shared" si="96"/>
        <v>266.32508105927997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284.16959999999989</v>
      </c>
      <c r="EL80" s="14">
        <f t="shared" si="99"/>
        <v>67.847405740313874</v>
      </c>
      <c r="EM80" s="22">
        <f t="shared" si="73"/>
        <v>613.09628499771316</v>
      </c>
      <c r="EN80" s="62">
        <f t="shared" si="74"/>
        <v>906.42961833104641</v>
      </c>
      <c r="EO80" s="62">
        <f ca="1">AVERAGE(OFFSET($EN$3,0,0,'Données projet'!$E$15+1,1))-AVERAGE(OFFSET($H$3,0,0,'Données projet'!$E$15+1,1))</f>
        <v>502.07782026233912</v>
      </c>
      <c r="EP80" s="62">
        <f t="shared" si="100"/>
        <v>285.83623046025156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3.9743589743589722</v>
      </c>
      <c r="FE80" s="13">
        <f>IF('Données projet'!$A$218&gt;35,FE79+FD80-FM79,IF(A80&lt;'Données projet'!$A$218,$FB$205^A80,IF(A80='Données projet'!$A$218,'Données projet'!$B$218,FE79+FD80-FM79)))</f>
        <v>201.53846153846141</v>
      </c>
      <c r="FF80" s="18">
        <f>FE80*VLOOKUP('Données projet'!$B$16,Paramètres!$A$1:$I$89,3,0)*VLOOKUP('Données projet'!$B$16,Paramètres!$A$1:$I$89,5,0)</f>
        <v>191.78399999999988</v>
      </c>
      <c r="FG80" s="14">
        <f t="shared" si="101"/>
        <v>47.934155134948412</v>
      </c>
      <c r="FH80" s="22">
        <f t="shared" si="76"/>
        <v>417.50912019336829</v>
      </c>
      <c r="FI80" s="62">
        <f t="shared" si="77"/>
        <v>710.84245352670155</v>
      </c>
      <c r="FJ80" s="62">
        <f ca="1">AVERAGE(OFFSET($FI$3,0,0,'Données projet'!$E$16+1,1))-AVERAGE(OFFSET($H$3,0,0,'Données projet'!$E$16+1,1))</f>
        <v>365.5904647357433</v>
      </c>
      <c r="FK80" s="62">
        <f t="shared" si="102"/>
        <v>256.56280810580841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-1.1368683772161603E-13</v>
      </c>
      <c r="GA80" s="18">
        <f>FZ80*VLOOKUP('Données projet'!$B$17,Paramètres!$A$1:$I$89,3,0)*VLOOKUP('Données projet'!$B$17,Paramètres!$A$1:$I$89,5,0)</f>
        <v>-9.2222762759774927E-14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256.19915261735281</v>
      </c>
      <c r="GF80" s="62">
        <f t="shared" si="104"/>
        <v>297.47246687305056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9.4346153846153786</v>
      </c>
      <c r="GU80" s="13">
        <f>IF('Données projet'!$A$270&gt;35,GU79+GT80-HC79,IF(A80&lt;'Données projet'!$A$270,$GR$205^A80,IF(A80='Données projet'!$A$270,'Données projet'!$B$270,GU79+GT80-HC79)))</f>
        <v>302.28461538461539</v>
      </c>
      <c r="GV80" s="18">
        <f>GU80*VLOOKUP('Données projet'!$B$18,Paramètres!$A$1:$I$89,3,0)*VLOOKUP('Données projet'!$B$18,Paramètres!$A$1:$I$89,5,0)</f>
        <v>141.4692</v>
      </c>
      <c r="GW80" s="14">
        <f t="shared" si="105"/>
        <v>36.633373814313742</v>
      </c>
      <c r="GX80" s="22">
        <f t="shared" si="82"/>
        <v>310.19531605992978</v>
      </c>
      <c r="GY80" s="62">
        <f t="shared" si="83"/>
        <v>603.52864939326309</v>
      </c>
      <c r="GZ80" s="62">
        <f ca="1">AVERAGE(OFFSET($GY$3,0,0,'Données projet'!$E$18+1,1))-AVERAGE(OFFSET($H$3,0,0,'Données projet'!$E$18+1,1))</f>
        <v>284.704043530756</v>
      </c>
      <c r="HA80" s="62">
        <f t="shared" si="106"/>
        <v>190.4880882944471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2">
        <f t="shared" si="55"/>
        <v>822.20588134481159</v>
      </c>
      <c r="S81" s="62">
        <f ca="1">AVERAGE(OFFSET($R$3,0,0,'Données projet'!$E$9+1,1))-AVERAGE(OFFSET($H$3,0,0,'Données projet'!$E$9+1,1))</f>
        <v>428.8489304403459</v>
      </c>
      <c r="T81" s="62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2.4</v>
      </c>
      <c r="AI81" s="14">
        <f>IF('Données projet'!$A$62&gt;35,AI80+AH81-AQ80,IF(A81&lt;'Données projet'!$A$62,$AF$205^A81,IF(A81='Données projet'!$A$62,'Données projet'!$B$62,AI80+AH81-AQ80)))</f>
        <v>229.19999999999987</v>
      </c>
      <c r="AJ81" s="14">
        <f>AI81*VLOOKUP('Données projet'!$B$10,Paramètres!$A$1:$I$89,3,0)*VLOOKUP('Données projet'!$B$10,Paramètres!$A$1:$I$89,5,0)</f>
        <v>200.22911999999994</v>
      </c>
      <c r="AK81" s="14">
        <f t="shared" si="89"/>
        <v>49.794518010766353</v>
      </c>
      <c r="AL81" s="22">
        <f t="shared" si="58"/>
        <v>435.45783620208459</v>
      </c>
      <c r="AM81" s="62">
        <f t="shared" si="59"/>
        <v>728.79116953541791</v>
      </c>
      <c r="AN81" s="62">
        <f ca="1">AVERAGE(OFFSET($AM$3,0,0,'Données projet'!$E$10+1,1))-AVERAGE(OFFSET($H$3,0,0,'Données projet'!$E$10+1,1))</f>
        <v>274.66236526869056</v>
      </c>
      <c r="AO81" s="62">
        <f t="shared" si="90"/>
        <v>256.90876395053073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273.77999999999992</v>
      </c>
      <c r="BF81" s="14">
        <f t="shared" si="91"/>
        <v>65.650830427167435</v>
      </c>
      <c r="BG81" s="22">
        <f t="shared" si="61"/>
        <v>591.17536299398307</v>
      </c>
      <c r="BH81" s="62">
        <f t="shared" si="62"/>
        <v>884.50869632731633</v>
      </c>
      <c r="BI81" s="62">
        <f ca="1">AVERAGE(OFFSET($BH$3,0,0,'Données projet'!$E$11+1,1))-AVERAGE(OFFSET($H$3,0,0,'Données projet'!$E$11+1,1))</f>
        <v>475.47920969424894</v>
      </c>
      <c r="BJ81" s="62">
        <f t="shared" si="92"/>
        <v>271.73544012419364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4.3589743589743595</v>
      </c>
      <c r="BY81" s="13">
        <f>IF('Données projet'!$A$114&gt;35,BY80+BX81-CG80,IF(A81&lt;'Données projet'!$A$114,$BV$205^A81,IF(A81='Données projet'!$A$114,'Données projet'!$B$114,BY80+BX81-CG80)))</f>
        <v>255.38461538461533</v>
      </c>
      <c r="BZ81" s="14">
        <f>BY81*VLOOKUP('Données projet'!$B$12,Paramètres!$A$1:$I$89,3,0)*VLOOKUP('Données projet'!$B$12,Paramètres!$A$1:$I$89,5,0)</f>
        <v>266.92799999999994</v>
      </c>
      <c r="CA81" s="14">
        <f t="shared" si="93"/>
        <v>64.196879800243778</v>
      </c>
      <c r="CB81" s="22">
        <f t="shared" si="64"/>
        <v>576.70916565209109</v>
      </c>
      <c r="CC81" s="62">
        <f t="shared" si="65"/>
        <v>870.04249898542434</v>
      </c>
      <c r="CD81" s="62">
        <f ca="1">AVERAGE(OFFSET($CC$3,0,0,'Données projet'!$E$12+1,1))-AVERAGE(OFFSET($H$3,0,0,'Données projet'!$E$12+1,1))</f>
        <v>490.26236605482961</v>
      </c>
      <c r="CE81" s="62">
        <f t="shared" si="94"/>
        <v>283.40133947156238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3.2</v>
      </c>
      <c r="CT81" s="13">
        <f>IF('Données projet'!$A$140&gt;35,CT80+CS81-DB80,IF(A81&lt;'Données projet'!$A$140,$CQ$205^A81,IF(A81='Données projet'!$A$140,'Données projet'!$B$140,CT80+CS81-DB80)))</f>
        <v>201.59999999999991</v>
      </c>
      <c r="CU81" s="18">
        <f>CT81*VLOOKUP('Données projet'!$B$13,Paramètres!$A$1:$I$89,3,0)*VLOOKUP('Données projet'!$B$13,Paramètres!$A$1:$I$89,5,0)</f>
        <v>176.11775999999995</v>
      </c>
      <c r="CV81" s="14">
        <f t="shared" si="95"/>
        <v>44.457366290237204</v>
      </c>
      <c r="CW81" s="22">
        <f t="shared" si="67"/>
        <v>384.16834495549637</v>
      </c>
      <c r="CX81" s="62">
        <f t="shared" si="68"/>
        <v>677.50167828882968</v>
      </c>
      <c r="CY81" s="62">
        <f ca="1">AVERAGE(OFFSET($CX$3,0,0,'Données projet'!$E$13+1,1))-AVERAGE(OFFSET($H$3,0,0,'Données projet'!$E$13+1,1))</f>
        <v>315.3516976788701</v>
      </c>
      <c r="CZ81" s="62">
        <f t="shared" si="96"/>
        <v>266.32508105927997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290.62799999999987</v>
      </c>
      <c r="EL81" s="14">
        <f t="shared" si="99"/>
        <v>69.208117853196882</v>
      </c>
      <c r="EM81" s="22">
        <f t="shared" si="73"/>
        <v>626.71457192765104</v>
      </c>
      <c r="EN81" s="62">
        <f t="shared" si="74"/>
        <v>920.04790526098441</v>
      </c>
      <c r="EO81" s="62">
        <f ca="1">AVERAGE(OFFSET($EN$3,0,0,'Données projet'!$E$15+1,1))-AVERAGE(OFFSET($H$3,0,0,'Données projet'!$E$15+1,1))</f>
        <v>502.07782026233912</v>
      </c>
      <c r="EP81" s="62">
        <f t="shared" si="100"/>
        <v>285.83623046025156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3.9743589743589722</v>
      </c>
      <c r="FE81" s="13">
        <f>IF('Données projet'!$A$218&gt;35,FE80+FD81-FM80,IF(A81&lt;'Données projet'!$A$218,$FB$205^A81,IF(A81='Données projet'!$A$218,'Données projet'!$B$218,FE80+FD81-FM80)))</f>
        <v>205.51282051282038</v>
      </c>
      <c r="FF81" s="18">
        <f>FE81*VLOOKUP('Données projet'!$B$16,Paramètres!$A$1:$I$89,3,0)*VLOOKUP('Données projet'!$B$16,Paramètres!$A$1:$I$89,5,0)</f>
        <v>195.56599999999989</v>
      </c>
      <c r="FG81" s="14">
        <f t="shared" si="101"/>
        <v>48.768440893940046</v>
      </c>
      <c r="FH81" s="22">
        <f t="shared" si="76"/>
        <v>425.549151223612</v>
      </c>
      <c r="FI81" s="62">
        <f t="shared" si="77"/>
        <v>718.88248455694531</v>
      </c>
      <c r="FJ81" s="62">
        <f ca="1">AVERAGE(OFFSET($FI$3,0,0,'Données projet'!$E$16+1,1))-AVERAGE(OFFSET($H$3,0,0,'Données projet'!$E$16+1,1))</f>
        <v>365.5904647357433</v>
      </c>
      <c r="FK81" s="62">
        <f t="shared" si="102"/>
        <v>256.56280810580841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-1.1368683772161603E-13</v>
      </c>
      <c r="GA81" s="18">
        <f>FZ81*VLOOKUP('Données projet'!$B$17,Paramètres!$A$1:$I$89,3,0)*VLOOKUP('Données projet'!$B$17,Paramètres!$A$1:$I$89,5,0)</f>
        <v>-9.2222762759774927E-14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256.19915261735281</v>
      </c>
      <c r="GF81" s="62">
        <f t="shared" si="104"/>
        <v>297.47246687305056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9.4346153846153786</v>
      </c>
      <c r="GU81" s="13">
        <f>IF('Données projet'!$A$270&gt;35,GU80+GT81-HC80,IF(A81&lt;'Données projet'!$A$270,$GR$205^A81,IF(A81='Données projet'!$A$270,'Données projet'!$B$270,GU80+GT81-HC80)))</f>
        <v>311.71923076923076</v>
      </c>
      <c r="GV81" s="18">
        <f>GU81*VLOOKUP('Données projet'!$B$18,Paramètres!$A$1:$I$89,3,0)*VLOOKUP('Données projet'!$B$18,Paramètres!$A$1:$I$89,5,0)</f>
        <v>145.88460000000001</v>
      </c>
      <c r="GW81" s="14">
        <f t="shared" si="105"/>
        <v>37.641837363948753</v>
      </c>
      <c r="GX81" s="22">
        <f t="shared" si="82"/>
        <v>319.6418784088774</v>
      </c>
      <c r="GY81" s="62">
        <f t="shared" si="83"/>
        <v>612.97521174221072</v>
      </c>
      <c r="GZ81" s="62">
        <f ca="1">AVERAGE(OFFSET($GY$3,0,0,'Données projet'!$E$18+1,1))-AVERAGE(OFFSET($H$3,0,0,'Données projet'!$E$18+1,1))</f>
        <v>284.704043530756</v>
      </c>
      <c r="HA81" s="62">
        <f t="shared" si="106"/>
        <v>190.4880882944471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2">
        <f t="shared" si="55"/>
        <v>833.68856409746058</v>
      </c>
      <c r="S82" s="62">
        <f ca="1">AVERAGE(OFFSET($R$3,0,0,'Données projet'!$E$9+1,1))-AVERAGE(OFFSET($H$3,0,0,'Données projet'!$E$9+1,1))</f>
        <v>428.8489304403459</v>
      </c>
      <c r="T82" s="62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2.4</v>
      </c>
      <c r="AI82" s="14">
        <f>IF('Données projet'!$A$62&gt;35,AI81+AH82-AQ81,IF(A82&lt;'Données projet'!$A$62,$AF$205^A82,IF(A82='Données projet'!$A$62,'Données projet'!$B$62,AI81+AH82-AQ81)))</f>
        <v>231.59999999999988</v>
      </c>
      <c r="AJ82" s="14">
        <f>AI82*VLOOKUP('Données projet'!$B$10,Paramètres!$A$1:$I$89,3,0)*VLOOKUP('Données projet'!$B$10,Paramètres!$A$1:$I$89,5,0)</f>
        <v>202.32575999999992</v>
      </c>
      <c r="AK82" s="14">
        <f t="shared" si="89"/>
        <v>50.254954935552895</v>
      </c>
      <c r="AL82" s="22">
        <f t="shared" si="58"/>
        <v>439.91141184608779</v>
      </c>
      <c r="AM82" s="62">
        <f t="shared" si="59"/>
        <v>733.2447451794211</v>
      </c>
      <c r="AN82" s="62">
        <f ca="1">AVERAGE(OFFSET($AM$3,0,0,'Données projet'!$E$10+1,1))-AVERAGE(OFFSET($H$3,0,0,'Données projet'!$E$10+1,1))</f>
        <v>274.66236526869056</v>
      </c>
      <c r="AO82" s="62">
        <f t="shared" si="90"/>
        <v>256.90876395053073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279.86399999999986</v>
      </c>
      <c r="BF82" s="14">
        <f t="shared" si="91"/>
        <v>66.938267358965007</v>
      </c>
      <c r="BG82" s="22">
        <f t="shared" si="61"/>
        <v>604.01394898353044</v>
      </c>
      <c r="BH82" s="62">
        <f t="shared" si="62"/>
        <v>897.34728231686381</v>
      </c>
      <c r="BI82" s="62">
        <f ca="1">AVERAGE(OFFSET($BH$3,0,0,'Données projet'!$E$11+1,1))-AVERAGE(OFFSET($H$3,0,0,'Données projet'!$E$11+1,1))</f>
        <v>475.47920969424894</v>
      </c>
      <c r="BJ82" s="62">
        <f t="shared" si="92"/>
        <v>271.73544012419364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4.3589743589743595</v>
      </c>
      <c r="BY82" s="13">
        <f>IF('Données projet'!$A$114&gt;35,BY81+BX82-CG81,IF(A82&lt;'Données projet'!$A$114,$BV$205^A82,IF(A82='Données projet'!$A$114,'Données projet'!$B$114,BY81+BX82-CG81)))</f>
        <v>259.74358974358967</v>
      </c>
      <c r="BZ82" s="14">
        <f>BY82*VLOOKUP('Données projet'!$B$12,Paramètres!$A$1:$I$89,3,0)*VLOOKUP('Données projet'!$B$12,Paramètres!$A$1:$I$89,5,0)</f>
        <v>271.48399999999992</v>
      </c>
      <c r="CA82" s="14">
        <f t="shared" si="93"/>
        <v>65.16411100181999</v>
      </c>
      <c r="CB82" s="22">
        <f t="shared" si="64"/>
        <v>586.32879332816958</v>
      </c>
      <c r="CC82" s="62">
        <f t="shared" si="65"/>
        <v>879.66212666150295</v>
      </c>
      <c r="CD82" s="62">
        <f ca="1">AVERAGE(OFFSET($CC$3,0,0,'Données projet'!$E$12+1,1))-AVERAGE(OFFSET($H$3,0,0,'Données projet'!$E$12+1,1))</f>
        <v>490.26236605482961</v>
      </c>
      <c r="CE82" s="62">
        <f t="shared" si="94"/>
        <v>283.40133947156238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3.2</v>
      </c>
      <c r="CT82" s="13">
        <f>IF('Données projet'!$A$140&gt;35,CT81+CS82-DB81,IF(A82&lt;'Données projet'!$A$140,$CQ$205^A82,IF(A82='Données projet'!$A$140,'Données projet'!$B$140,CT81+CS82-DB81)))</f>
        <v>204.7999999999999</v>
      </c>
      <c r="CU82" s="18">
        <f>CT82*VLOOKUP('Données projet'!$B$13,Paramètres!$A$1:$I$89,3,0)*VLOOKUP('Données projet'!$B$13,Paramètres!$A$1:$I$89,5,0)</f>
        <v>178.91327999999993</v>
      </c>
      <c r="CV82" s="14">
        <f t="shared" si="95"/>
        <v>45.080325843494805</v>
      </c>
      <c r="CW82" s="22">
        <f t="shared" si="67"/>
        <v>390.1221968440866</v>
      </c>
      <c r="CX82" s="62">
        <f t="shared" si="68"/>
        <v>683.45553017741986</v>
      </c>
      <c r="CY82" s="62">
        <f ca="1">AVERAGE(OFFSET($CX$3,0,0,'Données projet'!$E$13+1,1))-AVERAGE(OFFSET($H$3,0,0,'Données projet'!$E$13+1,1))</f>
        <v>315.3516976788701</v>
      </c>
      <c r="CZ82" s="62">
        <f t="shared" si="96"/>
        <v>266.32508105927997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297.08639999999986</v>
      </c>
      <c r="EL82" s="14">
        <f t="shared" si="99"/>
        <v>70.565314499829583</v>
      </c>
      <c r="EM82" s="22">
        <f t="shared" si="73"/>
        <v>640.3267360872029</v>
      </c>
      <c r="EN82" s="62">
        <f t="shared" si="74"/>
        <v>933.66006942053627</v>
      </c>
      <c r="EO82" s="62">
        <f ca="1">AVERAGE(OFFSET($EN$3,0,0,'Données projet'!$E$15+1,1))-AVERAGE(OFFSET($H$3,0,0,'Données projet'!$E$15+1,1))</f>
        <v>502.07782026233912</v>
      </c>
      <c r="EP82" s="62">
        <f t="shared" si="100"/>
        <v>285.83623046025156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3.9743589743589722</v>
      </c>
      <c r="FE82" s="13">
        <f>IF('Données projet'!$A$218&gt;35,FE81+FD82-FM81,IF(A82&lt;'Données projet'!$A$218,$FB$205^A82,IF(A82='Données projet'!$A$218,'Données projet'!$B$218,FE81+FD82-FM81)))</f>
        <v>209.48717948717936</v>
      </c>
      <c r="FF82" s="18">
        <f>FE82*VLOOKUP('Données projet'!$B$16,Paramètres!$A$1:$I$89,3,0)*VLOOKUP('Données projet'!$B$16,Paramètres!$A$1:$I$89,5,0)</f>
        <v>199.34799999999987</v>
      </c>
      <c r="FG82" s="14">
        <f t="shared" si="101"/>
        <v>49.600850639748636</v>
      </c>
      <c r="FH82" s="22">
        <f t="shared" si="76"/>
        <v>433.58591486422864</v>
      </c>
      <c r="FI82" s="62">
        <f t="shared" si="77"/>
        <v>726.91924819756196</v>
      </c>
      <c r="FJ82" s="62">
        <f ca="1">AVERAGE(OFFSET($FI$3,0,0,'Données projet'!$E$16+1,1))-AVERAGE(OFFSET($H$3,0,0,'Données projet'!$E$16+1,1))</f>
        <v>365.5904647357433</v>
      </c>
      <c r="FK82" s="62">
        <f t="shared" si="102"/>
        <v>256.56280810580841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-1.1368683772161603E-13</v>
      </c>
      <c r="GA82" s="18">
        <f>FZ82*VLOOKUP('Données projet'!$B$17,Paramètres!$A$1:$I$89,3,0)*VLOOKUP('Données projet'!$B$17,Paramètres!$A$1:$I$89,5,0)</f>
        <v>-9.2222762759774927E-14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256.19915261735281</v>
      </c>
      <c r="GF82" s="62">
        <f t="shared" si="104"/>
        <v>297.47246687305056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>
        <f>VLOOKUP(A82,'Données projet'!$A$269:$I$289,2,0)</f>
        <v>321.15384615384613</v>
      </c>
      <c r="GS82" s="13">
        <f>VLOOKUP(A82,'Données projet'!$A$269:$I$289,9,0)</f>
        <v>9.4346153846153786</v>
      </c>
      <c r="GT82" s="13">
        <f t="array" ref="GT82">INDEX(GS:GS,MIN(IF(ISNUMBER(GS82:GS278),ROW(GS82:GS278),"")))</f>
        <v>9.4346153846153786</v>
      </c>
      <c r="GU82" s="13">
        <f>IF('Données projet'!$A$270&gt;35,GU81+GT82-HC81,IF(A82&lt;'Données projet'!$A$270,$GR$205^A82,IF(A82='Données projet'!$A$270,'Données projet'!$B$270,GU81+GT82-HC81)))</f>
        <v>321.15384615384613</v>
      </c>
      <c r="GV82" s="18">
        <f>GU82*VLOOKUP('Données projet'!$B$18,Paramètres!$A$1:$I$89,3,0)*VLOOKUP('Données projet'!$B$18,Paramètres!$A$1:$I$89,5,0)</f>
        <v>150.29999999999998</v>
      </c>
      <c r="GW82" s="14">
        <f t="shared" si="105"/>
        <v>38.646753767567567</v>
      </c>
      <c r="GX82" s="22">
        <f t="shared" si="82"/>
        <v>329.08226281184676</v>
      </c>
      <c r="GY82" s="62">
        <f t="shared" si="83"/>
        <v>622.41559614518007</v>
      </c>
      <c r="GZ82" s="62">
        <f ca="1">AVERAGE(OFFSET($GY$3,0,0,'Données projet'!$E$18+1,1))-AVERAGE(OFFSET($H$3,0,0,'Données projet'!$E$18+1,1))</f>
        <v>284.704043530756</v>
      </c>
      <c r="HA82" s="62">
        <f t="shared" si="106"/>
        <v>190.4880882944471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2">
        <f t="shared" si="55"/>
        <v>845.16612239513029</v>
      </c>
      <c r="S83" s="62">
        <f ca="1">AVERAGE(OFFSET($R$3,0,0,'Données projet'!$E$9+1,1))-AVERAGE(OFFSET($H$3,0,0,'Données projet'!$E$9+1,1))</f>
        <v>428.8489304403459</v>
      </c>
      <c r="T83" s="62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234</v>
      </c>
      <c r="AG83" s="13">
        <f>VLOOKUP(A83,'Données projet'!$A$61:$I$81,9,0)</f>
        <v>2.4</v>
      </c>
      <c r="AH83" s="13">
        <f t="array" ref="AH83">INDEX(AG:AG,MIN(IF(ISNUMBER(AG83:AG279),ROW(AG83:AG279),"")))</f>
        <v>2.4</v>
      </c>
      <c r="AI83" s="14">
        <f>IF('Données projet'!$A$62&gt;35,AI82+AH83-AQ82,IF(A83&lt;'Données projet'!$A$62,$AF$205^A83,IF(A83='Données projet'!$A$62,'Données projet'!$B$62,AI82+AH83-AQ82)))</f>
        <v>233.99999999999989</v>
      </c>
      <c r="AJ83" s="14">
        <f>AI83*VLOOKUP('Données projet'!$B$10,Paramètres!$A$1:$I$89,3,0)*VLOOKUP('Données projet'!$B$10,Paramètres!$A$1:$I$89,5,0)</f>
        <v>204.4223999999999</v>
      </c>
      <c r="AK83" s="14">
        <f t="shared" si="89"/>
        <v>50.714836797527262</v>
      </c>
      <c r="AL83" s="22">
        <f t="shared" si="58"/>
        <v>444.36402075569316</v>
      </c>
      <c r="AM83" s="62">
        <f t="shared" si="59"/>
        <v>737.69735408902648</v>
      </c>
      <c r="AN83" s="62">
        <f ca="1">AVERAGE(OFFSET($AM$3,0,0,'Données projet'!$E$10+1,1))-AVERAGE(OFFSET($H$3,0,0,'Données projet'!$E$10+1,1))</f>
        <v>274.66236526869056</v>
      </c>
      <c r="AO83" s="62">
        <f t="shared" si="90"/>
        <v>256.90876395053073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285.94799999999992</v>
      </c>
      <c r="BF83" s="14">
        <f t="shared" si="91"/>
        <v>68.222450362989363</v>
      </c>
      <c r="BG83" s="22">
        <f t="shared" si="61"/>
        <v>616.84686771553959</v>
      </c>
      <c r="BH83" s="62">
        <f t="shared" si="62"/>
        <v>910.18020104887296</v>
      </c>
      <c r="BI83" s="62">
        <f ca="1">AVERAGE(OFFSET($BH$3,0,0,'Données projet'!$E$11+1,1))-AVERAGE(OFFSET($H$3,0,0,'Données projet'!$E$11+1,1))</f>
        <v>475.47920969424894</v>
      </c>
      <c r="BJ83" s="62">
        <f t="shared" si="92"/>
        <v>271.73544012419364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267.94871794871796</v>
      </c>
      <c r="BW83" s="13">
        <f>VLOOKUP(A83,'Données projet'!$A$113:$I$133,9,0)</f>
        <v>4.3589743589743595</v>
      </c>
      <c r="BX83" s="13">
        <f t="array" ref="BX83">INDEX(BW:BW,MIN(IF(ISNUMBER(BW83:BW279),ROW(BW83:BW279),"")))</f>
        <v>4.3589743589743595</v>
      </c>
      <c r="BY83" s="13">
        <f>IF('Données projet'!$A$114&gt;35,BY82+BX83-CG82,IF(A83&lt;'Données projet'!$A$114,$BV$205^A83,IF(A83='Données projet'!$A$114,'Données projet'!$B$114,BY82+BX83-CG82)))</f>
        <v>264.10256410256403</v>
      </c>
      <c r="BZ83" s="14">
        <f>BY83*VLOOKUP('Données projet'!$B$12,Paramètres!$A$1:$I$89,3,0)*VLOOKUP('Données projet'!$B$12,Paramètres!$A$1:$I$89,5,0)</f>
        <v>276.03999999999991</v>
      </c>
      <c r="CA83" s="14">
        <f t="shared" si="93"/>
        <v>66.129454558931087</v>
      </c>
      <c r="CB83" s="22">
        <f t="shared" si="64"/>
        <v>595.94513335680483</v>
      </c>
      <c r="CC83" s="62">
        <f t="shared" si="65"/>
        <v>889.2784666901382</v>
      </c>
      <c r="CD83" s="62">
        <f ca="1">AVERAGE(OFFSET($CC$3,0,0,'Données projet'!$E$12+1,1))-AVERAGE(OFFSET($H$3,0,0,'Données projet'!$E$12+1,1))</f>
        <v>490.26236605482961</v>
      </c>
      <c r="CE83" s="62">
        <f t="shared" si="94"/>
        <v>283.40133947156238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208</v>
      </c>
      <c r="CR83" s="13">
        <f>VLOOKUP(A83,'Données projet'!$A$139:$I$159,9,0)</f>
        <v>3.2</v>
      </c>
      <c r="CS83" s="13">
        <f t="array" ref="CS83">INDEX(CR:CR,MIN(IF(ISNUMBER(CR83:CR279),ROW(CR83:CR279),"")))</f>
        <v>3.2</v>
      </c>
      <c r="CT83" s="13">
        <f>IF('Données projet'!$A$140&gt;35,CT82+CS83-DB82,IF(A83&lt;'Données projet'!$A$140,$CQ$205^A83,IF(A83='Données projet'!$A$140,'Données projet'!$B$140,CT82+CS83-DB82)))</f>
        <v>207.99999999999989</v>
      </c>
      <c r="CU83" s="18">
        <f>CT83*VLOOKUP('Données projet'!$B$13,Paramètres!$A$1:$I$89,3,0)*VLOOKUP('Données projet'!$B$13,Paramètres!$A$1:$I$89,5,0)</f>
        <v>181.70879999999991</v>
      </c>
      <c r="CV83" s="14">
        <f t="shared" si="95"/>
        <v>45.702153370067769</v>
      </c>
      <c r="CW83" s="22">
        <f t="shared" si="67"/>
        <v>396.07407711953448</v>
      </c>
      <c r="CX83" s="62">
        <f t="shared" si="68"/>
        <v>689.40741045286779</v>
      </c>
      <c r="CY83" s="62">
        <f ca="1">AVERAGE(OFFSET($CX$3,0,0,'Données projet'!$E$13+1,1))-AVERAGE(OFFSET($H$3,0,0,'Données projet'!$E$13+1,1))</f>
        <v>315.3516976788701</v>
      </c>
      <c r="CZ83" s="62">
        <f t="shared" si="96"/>
        <v>266.32508105927997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303.54479999999984</v>
      </c>
      <c r="EL83" s="14">
        <f t="shared" si="99"/>
        <v>71.919080904752505</v>
      </c>
      <c r="EM83" s="22">
        <f t="shared" si="73"/>
        <v>653.93292590911028</v>
      </c>
      <c r="EN83" s="62">
        <f t="shared" si="74"/>
        <v>947.26625924244354</v>
      </c>
      <c r="EO83" s="62">
        <f ca="1">AVERAGE(OFFSET($EN$3,0,0,'Données projet'!$E$15+1,1))-AVERAGE(OFFSET($H$3,0,0,'Données projet'!$E$15+1,1))</f>
        <v>502.07782026233912</v>
      </c>
      <c r="EP83" s="62">
        <f t="shared" si="100"/>
        <v>285.83623046025156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213.46153846153845</v>
      </c>
      <c r="FC83" s="13">
        <f>VLOOKUP(A83,'Données projet'!$A$217:$I$237,9,0)</f>
        <v>3.9743589743589722</v>
      </c>
      <c r="FD83" s="13">
        <f t="array" ref="FD83">INDEX(FC:FC,MIN(IF(ISNUMBER(FC83:FC279),ROW(FC83:FC279),"")))</f>
        <v>3.9743589743589722</v>
      </c>
      <c r="FE83" s="13">
        <f>IF('Données projet'!$A$218&gt;35,FE82+FD83-FM82,IF(A83&lt;'Données projet'!$A$218,$FB$205^A83,IF(A83='Données projet'!$A$218,'Données projet'!$B$218,FE82+FD83-FM82)))</f>
        <v>213.46153846153834</v>
      </c>
      <c r="FF83" s="18">
        <f>FE83*VLOOKUP('Données projet'!$B$16,Paramètres!$A$1:$I$89,3,0)*VLOOKUP('Données projet'!$B$16,Paramètres!$A$1:$I$89,5,0)</f>
        <v>203.12999999999991</v>
      </c>
      <c r="FG83" s="14">
        <f t="shared" si="101"/>
        <v>50.431424067617797</v>
      </c>
      <c r="FH83" s="22">
        <f t="shared" si="76"/>
        <v>441.61948025110081</v>
      </c>
      <c r="FI83" s="62">
        <f t="shared" si="77"/>
        <v>734.95281358443413</v>
      </c>
      <c r="FJ83" s="62">
        <f ca="1">AVERAGE(OFFSET($FI$3,0,0,'Données projet'!$E$16+1,1))-AVERAGE(OFFSET($H$3,0,0,'Données projet'!$E$16+1,1))</f>
        <v>365.5904647357433</v>
      </c>
      <c r="FK83" s="62">
        <f t="shared" si="102"/>
        <v>256.56280810580841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-1.1368683772161603E-13</v>
      </c>
      <c r="GA83" s="18">
        <f>FZ83*VLOOKUP('Données projet'!$B$17,Paramètres!$A$1:$I$89,3,0)*VLOOKUP('Données projet'!$B$17,Paramètres!$A$1:$I$89,5,0)</f>
        <v>-9.2222762759774927E-14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256.19915261735281</v>
      </c>
      <c r="GF83" s="62">
        <f t="shared" si="104"/>
        <v>297.47246687305056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9.6128205128205195</v>
      </c>
      <c r="GU83" s="13">
        <f>IF('Données projet'!$A$270&gt;35,GU82+GT83-HC82,IF(A83&lt;'Données projet'!$A$270,$GR$205^A83,IF(A83='Données projet'!$A$270,'Données projet'!$B$270,GU82+GT83-HC82)))</f>
        <v>330.76666666666665</v>
      </c>
      <c r="GV83" s="18">
        <f>GU83*VLOOKUP('Données projet'!$B$18,Paramètres!$A$1:$I$89,3,0)*VLOOKUP('Données projet'!$B$18,Paramètres!$A$1:$I$89,5,0)</f>
        <v>154.7988</v>
      </c>
      <c r="GW83" s="14">
        <f t="shared" si="105"/>
        <v>39.667123391087365</v>
      </c>
      <c r="GX83" s="22">
        <f t="shared" si="82"/>
        <v>338.69481657281045</v>
      </c>
      <c r="GY83" s="62">
        <f t="shared" si="83"/>
        <v>632.02814990614377</v>
      </c>
      <c r="GZ83" s="62">
        <f ca="1">AVERAGE(OFFSET($GY$3,0,0,'Données projet'!$E$18+1,1))-AVERAGE(OFFSET($H$3,0,0,'Données projet'!$E$18+1,1))</f>
        <v>284.704043530756</v>
      </c>
      <c r="HA83" s="62">
        <f t="shared" si="106"/>
        <v>190.4880882944471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2">
        <f t="shared" si="55"/>
        <v>775.45409146701161</v>
      </c>
      <c r="S84" s="62">
        <f ca="1">AVERAGE(OFFSET($R$3,0,0,'Données projet'!$E$9+1,1))-AVERAGE(OFFSET($H$3,0,0,'Données projet'!$E$9+1,1))</f>
        <v>428.8489304403459</v>
      </c>
      <c r="T84" s="62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-9.9316821433603781E-14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274.66236526869056</v>
      </c>
      <c r="AO84" s="62">
        <f t="shared" si="90"/>
        <v>256.90876395053073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249.03839999999994</v>
      </c>
      <c r="BF84" s="14">
        <f t="shared" si="91"/>
        <v>60.379982523339947</v>
      </c>
      <c r="BG84" s="22">
        <f t="shared" si="61"/>
        <v>538.90368289481694</v>
      </c>
      <c r="BH84" s="62">
        <f t="shared" si="62"/>
        <v>832.2370162281502</v>
      </c>
      <c r="BI84" s="62">
        <f ca="1">AVERAGE(OFFSET($BH$3,0,0,'Données projet'!$E$11+1,1))-AVERAGE(OFFSET($H$3,0,0,'Données projet'!$E$11+1,1))</f>
        <v>475.47920969424894</v>
      </c>
      <c r="BJ84" s="62">
        <f t="shared" si="92"/>
        <v>271.73544012419364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3.9743589743589722</v>
      </c>
      <c r="BY84" s="13">
        <f>IF('Données projet'!$A$114&gt;35,BY83+BX84-CG83,IF(A84&lt;'Données projet'!$A$114,$BV$205^A84,IF(A84='Données projet'!$A$114,'Données projet'!$B$114,BY83+BX84-CG83)))</f>
        <v>268.07692307692298</v>
      </c>
      <c r="BZ84" s="14">
        <f>BY84*VLOOKUP('Données projet'!$B$12,Paramètres!$A$1:$I$89,3,0)*VLOOKUP('Données projet'!$B$12,Paramètres!$A$1:$I$89,5,0)</f>
        <v>280.1939999999999</v>
      </c>
      <c r="CA84" s="14">
        <f t="shared" si="93"/>
        <v>67.008005005167959</v>
      </c>
      <c r="CB84" s="22">
        <f t="shared" si="64"/>
        <v>604.71015871733391</v>
      </c>
      <c r="CC84" s="62">
        <f t="shared" si="65"/>
        <v>898.04349205066728</v>
      </c>
      <c r="CD84" s="62">
        <f ca="1">AVERAGE(OFFSET($CC$3,0,0,'Données projet'!$E$12+1,1))-AVERAGE(OFFSET($H$3,0,0,'Données projet'!$E$12+1,1))</f>
        <v>490.26236605482961</v>
      </c>
      <c r="CE84" s="62">
        <f t="shared" si="94"/>
        <v>283.40133947156238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2.8</v>
      </c>
      <c r="CT84" s="13">
        <f>IF('Données projet'!$A$140&gt;35,CT83+CS84-DB83,IF(A84&lt;'Données projet'!$A$140,$CQ$205^A84,IF(A84='Données projet'!$A$140,'Données projet'!$B$140,CT83+CS84-DB83)))</f>
        <v>210.7999999999999</v>
      </c>
      <c r="CU84" s="18">
        <f>CT84*VLOOKUP('Données projet'!$B$13,Paramètres!$A$1:$I$89,3,0)*VLOOKUP('Données projet'!$B$13,Paramètres!$A$1:$I$89,5,0)</f>
        <v>184.15487999999993</v>
      </c>
      <c r="CV84" s="14">
        <f t="shared" si="95"/>
        <v>46.245339127946259</v>
      </c>
      <c r="CW84" s="22">
        <f t="shared" si="67"/>
        <v>401.28038164783965</v>
      </c>
      <c r="CX84" s="62">
        <f t="shared" si="68"/>
        <v>694.61371498117296</v>
      </c>
      <c r="CY84" s="62">
        <f ca="1">AVERAGE(OFFSET($CX$3,0,0,'Données projet'!$E$13+1,1))-AVERAGE(OFFSET($H$3,0,0,'Données projet'!$E$13+1,1))</f>
        <v>315.3516976788701</v>
      </c>
      <c r="CZ84" s="62">
        <f t="shared" si="96"/>
        <v>266.32508105927997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264.36383999999987</v>
      </c>
      <c r="EL84" s="14">
        <f t="shared" si="99"/>
        <v>63.651669282160768</v>
      </c>
      <c r="EM84" s="22">
        <f t="shared" si="73"/>
        <v>571.29367866642974</v>
      </c>
      <c r="EN84" s="62">
        <f t="shared" si="74"/>
        <v>864.627011999763</v>
      </c>
      <c r="EO84" s="62">
        <f ca="1">AVERAGE(OFFSET($EN$3,0,0,'Données projet'!$E$15+1,1))-AVERAGE(OFFSET($H$3,0,0,'Données projet'!$E$15+1,1))</f>
        <v>502.07782026233912</v>
      </c>
      <c r="EP84" s="62">
        <f t="shared" si="100"/>
        <v>285.83623046025156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3.8461538461538454</v>
      </c>
      <c r="FE84" s="13">
        <f>IF('Données projet'!$A$218&gt;35,FE83+FD84-FM83,IF(A84&lt;'Données projet'!$A$218,$FB$205^A84,IF(A84='Données projet'!$A$218,'Données projet'!$B$218,FE83+FD84-FM83)))</f>
        <v>217.30769230769218</v>
      </c>
      <c r="FF84" s="18">
        <f>FE84*VLOOKUP('Données projet'!$B$16,Paramètres!$A$1:$I$89,3,0)*VLOOKUP('Données projet'!$B$16,Paramètres!$A$1:$I$89,5,0)</f>
        <v>206.78999999999991</v>
      </c>
      <c r="FG84" s="14">
        <f t="shared" si="101"/>
        <v>51.233492313143493</v>
      </c>
      <c r="FH84" s="22">
        <f t="shared" si="76"/>
        <v>449.39091577872472</v>
      </c>
      <c r="FI84" s="62">
        <f t="shared" si="77"/>
        <v>742.72424911205803</v>
      </c>
      <c r="FJ84" s="62">
        <f ca="1">AVERAGE(OFFSET($FI$3,0,0,'Données projet'!$E$16+1,1))-AVERAGE(OFFSET($H$3,0,0,'Données projet'!$E$16+1,1))</f>
        <v>365.5904647357433</v>
      </c>
      <c r="FK84" s="62">
        <f t="shared" si="102"/>
        <v>256.56280810580841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-1.1368683772161603E-13</v>
      </c>
      <c r="GA84" s="18">
        <f>FZ84*VLOOKUP('Données projet'!$B$17,Paramètres!$A$1:$I$89,3,0)*VLOOKUP('Données projet'!$B$17,Paramètres!$A$1:$I$89,5,0)</f>
        <v>-9.2222762759774927E-14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256.19915261735281</v>
      </c>
      <c r="GF84" s="62">
        <f t="shared" si="104"/>
        <v>297.47246687305056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9.6128205128205195</v>
      </c>
      <c r="GU84" s="13">
        <f>IF('Données projet'!$A$270&gt;35,GU83+GT84-HC83,IF(A84&lt;'Données projet'!$A$270,$GR$205^A84,IF(A84='Données projet'!$A$270,'Données projet'!$B$270,GU83+GT84-HC83)))</f>
        <v>340.37948717948717</v>
      </c>
      <c r="GV84" s="18">
        <f>GU84*VLOOKUP('Données projet'!$B$18,Paramètres!$A$1:$I$89,3,0)*VLOOKUP('Données projet'!$B$18,Paramètres!$A$1:$I$89,5,0)</f>
        <v>159.29759999999999</v>
      </c>
      <c r="GW84" s="14">
        <f t="shared" si="105"/>
        <v>40.684046581672639</v>
      </c>
      <c r="GX84" s="22">
        <f t="shared" si="82"/>
        <v>348.30136779641316</v>
      </c>
      <c r="GY84" s="62">
        <f t="shared" si="83"/>
        <v>641.63470112974642</v>
      </c>
      <c r="GZ84" s="62">
        <f ca="1">AVERAGE(OFFSET($GY$3,0,0,'Données projet'!$E$18+1,1))-AVERAGE(OFFSET($H$3,0,0,'Données projet'!$E$18+1,1))</f>
        <v>284.704043530756</v>
      </c>
      <c r="HA84" s="62">
        <f t="shared" si="106"/>
        <v>190.4880882944471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2">
        <f t="shared" si="55"/>
        <v>786.19217745579931</v>
      </c>
      <c r="S85" s="62">
        <f ca="1">AVERAGE(OFFSET($R$3,0,0,'Données projet'!$E$9+1,1))-AVERAGE(OFFSET($H$3,0,0,'Données projet'!$E$9+1,1))</f>
        <v>428.8489304403459</v>
      </c>
      <c r="T85" s="62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-9.9316821433603781E-14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274.66236526869056</v>
      </c>
      <c r="AO85" s="62">
        <f t="shared" si="90"/>
        <v>256.90876395053073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254.71679999999992</v>
      </c>
      <c r="BF85" s="14">
        <f t="shared" si="91"/>
        <v>61.594871205031538</v>
      </c>
      <c r="BG85" s="22">
        <f t="shared" si="61"/>
        <v>550.9094940154298</v>
      </c>
      <c r="BH85" s="62">
        <f t="shared" si="62"/>
        <v>844.24282734876306</v>
      </c>
      <c r="BI85" s="62">
        <f ca="1">AVERAGE(OFFSET($BH$3,0,0,'Données projet'!$E$11+1,1))-AVERAGE(OFFSET($H$3,0,0,'Données projet'!$E$11+1,1))</f>
        <v>475.47920969424894</v>
      </c>
      <c r="BJ85" s="62">
        <f t="shared" si="92"/>
        <v>271.73544012419364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3.9743589743589722</v>
      </c>
      <c r="BY85" s="13">
        <f>IF('Données projet'!$A$114&gt;35,BY84+BX85-CG84,IF(A85&lt;'Données projet'!$A$114,$BV$205^A85,IF(A85='Données projet'!$A$114,'Données projet'!$B$114,BY84+BX85-CG84)))</f>
        <v>272.05128205128193</v>
      </c>
      <c r="BZ85" s="14">
        <f>BY85*VLOOKUP('Données projet'!$B$12,Paramètres!$A$1:$I$89,3,0)*VLOOKUP('Données projet'!$B$12,Paramètres!$A$1:$I$89,5,0)</f>
        <v>284.3479999999999</v>
      </c>
      <c r="CA85" s="14">
        <f t="shared" si="93"/>
        <v>67.885040601884512</v>
      </c>
      <c r="CB85" s="22">
        <f t="shared" si="64"/>
        <v>613.47254571494852</v>
      </c>
      <c r="CC85" s="62">
        <f t="shared" si="65"/>
        <v>906.80587904828189</v>
      </c>
      <c r="CD85" s="62">
        <f ca="1">AVERAGE(OFFSET($CC$3,0,0,'Données projet'!$E$12+1,1))-AVERAGE(OFFSET($H$3,0,0,'Données projet'!$E$12+1,1))</f>
        <v>490.26236605482961</v>
      </c>
      <c r="CE85" s="62">
        <f t="shared" si="94"/>
        <v>283.40133947156238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2.8</v>
      </c>
      <c r="CT85" s="13">
        <f>IF('Données projet'!$A$140&gt;35,CT84+CS85-DB84,IF(A85&lt;'Données projet'!$A$140,$CQ$205^A85,IF(A85='Données projet'!$A$140,'Données projet'!$B$140,CT84+CS85-DB84)))</f>
        <v>213.59999999999991</v>
      </c>
      <c r="CU85" s="18">
        <f>CT85*VLOOKUP('Données projet'!$B$13,Paramètres!$A$1:$I$89,3,0)*VLOOKUP('Données projet'!$B$13,Paramètres!$A$1:$I$89,5,0)</f>
        <v>186.60095999999993</v>
      </c>
      <c r="CV85" s="14">
        <f t="shared" si="95"/>
        <v>46.787685683664144</v>
      </c>
      <c r="CW85" s="22">
        <f t="shared" si="67"/>
        <v>406.48522456571487</v>
      </c>
      <c r="CX85" s="62">
        <f t="shared" si="68"/>
        <v>699.81855789904819</v>
      </c>
      <c r="CY85" s="62">
        <f ca="1">AVERAGE(OFFSET($CX$3,0,0,'Données projet'!$E$13+1,1))-AVERAGE(OFFSET($H$3,0,0,'Données projet'!$E$13+1,1))</f>
        <v>315.3516976788701</v>
      </c>
      <c r="CZ85" s="62">
        <f t="shared" si="96"/>
        <v>266.32508105927997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270.39167999999989</v>
      </c>
      <c r="EL85" s="14">
        <f t="shared" si="99"/>
        <v>64.932386654872516</v>
      </c>
      <c r="EM85" s="22">
        <f t="shared" si="73"/>
        <v>584.02274942390272</v>
      </c>
      <c r="EN85" s="62">
        <f t="shared" si="74"/>
        <v>877.35608275723598</v>
      </c>
      <c r="EO85" s="62">
        <f ca="1">AVERAGE(OFFSET($EN$3,0,0,'Données projet'!$E$15+1,1))-AVERAGE(OFFSET($H$3,0,0,'Données projet'!$E$15+1,1))</f>
        <v>502.07782026233912</v>
      </c>
      <c r="EP85" s="62">
        <f t="shared" si="100"/>
        <v>285.83623046025156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3.8461538461538454</v>
      </c>
      <c r="FE85" s="13">
        <f>IF('Données projet'!$A$218&gt;35,FE84+FD85-FM84,IF(A85&lt;'Données projet'!$A$218,$FB$205^A85,IF(A85='Données projet'!$A$218,'Données projet'!$B$218,FE84+FD85-FM84)))</f>
        <v>221.15384615384602</v>
      </c>
      <c r="FF85" s="18">
        <f>FE85*VLOOKUP('Données projet'!$B$16,Paramètres!$A$1:$I$89,3,0)*VLOOKUP('Données projet'!$B$16,Paramètres!$A$1:$I$89,5,0)</f>
        <v>210.44999999999987</v>
      </c>
      <c r="FG85" s="14">
        <f t="shared" si="101"/>
        <v>52.033909765960338</v>
      </c>
      <c r="FH85" s="22">
        <f t="shared" si="76"/>
        <v>457.15947617571402</v>
      </c>
      <c r="FI85" s="62">
        <f t="shared" si="77"/>
        <v>750.49280950904733</v>
      </c>
      <c r="FJ85" s="62">
        <f ca="1">AVERAGE(OFFSET($FI$3,0,0,'Données projet'!$E$16+1,1))-AVERAGE(OFFSET($H$3,0,0,'Données projet'!$E$16+1,1))</f>
        <v>365.5904647357433</v>
      </c>
      <c r="FK85" s="62">
        <f t="shared" si="102"/>
        <v>256.56280810580841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-1.1368683772161603E-13</v>
      </c>
      <c r="GA85" s="18">
        <f>FZ85*VLOOKUP('Données projet'!$B$17,Paramètres!$A$1:$I$89,3,0)*VLOOKUP('Données projet'!$B$17,Paramètres!$A$1:$I$89,5,0)</f>
        <v>-9.2222762759774927E-14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256.19915261735281</v>
      </c>
      <c r="GF85" s="62">
        <f t="shared" si="104"/>
        <v>297.47246687305056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9.6128205128205195</v>
      </c>
      <c r="GU85" s="13">
        <f>IF('Données projet'!$A$270&gt;35,GU84+GT85-HC84,IF(A85&lt;'Données projet'!$A$270,$GR$205^A85,IF(A85='Données projet'!$A$270,'Données projet'!$B$270,GU84+GT85-HC84)))</f>
        <v>349.99230769230769</v>
      </c>
      <c r="GV85" s="18">
        <f>GU85*VLOOKUP('Données projet'!$B$18,Paramètres!$A$1:$I$89,3,0)*VLOOKUP('Données projet'!$B$18,Paramètres!$A$1:$I$89,5,0)</f>
        <v>163.79640000000001</v>
      </c>
      <c r="GW85" s="14">
        <f t="shared" si="105"/>
        <v>41.697631851997592</v>
      </c>
      <c r="GX85" s="22">
        <f t="shared" si="82"/>
        <v>357.90210547556245</v>
      </c>
      <c r="GY85" s="62">
        <f t="shared" si="83"/>
        <v>651.23543880889576</v>
      </c>
      <c r="GZ85" s="62">
        <f ca="1">AVERAGE(OFFSET($GY$3,0,0,'Données projet'!$E$18+1,1))-AVERAGE(OFFSET($H$3,0,0,'Données projet'!$E$18+1,1))</f>
        <v>284.704043530756</v>
      </c>
      <c r="HA85" s="62">
        <f t="shared" si="106"/>
        <v>190.4880882944471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2">
        <f t="shared" si="55"/>
        <v>796.92530469359974</v>
      </c>
      <c r="S86" s="62">
        <f ca="1">AVERAGE(OFFSET($R$3,0,0,'Données projet'!$E$9+1,1))-AVERAGE(OFFSET($H$3,0,0,'Données projet'!$E$9+1,1))</f>
        <v>428.8489304403459</v>
      </c>
      <c r="T86" s="62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-9.9316821433603781E-14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274.66236526869056</v>
      </c>
      <c r="AO86" s="62">
        <f t="shared" si="90"/>
        <v>256.90876395053073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260.39519999999987</v>
      </c>
      <c r="BF86" s="14">
        <f t="shared" si="91"/>
        <v>62.806611177714331</v>
      </c>
      <c r="BG86" s="22">
        <f t="shared" si="61"/>
        <v>562.90982113451889</v>
      </c>
      <c r="BH86" s="62">
        <f t="shared" si="62"/>
        <v>856.24315446785226</v>
      </c>
      <c r="BI86" s="62">
        <f ca="1">AVERAGE(OFFSET($BH$3,0,0,'Données projet'!$E$11+1,1))-AVERAGE(OFFSET($H$3,0,0,'Données projet'!$E$11+1,1))</f>
        <v>475.47920969424894</v>
      </c>
      <c r="BJ86" s="62">
        <f t="shared" si="92"/>
        <v>271.73544012419364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3.9743589743589722</v>
      </c>
      <c r="BY86" s="13">
        <f>IF('Données projet'!$A$114&gt;35,BY85+BX86-CG85,IF(A86&lt;'Données projet'!$A$114,$BV$205^A86,IF(A86='Données projet'!$A$114,'Données projet'!$B$114,BY85+BX86-CG85)))</f>
        <v>276.02564102564088</v>
      </c>
      <c r="BZ86" s="14">
        <f>BY86*VLOOKUP('Données projet'!$B$12,Paramètres!$A$1:$I$89,3,0)*VLOOKUP('Données projet'!$B$12,Paramètres!$A$1:$I$89,5,0)</f>
        <v>288.5019999999999</v>
      </c>
      <c r="CA86" s="14">
        <f t="shared" si="93"/>
        <v>68.760586036036358</v>
      </c>
      <c r="CB86" s="22">
        <f t="shared" si="64"/>
        <v>622.23233734609641</v>
      </c>
      <c r="CC86" s="62">
        <f t="shared" si="65"/>
        <v>915.56567067942979</v>
      </c>
      <c r="CD86" s="62">
        <f ca="1">AVERAGE(OFFSET($CC$3,0,0,'Données projet'!$E$12+1,1))-AVERAGE(OFFSET($H$3,0,0,'Données projet'!$E$12+1,1))</f>
        <v>490.26236605482961</v>
      </c>
      <c r="CE86" s="62">
        <f t="shared" si="94"/>
        <v>283.40133947156238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2.8</v>
      </c>
      <c r="CT86" s="13">
        <f>IF('Données projet'!$A$140&gt;35,CT85+CS86-DB85,IF(A86&lt;'Données projet'!$A$140,$CQ$205^A86,IF(A86='Données projet'!$A$140,'Données projet'!$B$140,CT85+CS86-DB85)))</f>
        <v>216.39999999999992</v>
      </c>
      <c r="CU86" s="18">
        <f>CT86*VLOOKUP('Données projet'!$B$13,Paramètres!$A$1:$I$89,3,0)*VLOOKUP('Données projet'!$B$13,Paramètres!$A$1:$I$89,5,0)</f>
        <v>189.04703999999995</v>
      </c>
      <c r="CV86" s="14">
        <f t="shared" si="95"/>
        <v>47.329205309831551</v>
      </c>
      <c r="CW86" s="22">
        <f t="shared" si="67"/>
        <v>411.68862724795662</v>
      </c>
      <c r="CX86" s="62">
        <f t="shared" si="68"/>
        <v>705.02196058128993</v>
      </c>
      <c r="CY86" s="62">
        <f ca="1">AVERAGE(OFFSET($CX$3,0,0,'Données projet'!$E$13+1,1))-AVERAGE(OFFSET($H$3,0,0,'Données projet'!$E$13+1,1))</f>
        <v>315.3516976788701</v>
      </c>
      <c r="CZ86" s="62">
        <f t="shared" si="96"/>
        <v>266.32508105927997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276.41951999999986</v>
      </c>
      <c r="EL86" s="14">
        <f t="shared" si="99"/>
        <v>66.209784705913108</v>
      </c>
      <c r="EM86" s="22">
        <f t="shared" si="73"/>
        <v>596.74603902946512</v>
      </c>
      <c r="EN86" s="62">
        <f t="shared" si="74"/>
        <v>890.07937236279849</v>
      </c>
      <c r="EO86" s="62">
        <f ca="1">AVERAGE(OFFSET($EN$3,0,0,'Données projet'!$E$15+1,1))-AVERAGE(OFFSET($H$3,0,0,'Données projet'!$E$15+1,1))</f>
        <v>502.07782026233912</v>
      </c>
      <c r="EP86" s="62">
        <f t="shared" si="100"/>
        <v>285.83623046025156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3.8461538461538454</v>
      </c>
      <c r="FE86" s="13">
        <f>IF('Données projet'!$A$218&gt;35,FE85+FD86-FM85,IF(A86&lt;'Données projet'!$A$218,$FB$205^A86,IF(A86='Données projet'!$A$218,'Données projet'!$B$218,FE85+FD86-FM85)))</f>
        <v>224.99999999999986</v>
      </c>
      <c r="FF86" s="18">
        <f>FE86*VLOOKUP('Données projet'!$B$16,Paramètres!$A$1:$I$89,3,0)*VLOOKUP('Données projet'!$B$16,Paramètres!$A$1:$I$89,5,0)</f>
        <v>214.10999999999987</v>
      </c>
      <c r="FG86" s="14">
        <f t="shared" si="101"/>
        <v>52.832708448119853</v>
      </c>
      <c r="FH86" s="22">
        <f t="shared" si="76"/>
        <v>464.92521721380848</v>
      </c>
      <c r="FI86" s="62">
        <f t="shared" si="77"/>
        <v>758.25855054714179</v>
      </c>
      <c r="FJ86" s="62">
        <f ca="1">AVERAGE(OFFSET($FI$3,0,0,'Données projet'!$E$16+1,1))-AVERAGE(OFFSET($H$3,0,0,'Données projet'!$E$16+1,1))</f>
        <v>365.5904647357433</v>
      </c>
      <c r="FK86" s="62">
        <f t="shared" si="102"/>
        <v>256.56280810580841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-1.1368683772161603E-13</v>
      </c>
      <c r="GA86" s="18">
        <f>FZ86*VLOOKUP('Données projet'!$B$17,Paramètres!$A$1:$I$89,3,0)*VLOOKUP('Données projet'!$B$17,Paramètres!$A$1:$I$89,5,0)</f>
        <v>-9.2222762759774927E-14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256.19915261735281</v>
      </c>
      <c r="GF86" s="62">
        <f t="shared" si="104"/>
        <v>297.47246687305056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9.6128205128205195</v>
      </c>
      <c r="GU86" s="13">
        <f>IF('Données projet'!$A$270&gt;35,GU85+GT86-HC85,IF(A86&lt;'Données projet'!$A$270,$GR$205^A86,IF(A86='Données projet'!$A$270,'Données projet'!$B$270,GU85+GT86-HC85)))</f>
        <v>359.60512820512821</v>
      </c>
      <c r="GV86" s="18">
        <f>GU86*VLOOKUP('Données projet'!$B$18,Paramètres!$A$1:$I$89,3,0)*VLOOKUP('Données projet'!$B$18,Paramètres!$A$1:$I$89,5,0)</f>
        <v>168.29520000000002</v>
      </c>
      <c r="GW86" s="14">
        <f t="shared" si="105"/>
        <v>42.707981414721587</v>
      </c>
      <c r="GX86" s="22">
        <f t="shared" si="82"/>
        <v>367.4972076306401</v>
      </c>
      <c r="GY86" s="62">
        <f t="shared" si="83"/>
        <v>660.83054096397336</v>
      </c>
      <c r="GZ86" s="62">
        <f ca="1">AVERAGE(OFFSET($GY$3,0,0,'Données projet'!$E$18+1,1))-AVERAGE(OFFSET($H$3,0,0,'Données projet'!$E$18+1,1))</f>
        <v>284.704043530756</v>
      </c>
      <c r="HA86" s="62">
        <f t="shared" si="106"/>
        <v>190.4880882944471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2">
        <f t="shared" si="55"/>
        <v>807.65359376827541</v>
      </c>
      <c r="S87" s="62">
        <f ca="1">AVERAGE(OFFSET($R$3,0,0,'Données projet'!$E$9+1,1))-AVERAGE(OFFSET($H$3,0,0,'Données projet'!$E$9+1,1))</f>
        <v>428.8489304403459</v>
      </c>
      <c r="T87" s="62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-9.9316821433603781E-14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274.66236526869056</v>
      </c>
      <c r="AO87" s="62">
        <f t="shared" si="90"/>
        <v>256.90876395053073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266.07359999999994</v>
      </c>
      <c r="BF87" s="14">
        <f t="shared" si="91"/>
        <v>64.015279012301136</v>
      </c>
      <c r="BG87" s="22">
        <f t="shared" si="61"/>
        <v>574.90479761309098</v>
      </c>
      <c r="BH87" s="62">
        <f t="shared" si="62"/>
        <v>868.23813094642423</v>
      </c>
      <c r="BI87" s="62">
        <f ca="1">AVERAGE(OFFSET($BH$3,0,0,'Données projet'!$E$11+1,1))-AVERAGE(OFFSET($H$3,0,0,'Données projet'!$E$11+1,1))</f>
        <v>475.47920969424894</v>
      </c>
      <c r="BJ87" s="62">
        <f t="shared" si="92"/>
        <v>271.73544012419364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3.9743589743589722</v>
      </c>
      <c r="BY87" s="13">
        <f>IF('Données projet'!$A$114&gt;35,BY86+BX87-CG86,IF(A87&lt;'Données projet'!$A$114,$BV$205^A87,IF(A87='Données projet'!$A$114,'Données projet'!$B$114,BY86+BX87-CG86)))</f>
        <v>279.99999999999983</v>
      </c>
      <c r="BZ87" s="14">
        <f>BY87*VLOOKUP('Données projet'!$B$12,Paramètres!$A$1:$I$89,3,0)*VLOOKUP('Données projet'!$B$12,Paramètres!$A$1:$I$89,5,0)</f>
        <v>292.65599999999989</v>
      </c>
      <c r="CA87" s="14">
        <f t="shared" si="93"/>
        <v>69.634665242845699</v>
      </c>
      <c r="CB87" s="22">
        <f t="shared" si="64"/>
        <v>630.98957529795609</v>
      </c>
      <c r="CC87" s="62">
        <f t="shared" si="65"/>
        <v>924.32290863128947</v>
      </c>
      <c r="CD87" s="62">
        <f ca="1">AVERAGE(OFFSET($CC$3,0,0,'Données projet'!$E$12+1,1))-AVERAGE(OFFSET($H$3,0,0,'Données projet'!$E$12+1,1))</f>
        <v>490.26236605482961</v>
      </c>
      <c r="CE87" s="62">
        <f t="shared" si="94"/>
        <v>283.40133947156238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2.8</v>
      </c>
      <c r="CT87" s="13">
        <f>IF('Données projet'!$A$140&gt;35,CT86+CS87-DB86,IF(A87&lt;'Données projet'!$A$140,$CQ$205^A87,IF(A87='Données projet'!$A$140,'Données projet'!$B$140,CT86+CS87-DB86)))</f>
        <v>219.19999999999993</v>
      </c>
      <c r="CU87" s="18">
        <f>CT87*VLOOKUP('Données projet'!$B$13,Paramètres!$A$1:$I$89,3,0)*VLOOKUP('Données projet'!$B$13,Paramètres!$A$1:$I$89,5,0)</f>
        <v>191.49311999999995</v>
      </c>
      <c r="CV87" s="14">
        <f t="shared" si="95"/>
        <v>47.86990994320918</v>
      </c>
      <c r="CW87" s="22">
        <f t="shared" si="67"/>
        <v>416.89061048442255</v>
      </c>
      <c r="CX87" s="62">
        <f t="shared" si="68"/>
        <v>710.22394381775587</v>
      </c>
      <c r="CY87" s="62">
        <f ca="1">AVERAGE(OFFSET($CX$3,0,0,'Données projet'!$E$13+1,1))-AVERAGE(OFFSET($H$3,0,0,'Données projet'!$E$13+1,1))</f>
        <v>315.3516976788701</v>
      </c>
      <c r="CZ87" s="62">
        <f t="shared" si="96"/>
        <v>266.32508105927997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282.44735999999989</v>
      </c>
      <c r="EL87" s="14">
        <f t="shared" si="99"/>
        <v>67.48394415518699</v>
      </c>
      <c r="EM87" s="22">
        <f t="shared" si="73"/>
        <v>609.46368807028375</v>
      </c>
      <c r="EN87" s="62">
        <f t="shared" si="74"/>
        <v>902.79702140361701</v>
      </c>
      <c r="EO87" s="62">
        <f ca="1">AVERAGE(OFFSET($EN$3,0,0,'Données projet'!$E$15+1,1))-AVERAGE(OFFSET($H$3,0,0,'Données projet'!$E$15+1,1))</f>
        <v>502.07782026233912</v>
      </c>
      <c r="EP87" s="62">
        <f t="shared" si="100"/>
        <v>285.83623046025156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3.8461538461538454</v>
      </c>
      <c r="FE87" s="13">
        <f>IF('Données projet'!$A$218&gt;35,FE86+FD87-FM86,IF(A87&lt;'Données projet'!$A$218,$FB$205^A87,IF(A87='Données projet'!$A$218,'Données projet'!$B$218,FE86+FD87-FM86)))</f>
        <v>228.8461538461537</v>
      </c>
      <c r="FF87" s="18">
        <f>FE87*VLOOKUP('Données projet'!$B$16,Paramètres!$A$1:$I$89,3,0)*VLOOKUP('Données projet'!$B$16,Paramètres!$A$1:$I$89,5,0)</f>
        <v>217.76999999999987</v>
      </c>
      <c r="FG87" s="14">
        <f t="shared" si="101"/>
        <v>53.629919224169903</v>
      </c>
      <c r="FH87" s="22">
        <f t="shared" si="76"/>
        <v>472.68819264876225</v>
      </c>
      <c r="FI87" s="62">
        <f t="shared" si="77"/>
        <v>766.02152598209557</v>
      </c>
      <c r="FJ87" s="62">
        <f ca="1">AVERAGE(OFFSET($FI$3,0,0,'Données projet'!$E$16+1,1))-AVERAGE(OFFSET($H$3,0,0,'Données projet'!$E$16+1,1))</f>
        <v>365.5904647357433</v>
      </c>
      <c r="FK87" s="62">
        <f t="shared" si="102"/>
        <v>256.56280810580841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-1.1368683772161603E-13</v>
      </c>
      <c r="GA87" s="18">
        <f>FZ87*VLOOKUP('Données projet'!$B$17,Paramètres!$A$1:$I$89,3,0)*VLOOKUP('Données projet'!$B$17,Paramètres!$A$1:$I$89,5,0)</f>
        <v>-9.2222762759774927E-14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256.19915261735281</v>
      </c>
      <c r="GF87" s="62">
        <f t="shared" si="104"/>
        <v>297.47246687305056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9.6128205128205195</v>
      </c>
      <c r="GU87" s="13">
        <f>IF('Données projet'!$A$270&gt;35,GU86+GT87-HC86,IF(A87&lt;'Données projet'!$A$270,$GR$205^A87,IF(A87='Données projet'!$A$270,'Données projet'!$B$270,GU86+GT87-HC86)))</f>
        <v>369.21794871794873</v>
      </c>
      <c r="GV87" s="18">
        <f>GU87*VLOOKUP('Données projet'!$B$18,Paramètres!$A$1:$I$89,3,0)*VLOOKUP('Données projet'!$B$18,Paramètres!$A$1:$I$89,5,0)</f>
        <v>172.79400000000001</v>
      </c>
      <c r="GW87" s="14">
        <f t="shared" si="105"/>
        <v>43.715191706757231</v>
      </c>
      <c r="GX87" s="22">
        <f t="shared" si="82"/>
        <v>377.08684222260217</v>
      </c>
      <c r="GY87" s="62">
        <f t="shared" si="83"/>
        <v>670.42017555593543</v>
      </c>
      <c r="GZ87" s="62">
        <f ca="1">AVERAGE(OFFSET($GY$3,0,0,'Données projet'!$E$18+1,1))-AVERAGE(OFFSET($H$3,0,0,'Données projet'!$E$18+1,1))</f>
        <v>284.704043530756</v>
      </c>
      <c r="HA87" s="62">
        <f t="shared" si="106"/>
        <v>190.4880882944471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2">
        <f t="shared" si="55"/>
        <v>818.37715982660688</v>
      </c>
      <c r="S88" s="62">
        <f ca="1">AVERAGE(OFFSET($R$3,0,0,'Données projet'!$E$9+1,1))-AVERAGE(OFFSET($H$3,0,0,'Données projet'!$E$9+1,1))</f>
        <v>428.8489304403459</v>
      </c>
      <c r="T88" s="62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-9.9316821433603781E-14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274.66236526869056</v>
      </c>
      <c r="AO88" s="62">
        <f t="shared" si="90"/>
        <v>256.90876395053073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271.75199999999995</v>
      </c>
      <c r="BF88" s="14">
        <f t="shared" si="91"/>
        <v>65.220947824724931</v>
      </c>
      <c r="BG88" s="22">
        <f t="shared" si="61"/>
        <v>586.89455079472907</v>
      </c>
      <c r="BH88" s="62">
        <f t="shared" si="62"/>
        <v>880.22788412806244</v>
      </c>
      <c r="BI88" s="62">
        <f ca="1">AVERAGE(OFFSET($BH$3,0,0,'Données projet'!$E$11+1,1))-AVERAGE(OFFSET($H$3,0,0,'Données projet'!$E$11+1,1))</f>
        <v>475.47920969424894</v>
      </c>
      <c r="BJ88" s="62">
        <f t="shared" si="92"/>
        <v>271.73544012419364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287.82051282051282</v>
      </c>
      <c r="BW88" s="13">
        <f>VLOOKUP(A88,'Données projet'!$A$113:$I$133,9,0)</f>
        <v>3.9743589743589722</v>
      </c>
      <c r="BX88" s="13">
        <f t="array" ref="BX88">INDEX(BW:BW,MIN(IF(ISNUMBER(BW88:BW284),ROW(BW88:BW284),"")))</f>
        <v>3.9743589743589722</v>
      </c>
      <c r="BY88" s="13">
        <f>IF('Données projet'!$A$114&gt;35,BY87+BX88-CG87,IF(A88&lt;'Données projet'!$A$114,$BV$205^A88,IF(A88='Données projet'!$A$114,'Données projet'!$B$114,BY87+BX88-CG87)))</f>
        <v>283.97435897435878</v>
      </c>
      <c r="BZ88" s="14">
        <f>BY88*VLOOKUP('Données projet'!$B$12,Paramètres!$A$1:$I$89,3,0)*VLOOKUP('Données projet'!$B$12,Paramètres!$A$1:$I$89,5,0)</f>
        <v>296.80999999999983</v>
      </c>
      <c r="CA88" s="14">
        <f t="shared" si="93"/>
        <v>70.507301439031068</v>
      </c>
      <c r="CB88" s="22">
        <f t="shared" si="64"/>
        <v>639.74430000631207</v>
      </c>
      <c r="CC88" s="62">
        <f t="shared" si="65"/>
        <v>933.07763333964544</v>
      </c>
      <c r="CD88" s="62">
        <f ca="1">AVERAGE(OFFSET($CC$3,0,0,'Données projet'!$E$12+1,1))-AVERAGE(OFFSET($H$3,0,0,'Données projet'!$E$12+1,1))</f>
        <v>490.26236605482961</v>
      </c>
      <c r="CE88" s="62">
        <f t="shared" si="94"/>
        <v>283.40133947156238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21.794871794871796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222</v>
      </c>
      <c r="CR88" s="13">
        <f>VLOOKUP(A88,'Données projet'!$A$139:$I$159,9,0)</f>
        <v>2.8</v>
      </c>
      <c r="CS88" s="13">
        <f t="array" ref="CS88">INDEX(CR:CR,MIN(IF(ISNUMBER(CR88:CR284),ROW(CR88:CR284),"")))</f>
        <v>2.8</v>
      </c>
      <c r="CT88" s="13">
        <f>IF('Données projet'!$A$140&gt;35,CT87+CS88-DB87,IF(A88&lt;'Données projet'!$A$140,$CQ$205^A88,IF(A88='Données projet'!$A$140,'Données projet'!$B$140,CT87+CS88-DB87)))</f>
        <v>221.99999999999994</v>
      </c>
      <c r="CU88" s="18">
        <f>CT88*VLOOKUP('Données projet'!$B$13,Paramètres!$A$1:$I$89,3,0)*VLOOKUP('Données projet'!$B$13,Paramètres!$A$1:$I$89,5,0)</f>
        <v>193.93919999999997</v>
      </c>
      <c r="CV88" s="14">
        <f t="shared" si="95"/>
        <v>48.409811198069342</v>
      </c>
      <c r="CW88" s="22">
        <f t="shared" si="67"/>
        <v>422.091194503304</v>
      </c>
      <c r="CX88" s="62">
        <f t="shared" si="68"/>
        <v>715.42452783663725</v>
      </c>
      <c r="CY88" s="62">
        <f ca="1">AVERAGE(OFFSET($CX$3,0,0,'Données projet'!$E$13+1,1))-AVERAGE(OFFSET($H$3,0,0,'Données projet'!$E$13+1,1))</f>
        <v>315.3516976788701</v>
      </c>
      <c r="CZ88" s="62">
        <f t="shared" si="96"/>
        <v>266.32508105927997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288.47519999999997</v>
      </c>
      <c r="EL88" s="14">
        <f t="shared" si="99"/>
        <v>68.754942080410842</v>
      </c>
      <c r="EM88" s="22">
        <f t="shared" si="73"/>
        <v>622.17583079004874</v>
      </c>
      <c r="EN88" s="62">
        <f t="shared" si="74"/>
        <v>915.50916412338211</v>
      </c>
      <c r="EO88" s="62">
        <f ca="1">AVERAGE(OFFSET($EN$3,0,0,'Données projet'!$E$15+1,1))-AVERAGE(OFFSET($H$3,0,0,'Données projet'!$E$15+1,1))</f>
        <v>502.07782026233912</v>
      </c>
      <c r="EP88" s="62">
        <f t="shared" si="100"/>
        <v>285.83623046025156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232.69230769230768</v>
      </c>
      <c r="FC88" s="13">
        <f>VLOOKUP(A88,'Données projet'!$A$217:$I$237,9,0)</f>
        <v>3.8461538461538454</v>
      </c>
      <c r="FD88" s="13">
        <f t="array" ref="FD88">INDEX(FC:FC,MIN(IF(ISNUMBER(FC88:FC284),ROW(FC88:FC284),"")))</f>
        <v>3.8461538461538454</v>
      </c>
      <c r="FE88" s="13">
        <f>IF('Données projet'!$A$218&gt;35,FE87+FD88-FM87,IF(A88&lt;'Données projet'!$A$218,$FB$205^A88,IF(A88='Données projet'!$A$218,'Données projet'!$B$218,FE87+FD88-FM87)))</f>
        <v>232.69230769230754</v>
      </c>
      <c r="FF88" s="18">
        <f>FE88*VLOOKUP('Données projet'!$B$16,Paramètres!$A$1:$I$89,3,0)*VLOOKUP('Données projet'!$B$16,Paramètres!$A$1:$I$89,5,0)</f>
        <v>221.42999999999986</v>
      </c>
      <c r="FG88" s="14">
        <f t="shared" si="101"/>
        <v>54.425571861733111</v>
      </c>
      <c r="FH88" s="22">
        <f t="shared" si="76"/>
        <v>480.44845432585157</v>
      </c>
      <c r="FI88" s="62">
        <f t="shared" si="77"/>
        <v>773.78178765918483</v>
      </c>
      <c r="FJ88" s="62">
        <f ca="1">AVERAGE(OFFSET($FI$3,0,0,'Données projet'!$E$16+1,1))-AVERAGE(OFFSET($H$3,0,0,'Données projet'!$E$16+1,1))</f>
        <v>365.5904647357433</v>
      </c>
      <c r="FK88" s="62">
        <f t="shared" si="102"/>
        <v>256.56280810580841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26.282051282051281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-1.1368683772161603E-13</v>
      </c>
      <c r="GA88" s="18">
        <f>FZ88*VLOOKUP('Données projet'!$B$17,Paramètres!$A$1:$I$89,3,0)*VLOOKUP('Données projet'!$B$17,Paramètres!$A$1:$I$89,5,0)</f>
        <v>-9.2222762759774927E-14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256.19915261735281</v>
      </c>
      <c r="GF88" s="62">
        <f t="shared" si="104"/>
        <v>297.47246687305056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378.83076923076925</v>
      </c>
      <c r="GS88" s="13">
        <f>VLOOKUP(A88,'Données projet'!$A$269:$I$289,9,0)</f>
        <v>9.6128205128205195</v>
      </c>
      <c r="GT88" s="13">
        <f t="array" ref="GT88">INDEX(GS:GS,MIN(IF(ISNUMBER(GS88:GS284),ROW(GS88:GS284),"")))</f>
        <v>9.6128205128205195</v>
      </c>
      <c r="GU88" s="13">
        <f>IF('Données projet'!$A$270&gt;35,GU87+GT88-HC87,IF(A88&lt;'Données projet'!$A$270,$GR$205^A88,IF(A88='Données projet'!$A$270,'Données projet'!$B$270,GU87+GT88-HC87)))</f>
        <v>378.83076923076925</v>
      </c>
      <c r="GV88" s="18">
        <f>GU88*VLOOKUP('Données projet'!$B$18,Paramètres!$A$1:$I$89,3,0)*VLOOKUP('Données projet'!$B$18,Paramètres!$A$1:$I$89,5,0)</f>
        <v>177.2928</v>
      </c>
      <c r="GW88" s="14">
        <f t="shared" si="105"/>
        <v>44.719353857403867</v>
      </c>
      <c r="GX88" s="22">
        <f t="shared" si="82"/>
        <v>386.67116796831169</v>
      </c>
      <c r="GY88" s="62">
        <f t="shared" si="83"/>
        <v>680.00450130164495</v>
      </c>
      <c r="GZ88" s="62">
        <f ca="1">AVERAGE(OFFSET($GY$3,0,0,'Données projet'!$E$18+1,1))-AVERAGE(OFFSET($H$3,0,0,'Données projet'!$E$18+1,1))</f>
        <v>284.704043530756</v>
      </c>
      <c r="HA88" s="62">
        <f t="shared" si="106"/>
        <v>190.4880882944471</v>
      </c>
      <c r="HB88" s="16">
        <f>IF(ISNA(VLOOKUP(A88,'Données projet'!$A$269:$I$289,3,0)),0,VLOOKUP(A88,'Données projet'!$A$269:$I$289,3,0))</f>
        <v>4</v>
      </c>
      <c r="HC88" s="16">
        <f>IF(ISNA(VLOOKUP(A88,'Données projet'!$A$269:$I$289,4,0)),0,VLOOKUP(A88,'Données projet'!$A$269:$I$289,4,0))</f>
        <v>85.207692307692298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2">
        <f t="shared" si="55"/>
        <v>829.09611292828231</v>
      </c>
      <c r="S89" s="62">
        <f ca="1">AVERAGE(OFFSET($R$3,0,0,'Données projet'!$E$9+1,1))-AVERAGE(OFFSET($H$3,0,0,'Données projet'!$E$9+1,1))</f>
        <v>428.8489304403459</v>
      </c>
      <c r="T89" s="62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-9.9316821433603781E-14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274.66236526869056</v>
      </c>
      <c r="AO89" s="62">
        <f t="shared" si="90"/>
        <v>256.90876395053073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277.43039999999996</v>
      </c>
      <c r="BF89" s="14">
        <f t="shared" si="91"/>
        <v>66.423687500715673</v>
      </c>
      <c r="BG89" s="22">
        <f t="shared" si="61"/>
        <v>598.87920239707967</v>
      </c>
      <c r="BH89" s="62">
        <f t="shared" si="62"/>
        <v>892.21253573041304</v>
      </c>
      <c r="BI89" s="62">
        <f ca="1">AVERAGE(OFFSET($BH$3,0,0,'Données projet'!$E$11+1,1))-AVERAGE(OFFSET($H$3,0,0,'Données projet'!$E$11+1,1))</f>
        <v>475.47920969424894</v>
      </c>
      <c r="BJ89" s="62">
        <f t="shared" si="92"/>
        <v>271.73544012419364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3.8461538461538454</v>
      </c>
      <c r="BY89" s="13">
        <f>IF('Données projet'!$A$114&gt;35,BY88+BX89-CG88,IF(A89&lt;'Données projet'!$A$114,$BV$205^A89,IF(A89='Données projet'!$A$114,'Données projet'!$B$114,BY88+BX89-CG88)))</f>
        <v>266.02564102564088</v>
      </c>
      <c r="BZ89" s="14">
        <f>BY89*VLOOKUP('Données projet'!$B$12,Paramètres!$A$1:$I$89,3,0)*VLOOKUP('Données projet'!$B$12,Paramètres!$A$1:$I$89,5,0)</f>
        <v>278.04999999999984</v>
      </c>
      <c r="CA89" s="14">
        <f t="shared" si="93"/>
        <v>66.554750361424624</v>
      </c>
      <c r="CB89" s="22">
        <f t="shared" si="64"/>
        <v>600.18660687948091</v>
      </c>
      <c r="CC89" s="62">
        <f t="shared" si="65"/>
        <v>893.51994021281416</v>
      </c>
      <c r="CD89" s="62">
        <f ca="1">AVERAGE(OFFSET($CC$3,0,0,'Données projet'!$E$12+1,1))-AVERAGE(OFFSET($H$3,0,0,'Données projet'!$E$12+1,1))</f>
        <v>490.26236605482961</v>
      </c>
      <c r="CE89" s="62">
        <f t="shared" si="94"/>
        <v>283.40133947156238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2.8</v>
      </c>
      <c r="CT89" s="13">
        <f>IF('Données projet'!$A$140&gt;35,CT88+CS89-DB88,IF(A89&lt;'Données projet'!$A$140,$CQ$205^A89,IF(A89='Données projet'!$A$140,'Données projet'!$B$140,CT88+CS89-DB88)))</f>
        <v>203.79999999999995</v>
      </c>
      <c r="CU89" s="18">
        <f>CT89*VLOOKUP('Données projet'!$B$13,Paramètres!$A$1:$I$89,3,0)*VLOOKUP('Données projet'!$B$13,Paramètres!$A$1:$I$89,5,0)</f>
        <v>178.03967999999998</v>
      </c>
      <c r="CV89" s="14">
        <f t="shared" si="95"/>
        <v>44.885773518007284</v>
      </c>
      <c r="CW89" s="22">
        <f t="shared" si="67"/>
        <v>388.26183154386263</v>
      </c>
      <c r="CX89" s="62">
        <f t="shared" si="68"/>
        <v>681.59516487719588</v>
      </c>
      <c r="CY89" s="62">
        <f ca="1">AVERAGE(OFFSET($CX$3,0,0,'Données projet'!$E$13+1,1))-AVERAGE(OFFSET($H$3,0,0,'Données projet'!$E$13+1,1))</f>
        <v>315.3516976788701</v>
      </c>
      <c r="CZ89" s="62">
        <f t="shared" si="96"/>
        <v>266.32508105927997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294.50303999999994</v>
      </c>
      <c r="EL89" s="14">
        <f t="shared" si="99"/>
        <v>70.022852154069838</v>
      </c>
      <c r="EM89" s="22">
        <f t="shared" si="73"/>
        <v>634.88259550167152</v>
      </c>
      <c r="EN89" s="62">
        <f t="shared" si="74"/>
        <v>928.21592883500489</v>
      </c>
      <c r="EO89" s="62">
        <f ca="1">AVERAGE(OFFSET($EN$3,0,0,'Données projet'!$E$15+1,1))-AVERAGE(OFFSET($H$3,0,0,'Données projet'!$E$15+1,1))</f>
        <v>502.07782026233912</v>
      </c>
      <c r="EP89" s="62">
        <f t="shared" si="100"/>
        <v>285.83623046025156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3.5897435897435912</v>
      </c>
      <c r="FE89" s="13">
        <f>IF('Données projet'!$A$218&gt;35,FE88+FD89-FM88,IF(A89&lt;'Données projet'!$A$218,$FB$205^A89,IF(A89='Données projet'!$A$218,'Données projet'!$B$218,FE88+FD89-FM88)))</f>
        <v>209.99999999999986</v>
      </c>
      <c r="FF89" s="18">
        <f>FE89*VLOOKUP('Données projet'!$B$16,Paramètres!$A$1:$I$89,3,0)*VLOOKUP('Données projet'!$B$16,Paramètres!$A$1:$I$89,5,0)</f>
        <v>199.83599999999987</v>
      </c>
      <c r="FG89" s="14">
        <f t="shared" si="101"/>
        <v>49.708123768564562</v>
      </c>
      <c r="FH89" s="22">
        <f t="shared" si="76"/>
        <v>434.62268223024967</v>
      </c>
      <c r="FI89" s="62">
        <f t="shared" si="77"/>
        <v>727.95601556358292</v>
      </c>
      <c r="FJ89" s="62">
        <f ca="1">AVERAGE(OFFSET($FI$3,0,0,'Données projet'!$E$16+1,1))-AVERAGE(OFFSET($H$3,0,0,'Données projet'!$E$16+1,1))</f>
        <v>365.5904647357433</v>
      </c>
      <c r="FK89" s="62">
        <f t="shared" si="102"/>
        <v>256.56280810580841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-1.1368683772161603E-13</v>
      </c>
      <c r="GA89" s="18">
        <f>FZ89*VLOOKUP('Données projet'!$B$17,Paramètres!$A$1:$I$89,3,0)*VLOOKUP('Données projet'!$B$17,Paramètres!$A$1:$I$89,5,0)</f>
        <v>-9.2222762759774927E-14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256.19915261735281</v>
      </c>
      <c r="GF89" s="62">
        <f t="shared" si="104"/>
        <v>297.47246687305056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8.6692307692307597</v>
      </c>
      <c r="GU89" s="13">
        <f>IF('Données projet'!$A$270&gt;35,GU88+GT89-HC88,IF(A89&lt;'Données projet'!$A$270,$GR$205^A89,IF(A89='Données projet'!$A$270,'Données projet'!$B$270,GU88+GT89-HC88)))</f>
        <v>302.2923076923077</v>
      </c>
      <c r="GV89" s="18">
        <f>GU89*VLOOKUP('Données projet'!$B$18,Paramètres!$A$1:$I$89,3,0)*VLOOKUP('Données projet'!$B$18,Paramètres!$A$1:$I$89,5,0)</f>
        <v>141.47280000000001</v>
      </c>
      <c r="GW89" s="14">
        <f t="shared" si="105"/>
        <v>36.634197520987641</v>
      </c>
      <c r="GX89" s="22">
        <f t="shared" si="82"/>
        <v>310.20302068238681</v>
      </c>
      <c r="GY89" s="62">
        <f t="shared" si="83"/>
        <v>603.53635401572012</v>
      </c>
      <c r="GZ89" s="62">
        <f ca="1">AVERAGE(OFFSET($GY$3,0,0,'Données projet'!$E$18+1,1))-AVERAGE(OFFSET($H$3,0,0,'Données projet'!$E$18+1,1))</f>
        <v>284.704043530756</v>
      </c>
      <c r="HA89" s="62">
        <f t="shared" si="106"/>
        <v>190.4880882944471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2">
        <f t="shared" si="55"/>
        <v>839.81055837008694</v>
      </c>
      <c r="S90" s="62">
        <f ca="1">AVERAGE(OFFSET($R$3,0,0,'Données projet'!$E$9+1,1))-AVERAGE(OFFSET($H$3,0,0,'Données projet'!$E$9+1,1))</f>
        <v>428.8489304403459</v>
      </c>
      <c r="T90" s="62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-9.9316821433603781E-14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274.66236526869056</v>
      </c>
      <c r="AO90" s="62">
        <f t="shared" si="90"/>
        <v>256.90876395053073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283.10879999999997</v>
      </c>
      <c r="BF90" s="14">
        <f t="shared" si="91"/>
        <v>67.623564901653808</v>
      </c>
      <c r="BG90" s="22">
        <f t="shared" si="61"/>
        <v>610.85886887038032</v>
      </c>
      <c r="BH90" s="62">
        <f t="shared" si="62"/>
        <v>904.19220220371358</v>
      </c>
      <c r="BI90" s="62">
        <f ca="1">AVERAGE(OFFSET($BH$3,0,0,'Données projet'!$E$11+1,1))-AVERAGE(OFFSET($H$3,0,0,'Données projet'!$E$11+1,1))</f>
        <v>475.47920969424894</v>
      </c>
      <c r="BJ90" s="62">
        <f t="shared" si="92"/>
        <v>271.73544012419364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3.8461538461538454</v>
      </c>
      <c r="BY90" s="13">
        <f>IF('Données projet'!$A$114&gt;35,BY89+BX90-CG89,IF(A90&lt;'Données projet'!$A$114,$BV$205^A90,IF(A90='Données projet'!$A$114,'Données projet'!$B$114,BY89+BX90-CG89)))</f>
        <v>269.87179487179475</v>
      </c>
      <c r="BZ90" s="14">
        <f>BY90*VLOOKUP('Données projet'!$B$12,Paramètres!$A$1:$I$89,3,0)*VLOOKUP('Données projet'!$B$12,Paramètres!$A$1:$I$89,5,0)</f>
        <v>282.06999999999988</v>
      </c>
      <c r="CA90" s="14">
        <f t="shared" si="93"/>
        <v>67.404271683035319</v>
      </c>
      <c r="CB90" s="22">
        <f t="shared" si="64"/>
        <v>608.66768984795306</v>
      </c>
      <c r="CC90" s="62">
        <f t="shared" si="65"/>
        <v>902.00102318128643</v>
      </c>
      <c r="CD90" s="62">
        <f ca="1">AVERAGE(OFFSET($CC$3,0,0,'Données projet'!$E$12+1,1))-AVERAGE(OFFSET($H$3,0,0,'Données projet'!$E$12+1,1))</f>
        <v>490.26236605482961</v>
      </c>
      <c r="CE90" s="62">
        <f t="shared" si="94"/>
        <v>283.40133947156238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2.8</v>
      </c>
      <c r="CT90" s="13">
        <f>IF('Données projet'!$A$140&gt;35,CT89+CS90-DB89,IF(A90&lt;'Données projet'!$A$140,$CQ$205^A90,IF(A90='Données projet'!$A$140,'Données projet'!$B$140,CT89+CS90-DB89)))</f>
        <v>206.59999999999997</v>
      </c>
      <c r="CU90" s="18">
        <f>CT90*VLOOKUP('Données projet'!$B$13,Paramètres!$A$1:$I$89,3,0)*VLOOKUP('Données projet'!$B$13,Paramètres!$A$1:$I$89,5,0)</f>
        <v>180.48576</v>
      </c>
      <c r="CV90" s="14">
        <f t="shared" si="95"/>
        <v>45.430241859839441</v>
      </c>
      <c r="CW90" s="22">
        <f t="shared" si="67"/>
        <v>393.47036990588703</v>
      </c>
      <c r="CX90" s="62">
        <f t="shared" si="68"/>
        <v>686.80370323922034</v>
      </c>
      <c r="CY90" s="62">
        <f ca="1">AVERAGE(OFFSET($CX$3,0,0,'Données projet'!$E$13+1,1))-AVERAGE(OFFSET($H$3,0,0,'Données projet'!$E$13+1,1))</f>
        <v>315.3516976788701</v>
      </c>
      <c r="CZ90" s="62">
        <f t="shared" si="96"/>
        <v>266.32508105927997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300.53087999999997</v>
      </c>
      <c r="EL90" s="14">
        <f t="shared" si="99"/>
        <v>71.287744860425462</v>
      </c>
      <c r="EM90" s="22">
        <f t="shared" si="73"/>
        <v>647.58410496524095</v>
      </c>
      <c r="EN90" s="62">
        <f t="shared" si="74"/>
        <v>940.91743829857433</v>
      </c>
      <c r="EO90" s="62">
        <f ca="1">AVERAGE(OFFSET($EN$3,0,0,'Données projet'!$E$15+1,1))-AVERAGE(OFFSET($H$3,0,0,'Données projet'!$E$15+1,1))</f>
        <v>502.07782026233912</v>
      </c>
      <c r="EP90" s="62">
        <f t="shared" si="100"/>
        <v>285.83623046025156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3.5897435897435912</v>
      </c>
      <c r="FE90" s="13">
        <f>IF('Données projet'!$A$218&gt;35,FE89+FD90-FM89,IF(A90&lt;'Données projet'!$A$218,$FB$205^A90,IF(A90='Données projet'!$A$218,'Données projet'!$B$218,FE89+FD90-FM89)))</f>
        <v>213.58974358974345</v>
      </c>
      <c r="FF90" s="18">
        <f>FE90*VLOOKUP('Données projet'!$B$16,Paramètres!$A$1:$I$89,3,0)*VLOOKUP('Données projet'!$B$16,Paramètres!$A$1:$I$89,5,0)</f>
        <v>203.25199999999987</v>
      </c>
      <c r="FG90" s="14">
        <f t="shared" si="101"/>
        <v>50.458186619581284</v>
      </c>
      <c r="FH90" s="22">
        <f t="shared" si="76"/>
        <v>441.87857502910379</v>
      </c>
      <c r="FI90" s="62">
        <f t="shared" si="77"/>
        <v>735.21190836243704</v>
      </c>
      <c r="FJ90" s="62">
        <f ca="1">AVERAGE(OFFSET($FI$3,0,0,'Données projet'!$E$16+1,1))-AVERAGE(OFFSET($H$3,0,0,'Données projet'!$E$16+1,1))</f>
        <v>365.5904647357433</v>
      </c>
      <c r="FK90" s="62">
        <f t="shared" si="102"/>
        <v>256.56280810580841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-1.1368683772161603E-13</v>
      </c>
      <c r="GA90" s="18">
        <f>FZ90*VLOOKUP('Données projet'!$B$17,Paramètres!$A$1:$I$89,3,0)*VLOOKUP('Données projet'!$B$17,Paramètres!$A$1:$I$89,5,0)</f>
        <v>-9.2222762759774927E-14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256.19915261735281</v>
      </c>
      <c r="GF90" s="62">
        <f t="shared" si="104"/>
        <v>297.47246687305056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8.6692307692307597</v>
      </c>
      <c r="GU90" s="13">
        <f>IF('Données projet'!$A$270&gt;35,GU89+GT90-HC89,IF(A90&lt;'Données projet'!$A$270,$GR$205^A90,IF(A90='Données projet'!$A$270,'Données projet'!$B$270,GU89+GT90-HC89)))</f>
        <v>310.96153846153845</v>
      </c>
      <c r="GV90" s="18">
        <f>GU90*VLOOKUP('Données projet'!$B$18,Paramètres!$A$1:$I$89,3,0)*VLOOKUP('Données projet'!$B$18,Paramètres!$A$1:$I$89,5,0)</f>
        <v>145.53</v>
      </c>
      <c r="GW90" s="14">
        <f t="shared" si="105"/>
        <v>37.560980425605734</v>
      </c>
      <c r="GX90" s="22">
        <f t="shared" si="82"/>
        <v>318.8834575745966</v>
      </c>
      <c r="GY90" s="62">
        <f t="shared" si="83"/>
        <v>612.21679090792986</v>
      </c>
      <c r="GZ90" s="62">
        <f ca="1">AVERAGE(OFFSET($GY$3,0,0,'Données projet'!$E$18+1,1))-AVERAGE(OFFSET($H$3,0,0,'Données projet'!$E$18+1,1))</f>
        <v>284.704043530756</v>
      </c>
      <c r="HA90" s="62">
        <f t="shared" si="106"/>
        <v>190.4880882944471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2">
        <f t="shared" si="55"/>
        <v>850.52059698334892</v>
      </c>
      <c r="S91" s="62">
        <f ca="1">AVERAGE(OFFSET($R$3,0,0,'Données projet'!$E$9+1,1))-AVERAGE(OFFSET($H$3,0,0,'Données projet'!$E$9+1,1))</f>
        <v>428.8489304403459</v>
      </c>
      <c r="T91" s="62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-9.9316821433603781E-14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274.66236526869056</v>
      </c>
      <c r="AO91" s="62">
        <f t="shared" si="90"/>
        <v>256.90876395053073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288.78720000000004</v>
      </c>
      <c r="BF91" s="14">
        <f t="shared" si="91"/>
        <v>68.820644053442436</v>
      </c>
      <c r="BG91" s="22">
        <f t="shared" si="61"/>
        <v>622.83366172641229</v>
      </c>
      <c r="BH91" s="62">
        <f t="shared" si="62"/>
        <v>916.16699505974566</v>
      </c>
      <c r="BI91" s="62">
        <f ca="1">AVERAGE(OFFSET($BH$3,0,0,'Données projet'!$E$11+1,1))-AVERAGE(OFFSET($H$3,0,0,'Données projet'!$E$11+1,1))</f>
        <v>475.47920969424894</v>
      </c>
      <c r="BJ91" s="62">
        <f t="shared" si="92"/>
        <v>271.73544012419364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3.8461538461538454</v>
      </c>
      <c r="BY91" s="13">
        <f>IF('Données projet'!$A$114&gt;35,BY90+BX91-CG90,IF(A91&lt;'Données projet'!$A$114,$BV$205^A91,IF(A91='Données projet'!$A$114,'Données projet'!$B$114,BY90+BX91-CG90)))</f>
        <v>273.71794871794862</v>
      </c>
      <c r="BZ91" s="14">
        <f>BY91*VLOOKUP('Données projet'!$B$12,Paramètres!$A$1:$I$89,3,0)*VLOOKUP('Données projet'!$B$12,Paramètres!$A$1:$I$89,5,0)</f>
        <v>286.08999999999992</v>
      </c>
      <c r="CA91" s="14">
        <f t="shared" si="93"/>
        <v>68.252384845349795</v>
      </c>
      <c r="CB91" s="22">
        <f t="shared" si="64"/>
        <v>617.14632027231744</v>
      </c>
      <c r="CC91" s="62">
        <f t="shared" si="65"/>
        <v>910.47965360565081</v>
      </c>
      <c r="CD91" s="62">
        <f ca="1">AVERAGE(OFFSET($CC$3,0,0,'Données projet'!$E$12+1,1))-AVERAGE(OFFSET($H$3,0,0,'Données projet'!$E$12+1,1))</f>
        <v>490.26236605482961</v>
      </c>
      <c r="CE91" s="62">
        <f t="shared" si="94"/>
        <v>283.40133947156238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2.8</v>
      </c>
      <c r="CT91" s="13">
        <f>IF('Données projet'!$A$140&gt;35,CT90+CS91-DB90,IF(A91&lt;'Données projet'!$A$140,$CQ$205^A91,IF(A91='Données projet'!$A$140,'Données projet'!$B$140,CT90+CS91-DB90)))</f>
        <v>209.39999999999998</v>
      </c>
      <c r="CU91" s="18">
        <f>CT91*VLOOKUP('Données projet'!$B$13,Paramètres!$A$1:$I$89,3,0)*VLOOKUP('Données projet'!$B$13,Paramètres!$A$1:$I$89,5,0)</f>
        <v>182.93183999999999</v>
      </c>
      <c r="CV91" s="14">
        <f t="shared" si="95"/>
        <v>45.973851929814643</v>
      </c>
      <c r="CW91" s="22">
        <f t="shared" si="67"/>
        <v>398.67741344442715</v>
      </c>
      <c r="CX91" s="62">
        <f t="shared" si="68"/>
        <v>692.01074677776046</v>
      </c>
      <c r="CY91" s="62">
        <f ca="1">AVERAGE(OFFSET($CX$3,0,0,'Données projet'!$E$13+1,1))-AVERAGE(OFFSET($H$3,0,0,'Données projet'!$E$13+1,1))</f>
        <v>315.3516976788701</v>
      </c>
      <c r="CZ91" s="62">
        <f t="shared" si="96"/>
        <v>266.32508105927997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306.55871999999999</v>
      </c>
      <c r="EL91" s="14">
        <f t="shared" si="99"/>
        <v>72.549687694621639</v>
      </c>
      <c r="EM91" s="22">
        <f t="shared" si="73"/>
        <v>660.28047673479932</v>
      </c>
      <c r="EN91" s="62">
        <f t="shared" si="74"/>
        <v>953.61381006813258</v>
      </c>
      <c r="EO91" s="62">
        <f ca="1">AVERAGE(OFFSET($EN$3,0,0,'Données projet'!$E$15+1,1))-AVERAGE(OFFSET($H$3,0,0,'Données projet'!$E$15+1,1))</f>
        <v>502.07782026233912</v>
      </c>
      <c r="EP91" s="62">
        <f t="shared" si="100"/>
        <v>285.83623046025156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3.5897435897435912</v>
      </c>
      <c r="FE91" s="13">
        <f>IF('Données projet'!$A$218&gt;35,FE90+FD91-FM90,IF(A91&lt;'Données projet'!$A$218,$FB$205^A91,IF(A91='Données projet'!$A$218,'Données projet'!$B$218,FE90+FD91-FM90)))</f>
        <v>217.17948717948704</v>
      </c>
      <c r="FF91" s="18">
        <f>FE91*VLOOKUP('Données projet'!$B$16,Paramètres!$A$1:$I$89,3,0)*VLOOKUP('Données projet'!$B$16,Paramètres!$A$1:$I$89,5,0)</f>
        <v>206.66799999999986</v>
      </c>
      <c r="FG91" s="14">
        <f t="shared" si="101"/>
        <v>51.206783482140608</v>
      </c>
      <c r="FH91" s="22">
        <f t="shared" si="76"/>
        <v>449.13191456472799</v>
      </c>
      <c r="FI91" s="62">
        <f t="shared" si="77"/>
        <v>742.46524789806131</v>
      </c>
      <c r="FJ91" s="62">
        <f ca="1">AVERAGE(OFFSET($FI$3,0,0,'Données projet'!$E$16+1,1))-AVERAGE(OFFSET($H$3,0,0,'Données projet'!$E$16+1,1))</f>
        <v>365.5904647357433</v>
      </c>
      <c r="FK91" s="62">
        <f t="shared" si="102"/>
        <v>256.56280810580841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-1.1368683772161603E-13</v>
      </c>
      <c r="GA91" s="18">
        <f>FZ91*VLOOKUP('Données projet'!$B$17,Paramètres!$A$1:$I$89,3,0)*VLOOKUP('Données projet'!$B$17,Paramètres!$A$1:$I$89,5,0)</f>
        <v>-9.2222762759774927E-14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256.19915261735281</v>
      </c>
      <c r="GF91" s="62">
        <f t="shared" si="104"/>
        <v>297.47246687305056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8.6692307692307597</v>
      </c>
      <c r="GU91" s="13">
        <f>IF('Données projet'!$A$270&gt;35,GU90+GT91-HC90,IF(A91&lt;'Données projet'!$A$270,$GR$205^A91,IF(A91='Données projet'!$A$270,'Données projet'!$B$270,GU90+GT91-HC90)))</f>
        <v>319.6307692307692</v>
      </c>
      <c r="GV91" s="18">
        <f>GU91*VLOOKUP('Données projet'!$B$18,Paramètres!$A$1:$I$89,3,0)*VLOOKUP('Données projet'!$B$18,Paramètres!$A$1:$I$89,5,0)</f>
        <v>149.5872</v>
      </c>
      <c r="GW91" s="14">
        <f t="shared" si="105"/>
        <v>38.484760298912072</v>
      </c>
      <c r="GX91" s="22">
        <f t="shared" si="82"/>
        <v>327.55866418727186</v>
      </c>
      <c r="GY91" s="62">
        <f t="shared" si="83"/>
        <v>620.89199752060517</v>
      </c>
      <c r="GZ91" s="62">
        <f ca="1">AVERAGE(OFFSET($GY$3,0,0,'Données projet'!$E$18+1,1))-AVERAGE(OFFSET($H$3,0,0,'Données projet'!$E$18+1,1))</f>
        <v>284.704043530756</v>
      </c>
      <c r="HA91" s="62">
        <f t="shared" si="106"/>
        <v>190.4880882944471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2">
        <f t="shared" si="55"/>
        <v>861.22632540732775</v>
      </c>
      <c r="S92" s="62">
        <f ca="1">AVERAGE(OFFSET($R$3,0,0,'Données projet'!$E$9+1,1))-AVERAGE(OFFSET($H$3,0,0,'Données projet'!$E$9+1,1))</f>
        <v>428.8489304403459</v>
      </c>
      <c r="T92" s="62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-9.9316821433603781E-14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274.66236526869056</v>
      </c>
      <c r="AO92" s="62">
        <f t="shared" si="90"/>
        <v>256.90876395053073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294.46560000000005</v>
      </c>
      <c r="BF92" s="14">
        <f t="shared" si="91"/>
        <v>70.014986320104285</v>
      </c>
      <c r="BG92" s="22">
        <f t="shared" si="61"/>
        <v>634.8036878408484</v>
      </c>
      <c r="BH92" s="62">
        <f t="shared" si="62"/>
        <v>928.13702117418165</v>
      </c>
      <c r="BI92" s="62">
        <f ca="1">AVERAGE(OFFSET($BH$3,0,0,'Données projet'!$E$11+1,1))-AVERAGE(OFFSET($H$3,0,0,'Données projet'!$E$11+1,1))</f>
        <v>475.47920969424894</v>
      </c>
      <c r="BJ92" s="62">
        <f t="shared" si="92"/>
        <v>271.73544012419364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3.8461538461538454</v>
      </c>
      <c r="BY92" s="13">
        <f>IF('Données projet'!$A$114&gt;35,BY91+BX92-CG91,IF(A92&lt;'Données projet'!$A$114,$BV$205^A92,IF(A92='Données projet'!$A$114,'Données projet'!$B$114,BY91+BX92-CG91)))</f>
        <v>277.56410256410248</v>
      </c>
      <c r="BZ92" s="14">
        <f>BY92*VLOOKUP('Données projet'!$B$12,Paramètres!$A$1:$I$89,3,0)*VLOOKUP('Données projet'!$B$12,Paramètres!$A$1:$I$89,5,0)</f>
        <v>290.10999999999996</v>
      </c>
      <c r="CA92" s="14">
        <f t="shared" si="93"/>
        <v>69.099111921738029</v>
      </c>
      <c r="CB92" s="22">
        <f t="shared" si="64"/>
        <v>625.62253659702708</v>
      </c>
      <c r="CC92" s="62">
        <f t="shared" si="65"/>
        <v>918.95586993036045</v>
      </c>
      <c r="CD92" s="62">
        <f ca="1">AVERAGE(OFFSET($CC$3,0,0,'Données projet'!$E$12+1,1))-AVERAGE(OFFSET($H$3,0,0,'Données projet'!$E$12+1,1))</f>
        <v>490.26236605482961</v>
      </c>
      <c r="CE92" s="62">
        <f t="shared" si="94"/>
        <v>283.40133947156238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2.8</v>
      </c>
      <c r="CT92" s="13">
        <f>IF('Données projet'!$A$140&gt;35,CT91+CS92-DB91,IF(A92&lt;'Données projet'!$A$140,$CQ$205^A92,IF(A92='Données projet'!$A$140,'Données projet'!$B$140,CT91+CS92-DB91)))</f>
        <v>212.2</v>
      </c>
      <c r="CU92" s="18">
        <f>CT92*VLOOKUP('Données projet'!$B$13,Paramètres!$A$1:$I$89,3,0)*VLOOKUP('Données projet'!$B$13,Paramètres!$A$1:$I$89,5,0)</f>
        <v>185.37792000000002</v>
      </c>
      <c r="CV92" s="14">
        <f t="shared" si="95"/>
        <v>46.516616531004161</v>
      </c>
      <c r="CW92" s="22">
        <f t="shared" si="67"/>
        <v>403.88298445816559</v>
      </c>
      <c r="CX92" s="62">
        <f t="shared" si="68"/>
        <v>697.21631779149891</v>
      </c>
      <c r="CY92" s="62">
        <f ca="1">AVERAGE(OFFSET($CX$3,0,0,'Données projet'!$E$13+1,1))-AVERAGE(OFFSET($H$3,0,0,'Données projet'!$E$13+1,1))</f>
        <v>315.3516976788701</v>
      </c>
      <c r="CZ92" s="62">
        <f t="shared" si="96"/>
        <v>266.32508105927997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312.58656000000002</v>
      </c>
      <c r="EL92" s="14">
        <f t="shared" si="99"/>
        <v>73.808745345687967</v>
      </c>
      <c r="EM92" s="22">
        <f t="shared" si="73"/>
        <v>672.97182347707314</v>
      </c>
      <c r="EN92" s="62">
        <f t="shared" si="74"/>
        <v>966.30515681040652</v>
      </c>
      <c r="EO92" s="62">
        <f ca="1">AVERAGE(OFFSET($EN$3,0,0,'Données projet'!$E$15+1,1))-AVERAGE(OFFSET($H$3,0,0,'Données projet'!$E$15+1,1))</f>
        <v>502.07782026233912</v>
      </c>
      <c r="EP92" s="62">
        <f t="shared" si="100"/>
        <v>285.83623046025156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3.5897435897435912</v>
      </c>
      <c r="FE92" s="13">
        <f>IF('Données projet'!$A$218&gt;35,FE91+FD92-FM91,IF(A92&lt;'Données projet'!$A$218,$FB$205^A92,IF(A92='Données projet'!$A$218,'Données projet'!$B$218,FE91+FD92-FM91)))</f>
        <v>220.76923076923063</v>
      </c>
      <c r="FF92" s="18">
        <f>FE92*VLOOKUP('Données projet'!$B$16,Paramètres!$A$1:$I$89,3,0)*VLOOKUP('Données projet'!$B$16,Paramètres!$A$1:$I$89,5,0)</f>
        <v>210.08399999999989</v>
      </c>
      <c r="FG92" s="14">
        <f t="shared" si="101"/>
        <v>51.953941384443397</v>
      </c>
      <c r="FH92" s="22">
        <f t="shared" si="76"/>
        <v>456.38274791123871</v>
      </c>
      <c r="FI92" s="62">
        <f t="shared" si="77"/>
        <v>749.71608124457202</v>
      </c>
      <c r="FJ92" s="62">
        <f ca="1">AVERAGE(OFFSET($FI$3,0,0,'Données projet'!$E$16+1,1))-AVERAGE(OFFSET($H$3,0,0,'Données projet'!$E$16+1,1))</f>
        <v>365.5904647357433</v>
      </c>
      <c r="FK92" s="62">
        <f t="shared" si="102"/>
        <v>256.56280810580841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-1.1368683772161603E-13</v>
      </c>
      <c r="GA92" s="18">
        <f>FZ92*VLOOKUP('Données projet'!$B$17,Paramètres!$A$1:$I$89,3,0)*VLOOKUP('Données projet'!$B$17,Paramètres!$A$1:$I$89,5,0)</f>
        <v>-9.2222762759774927E-14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256.19915261735281</v>
      </c>
      <c r="GF92" s="62">
        <f t="shared" si="104"/>
        <v>297.47246687305056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8.6692307692307597</v>
      </c>
      <c r="GU92" s="13">
        <f>IF('Données projet'!$A$270&gt;35,GU91+GT92-HC91,IF(A92&lt;'Données projet'!$A$270,$GR$205^A92,IF(A92='Données projet'!$A$270,'Données projet'!$B$270,GU91+GT92-HC91)))</f>
        <v>328.29999999999995</v>
      </c>
      <c r="GV92" s="18">
        <f>GU92*VLOOKUP('Données projet'!$B$18,Paramètres!$A$1:$I$89,3,0)*VLOOKUP('Données projet'!$B$18,Paramètres!$A$1:$I$89,5,0)</f>
        <v>153.64439999999996</v>
      </c>
      <c r="GW92" s="14">
        <f t="shared" si="105"/>
        <v>39.405627951004654</v>
      </c>
      <c r="GX92" s="22">
        <f t="shared" si="82"/>
        <v>336.22879868133299</v>
      </c>
      <c r="GY92" s="62">
        <f t="shared" si="83"/>
        <v>629.5621320146663</v>
      </c>
      <c r="GZ92" s="62">
        <f ca="1">AVERAGE(OFFSET($GY$3,0,0,'Données projet'!$E$18+1,1))-AVERAGE(OFFSET($H$3,0,0,'Données projet'!$E$18+1,1))</f>
        <v>284.704043530756</v>
      </c>
      <c r="HA92" s="62">
        <f t="shared" si="106"/>
        <v>190.4880882944471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428.8489304403459</v>
      </c>
      <c r="T93" s="62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-9.9316821433603781E-14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274.66236526869056</v>
      </c>
      <c r="AO93" s="62">
        <f t="shared" si="90"/>
        <v>256.90876395053073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300.14400000000006</v>
      </c>
      <c r="BF93" s="14">
        <f t="shared" si="91"/>
        <v>71.206650563609855</v>
      </c>
      <c r="BG93" s="22">
        <f t="shared" si="61"/>
        <v>646.76904973162061</v>
      </c>
      <c r="BH93" s="62">
        <f t="shared" si="62"/>
        <v>940.10238306495398</v>
      </c>
      <c r="BI93" s="62">
        <f ca="1">AVERAGE(OFFSET($BH$3,0,0,'Données projet'!$E$11+1,1))-AVERAGE(OFFSET($H$3,0,0,'Données projet'!$E$11+1,1))</f>
        <v>475.47920969424894</v>
      </c>
      <c r="BJ93" s="62">
        <f t="shared" si="92"/>
        <v>271.73544012419364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285.25641025641022</v>
      </c>
      <c r="BW93" s="13">
        <f>VLOOKUP(A93,'Données projet'!$A$113:$I$133,9,0)</f>
        <v>3.8461538461538454</v>
      </c>
      <c r="BX93" s="13">
        <f t="array" ref="BX93">INDEX(BW:BW,MIN(IF(ISNUMBER(BW93:BW289),ROW(BW93:BW289),"")))</f>
        <v>3.8461538461538454</v>
      </c>
      <c r="BY93" s="13">
        <f>IF('Données projet'!$A$114&gt;35,BY92+BX93-CG92,IF(A93&lt;'Données projet'!$A$114,$BV$205^A93,IF(A93='Données projet'!$A$114,'Données projet'!$B$114,BY92+BX93-CG92)))</f>
        <v>281.41025641025635</v>
      </c>
      <c r="BZ93" s="14">
        <f>BY93*VLOOKUP('Données projet'!$B$12,Paramètres!$A$1:$I$89,3,0)*VLOOKUP('Données projet'!$B$12,Paramètres!$A$1:$I$89,5,0)</f>
        <v>294.12999999999994</v>
      </c>
      <c r="CA93" s="14">
        <f t="shared" si="93"/>
        <v>69.944474338693723</v>
      </c>
      <c r="CB93" s="22">
        <f t="shared" si="64"/>
        <v>634.0963761398915</v>
      </c>
      <c r="CC93" s="62">
        <f t="shared" si="65"/>
        <v>927.42970947322488</v>
      </c>
      <c r="CD93" s="62">
        <f ca="1">AVERAGE(OFFSET($CC$3,0,0,'Données projet'!$E$12+1,1))-AVERAGE(OFFSET($H$3,0,0,'Données projet'!$E$12+1,1))</f>
        <v>490.26236605482961</v>
      </c>
      <c r="CE93" s="62">
        <f t="shared" si="94"/>
        <v>283.40133947156238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215</v>
      </c>
      <c r="CR93" s="13">
        <f>VLOOKUP(A93,'Données projet'!$A$139:$I$159,9,0)</f>
        <v>2.8</v>
      </c>
      <c r="CS93" s="13">
        <f t="array" ref="CS93">INDEX(CR:CR,MIN(IF(ISNUMBER(CR93:CR289),ROW(CR93:CR289),"")))</f>
        <v>2.8</v>
      </c>
      <c r="CT93" s="13">
        <f>IF('Données projet'!$A$140&gt;35,CT92+CS93-DB92,IF(A93&lt;'Données projet'!$A$140,$CQ$205^A93,IF(A93='Données projet'!$A$140,'Données projet'!$B$140,CT92+CS93-DB92)))</f>
        <v>215</v>
      </c>
      <c r="CU93" s="18">
        <f>CT93*VLOOKUP('Données projet'!$B$13,Paramètres!$A$1:$I$89,3,0)*VLOOKUP('Données projet'!$B$13,Paramètres!$A$1:$I$89,5,0)</f>
        <v>187.82400000000001</v>
      </c>
      <c r="CV93" s="14">
        <f t="shared" si="95"/>
        <v>47.05854810918273</v>
      </c>
      <c r="CW93" s="22">
        <f t="shared" si="67"/>
        <v>409.0871046234933</v>
      </c>
      <c r="CX93" s="62">
        <f t="shared" si="68"/>
        <v>702.42043795682662</v>
      </c>
      <c r="CY93" s="62">
        <f ca="1">AVERAGE(OFFSET($CX$3,0,0,'Données projet'!$E$13+1,1))-AVERAGE(OFFSET($H$3,0,0,'Données projet'!$E$13+1,1))</f>
        <v>315.3516976788701</v>
      </c>
      <c r="CZ93" s="62">
        <f t="shared" si="96"/>
        <v>266.32508105927997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318.61440000000005</v>
      </c>
      <c r="EL93" s="14">
        <f t="shared" si="99"/>
        <v>75.06497986502842</v>
      </c>
      <c r="EM93" s="22">
        <f t="shared" si="73"/>
        <v>685.6582532649245</v>
      </c>
      <c r="EN93" s="62">
        <f t="shared" si="74"/>
        <v>978.99158659825775</v>
      </c>
      <c r="EO93" s="62">
        <f ca="1">AVERAGE(OFFSET($EN$3,0,0,'Données projet'!$E$15+1,1))-AVERAGE(OFFSET($H$3,0,0,'Données projet'!$E$15+1,1))</f>
        <v>502.07782026233912</v>
      </c>
      <c r="EP93" s="62">
        <f t="shared" si="100"/>
        <v>285.83623046025156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224.35897435897436</v>
      </c>
      <c r="FC93" s="13">
        <f>VLOOKUP(A93,'Données projet'!$A$217:$I$237,9,0)</f>
        <v>3.5897435897435912</v>
      </c>
      <c r="FD93" s="13">
        <f t="array" ref="FD93">INDEX(FC:FC,MIN(IF(ISNUMBER(FC93:FC289),ROW(FC93:FC289),"")))</f>
        <v>3.5897435897435912</v>
      </c>
      <c r="FE93" s="13">
        <f>IF('Données projet'!$A$218&gt;35,FE92+FD93-FM92,IF(A93&lt;'Données projet'!$A$218,$FB$205^A93,IF(A93='Données projet'!$A$218,'Données projet'!$B$218,FE92+FD93-FM92)))</f>
        <v>224.35897435897422</v>
      </c>
      <c r="FF93" s="18">
        <f>FE93*VLOOKUP('Données projet'!$B$16,Paramètres!$A$1:$I$89,3,0)*VLOOKUP('Données projet'!$B$16,Paramètres!$A$1:$I$89,5,0)</f>
        <v>213.49999999999989</v>
      </c>
      <c r="FG93" s="14">
        <f t="shared" si="101"/>
        <v>52.699686425325872</v>
      </c>
      <c r="FH93" s="22">
        <f t="shared" si="76"/>
        <v>463.63112052410901</v>
      </c>
      <c r="FI93" s="62">
        <f t="shared" si="77"/>
        <v>756.96445385744232</v>
      </c>
      <c r="FJ93" s="62">
        <f ca="1">AVERAGE(OFFSET($FI$3,0,0,'Données projet'!$E$16+1,1))-AVERAGE(OFFSET($H$3,0,0,'Données projet'!$E$16+1,1))</f>
        <v>365.5904647357433</v>
      </c>
      <c r="FK93" s="62">
        <f t="shared" si="102"/>
        <v>256.56280810580841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-1.1368683772161603E-13</v>
      </c>
      <c r="GA93" s="18">
        <f>FZ93*VLOOKUP('Données projet'!$B$17,Paramètres!$A$1:$I$89,3,0)*VLOOKUP('Données projet'!$B$17,Paramètres!$A$1:$I$89,5,0)</f>
        <v>-9.2222762759774927E-14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256.19915261735281</v>
      </c>
      <c r="GF93" s="62">
        <f t="shared" si="104"/>
        <v>297.47246687305056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8.6692307692307597</v>
      </c>
      <c r="GU93" s="13">
        <f>IF('Données projet'!$A$270&gt;35,GU92+GT93-HC92,IF(A93&lt;'Données projet'!$A$270,$GR$205^A93,IF(A93='Données projet'!$A$270,'Données projet'!$B$270,GU92+GT93-HC92)))</f>
        <v>336.96923076923071</v>
      </c>
      <c r="GV93" s="18">
        <f>GU93*VLOOKUP('Données projet'!$B$18,Paramètres!$A$1:$I$89,3,0)*VLOOKUP('Données projet'!$B$18,Paramètres!$A$1:$I$89,5,0)</f>
        <v>157.70159999999998</v>
      </c>
      <c r="GW93" s="14">
        <f t="shared" si="105"/>
        <v>40.323669122930177</v>
      </c>
      <c r="GX93" s="22">
        <f t="shared" si="82"/>
        <v>344.89401038910336</v>
      </c>
      <c r="GY93" s="62">
        <f t="shared" si="83"/>
        <v>638.22734372243667</v>
      </c>
      <c r="GZ93" s="62">
        <f ca="1">AVERAGE(OFFSET($GY$3,0,0,'Données projet'!$E$18+1,1))-AVERAGE(OFFSET($H$3,0,0,'Données projet'!$E$18+1,1))</f>
        <v>284.704043530756</v>
      </c>
      <c r="HA93" s="62">
        <f t="shared" si="106"/>
        <v>190.4880882944471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2">
        <f t="shared" si="55"/>
        <v>800.94897376928998</v>
      </c>
      <c r="S94" s="62">
        <f ca="1">AVERAGE(OFFSET($R$3,0,0,'Données projet'!$E$9+1,1))-AVERAGE(OFFSET($H$3,0,0,'Données projet'!$E$9+1,1))</f>
        <v>428.8489304403459</v>
      </c>
      <c r="T94" s="62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274.66236526869056</v>
      </c>
      <c r="AO94" s="62">
        <f t="shared" si="90"/>
        <v>256.90876395053073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262.52460000000002</v>
      </c>
      <c r="BF94" s="14">
        <f t="shared" si="91"/>
        <v>63.260217631774687</v>
      </c>
      <c r="BG94" s="22">
        <f t="shared" si="61"/>
        <v>567.40855737534105</v>
      </c>
      <c r="BH94" s="62">
        <f t="shared" si="62"/>
        <v>860.74189070867442</v>
      </c>
      <c r="BI94" s="62">
        <f ca="1">AVERAGE(OFFSET($BH$3,0,0,'Données projet'!$E$11+1,1))-AVERAGE(OFFSET($H$3,0,0,'Données projet'!$E$11+1,1))</f>
        <v>475.47920969424894</v>
      </c>
      <c r="BJ94" s="62">
        <f t="shared" si="92"/>
        <v>271.73544012419364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3.5897435897435912</v>
      </c>
      <c r="BY94" s="13">
        <f>IF('Données projet'!$A$114&gt;35,BY93+BX94-CG93,IF(A94&lt;'Données projet'!$A$114,$BV$205^A94,IF(A94='Données projet'!$A$114,'Données projet'!$B$114,BY93+BX94-CG93)))</f>
        <v>284.99999999999994</v>
      </c>
      <c r="BZ94" s="14">
        <f>BY94*VLOOKUP('Données projet'!$B$12,Paramètres!$A$1:$I$89,3,0)*VLOOKUP('Données projet'!$B$12,Paramètres!$A$1:$I$89,5,0)</f>
        <v>297.88199999999995</v>
      </c>
      <c r="CA94" s="14">
        <f t="shared" si="93"/>
        <v>70.732266399426535</v>
      </c>
      <c r="CB94" s="22">
        <f t="shared" si="64"/>
        <v>642.00318064566773</v>
      </c>
      <c r="CC94" s="62">
        <f t="shared" si="65"/>
        <v>935.33651397900098</v>
      </c>
      <c r="CD94" s="62">
        <f ca="1">AVERAGE(OFFSET($CC$3,0,0,'Données projet'!$E$12+1,1))-AVERAGE(OFFSET($H$3,0,0,'Données projet'!$E$12+1,1))</f>
        <v>490.26236605482961</v>
      </c>
      <c r="CE94" s="62">
        <f t="shared" si="94"/>
        <v>283.40133947156238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2.8</v>
      </c>
      <c r="CT94" s="13">
        <f>IF('Données projet'!$A$140&gt;35,CT93+CS94-DB93,IF(A94&lt;'Données projet'!$A$140,$CQ$205^A94,IF(A94='Données projet'!$A$140,'Données projet'!$B$140,CT93+CS94-DB93)))</f>
        <v>217.8</v>
      </c>
      <c r="CU94" s="18">
        <f>CT94*VLOOKUP('Données projet'!$B$13,Paramètres!$A$1:$I$89,3,0)*VLOOKUP('Données projet'!$B$13,Paramètres!$A$1:$I$89,5,0)</f>
        <v>190.27008000000004</v>
      </c>
      <c r="CV94" s="14">
        <f t="shared" si="95"/>
        <v>47.599658767320456</v>
      </c>
      <c r="CW94" s="22">
        <f t="shared" si="67"/>
        <v>414.28979501974982</v>
      </c>
      <c r="CX94" s="62">
        <f t="shared" si="68"/>
        <v>707.62312835308308</v>
      </c>
      <c r="CY94" s="62">
        <f ca="1">AVERAGE(OFFSET($CX$3,0,0,'Données projet'!$E$13+1,1))-AVERAGE(OFFSET($H$3,0,0,'Données projet'!$E$13+1,1))</f>
        <v>315.3516976788701</v>
      </c>
      <c r="CZ94" s="62">
        <f t="shared" si="96"/>
        <v>266.32508105927997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278.67996000000005</v>
      </c>
      <c r="EL94" s="14">
        <f t="shared" si="99"/>
        <v>66.687969806197728</v>
      </c>
      <c r="EM94" s="22">
        <f t="shared" si="73"/>
        <v>601.51581107912773</v>
      </c>
      <c r="EN94" s="62">
        <f t="shared" si="74"/>
        <v>894.8491444124611</v>
      </c>
      <c r="EO94" s="62">
        <f ca="1">AVERAGE(OFFSET($EN$3,0,0,'Données projet'!$E$15+1,1))-AVERAGE(OFFSET($H$3,0,0,'Données projet'!$E$15+1,1))</f>
        <v>502.07782026233912</v>
      </c>
      <c r="EP94" s="62">
        <f t="shared" si="100"/>
        <v>285.83623046025156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3.5897435897435854</v>
      </c>
      <c r="FE94" s="13">
        <f>IF('Données projet'!$A$218&gt;35,FE93+FD94-FM93,IF(A94&lt;'Données projet'!$A$218,$FB$205^A94,IF(A94='Données projet'!$A$218,'Données projet'!$B$218,FE93+FD94-FM93)))</f>
        <v>227.94871794871781</v>
      </c>
      <c r="FF94" s="18">
        <f>FE94*VLOOKUP('Données projet'!$B$16,Paramètres!$A$1:$I$89,3,0)*VLOOKUP('Données projet'!$B$16,Paramètres!$A$1:$I$89,5,0)</f>
        <v>216.91599999999988</v>
      </c>
      <c r="FG94" s="14">
        <f t="shared" si="101"/>
        <v>53.444043820565049</v>
      </c>
      <c r="FH94" s="22">
        <f t="shared" si="76"/>
        <v>470.87707632081725</v>
      </c>
      <c r="FI94" s="62">
        <f t="shared" si="77"/>
        <v>764.21040965415057</v>
      </c>
      <c r="FJ94" s="62">
        <f ca="1">AVERAGE(OFFSET($FI$3,0,0,'Données projet'!$E$16+1,1))-AVERAGE(OFFSET($H$3,0,0,'Données projet'!$E$16+1,1))</f>
        <v>365.5904647357433</v>
      </c>
      <c r="FK94" s="62">
        <f t="shared" si="102"/>
        <v>256.56280810580841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-1.1368683772161603E-13</v>
      </c>
      <c r="GA94" s="18">
        <f>FZ94*VLOOKUP('Données projet'!$B$17,Paramètres!$A$1:$I$89,3,0)*VLOOKUP('Données projet'!$B$17,Paramètres!$A$1:$I$89,5,0)</f>
        <v>-9.2222762759774927E-14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256.19915261735281</v>
      </c>
      <c r="GF94" s="62">
        <f t="shared" si="104"/>
        <v>297.47246687305056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>
        <f>VLOOKUP(A94,'Données projet'!$A$269:$I$289,2,0)</f>
        <v>345.63846153846151</v>
      </c>
      <c r="GS94" s="13">
        <f>VLOOKUP(A94,'Données projet'!$A$269:$I$289,9,0)</f>
        <v>8.6692307692307597</v>
      </c>
      <c r="GT94" s="13">
        <f t="array" ref="GT94">INDEX(GS:GS,MIN(IF(ISNUMBER(GS94:GS290),ROW(GS94:GS290),"")))</f>
        <v>8.6692307692307597</v>
      </c>
      <c r="GU94" s="13">
        <f>IF('Données projet'!$A$270&gt;35,GU93+GT94-HC93,IF(A94&lt;'Données projet'!$A$270,$GR$205^A94,IF(A94='Données projet'!$A$270,'Données projet'!$B$270,GU93+GT94-HC93)))</f>
        <v>345.63846153846146</v>
      </c>
      <c r="GV94" s="18">
        <f>GU94*VLOOKUP('Données projet'!$B$18,Paramètres!$A$1:$I$89,3,0)*VLOOKUP('Données projet'!$B$18,Paramètres!$A$1:$I$89,5,0)</f>
        <v>161.75879999999995</v>
      </c>
      <c r="GW94" s="14">
        <f t="shared" si="105"/>
        <v>41.23896489267198</v>
      </c>
      <c r="GX94" s="22">
        <f t="shared" si="82"/>
        <v>353.55444052140359</v>
      </c>
      <c r="GY94" s="62">
        <f t="shared" si="83"/>
        <v>646.88777385473691</v>
      </c>
      <c r="GZ94" s="62">
        <f ca="1">AVERAGE(OFFSET($GY$3,0,0,'Données projet'!$E$18+1,1))-AVERAGE(OFFSET($H$3,0,0,'Données projet'!$E$18+1,1))</f>
        <v>284.704043530756</v>
      </c>
      <c r="HA94" s="62">
        <f t="shared" si="106"/>
        <v>190.4880882944471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2">
        <f t="shared" si="55"/>
        <v>810.33492368208931</v>
      </c>
      <c r="S95" s="62">
        <f ca="1">AVERAGE(OFFSET($R$3,0,0,'Données projet'!$E$9+1,1))-AVERAGE(OFFSET($H$3,0,0,'Données projet'!$E$9+1,1))</f>
        <v>428.8489304403459</v>
      </c>
      <c r="T95" s="62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274.66236526869056</v>
      </c>
      <c r="AO95" s="62">
        <f t="shared" si="90"/>
        <v>256.90876395053073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267.49320000000006</v>
      </c>
      <c r="BF95" s="14">
        <f t="shared" si="91"/>
        <v>64.316974590266341</v>
      </c>
      <c r="BG95" s="22">
        <f t="shared" si="61"/>
        <v>577.90272074471397</v>
      </c>
      <c r="BH95" s="62">
        <f t="shared" si="62"/>
        <v>871.23605407804735</v>
      </c>
      <c r="BI95" s="62">
        <f ca="1">AVERAGE(OFFSET($BH$3,0,0,'Données projet'!$E$11+1,1))-AVERAGE(OFFSET($H$3,0,0,'Données projet'!$E$11+1,1))</f>
        <v>475.47920969424894</v>
      </c>
      <c r="BJ95" s="62">
        <f t="shared" si="92"/>
        <v>271.73544012419364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3.5897435897435912</v>
      </c>
      <c r="BY95" s="13">
        <f>IF('Données projet'!$A$114&gt;35,BY94+BX95-CG94,IF(A95&lt;'Données projet'!$A$114,$BV$205^A95,IF(A95='Données projet'!$A$114,'Données projet'!$B$114,BY94+BX95-CG94)))</f>
        <v>288.58974358974353</v>
      </c>
      <c r="BZ95" s="14">
        <f>BY95*VLOOKUP('Données projet'!$B$12,Paramètres!$A$1:$I$89,3,0)*VLOOKUP('Données projet'!$B$12,Paramètres!$A$1:$I$89,5,0)</f>
        <v>301.63399999999996</v>
      </c>
      <c r="CA95" s="14">
        <f t="shared" si="93"/>
        <v>71.518904271067129</v>
      </c>
      <c r="CB95" s="22">
        <f t="shared" si="64"/>
        <v>649.90797493877506</v>
      </c>
      <c r="CC95" s="62">
        <f t="shared" si="65"/>
        <v>943.24130827210843</v>
      </c>
      <c r="CD95" s="62">
        <f ca="1">AVERAGE(OFFSET($CC$3,0,0,'Données projet'!$E$12+1,1))-AVERAGE(OFFSET($H$3,0,0,'Données projet'!$E$12+1,1))</f>
        <v>490.26236605482961</v>
      </c>
      <c r="CE95" s="62">
        <f t="shared" si="94"/>
        <v>283.40133947156238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2.8</v>
      </c>
      <c r="CT95" s="13">
        <f>IF('Données projet'!$A$140&gt;35,CT94+CS95-DB94,IF(A95&lt;'Données projet'!$A$140,$CQ$205^A95,IF(A95='Données projet'!$A$140,'Données projet'!$B$140,CT94+CS95-DB94)))</f>
        <v>220.60000000000002</v>
      </c>
      <c r="CU95" s="18">
        <f>CT95*VLOOKUP('Données projet'!$B$13,Paramètres!$A$1:$I$89,3,0)*VLOOKUP('Données projet'!$B$13,Paramètres!$A$1:$I$89,5,0)</f>
        <v>192.71616000000006</v>
      </c>
      <c r="CV95" s="14">
        <f t="shared" si="95"/>
        <v>48.139960279308241</v>
      </c>
      <c r="CW95" s="22">
        <f t="shared" si="67"/>
        <v>419.49107615312863</v>
      </c>
      <c r="CX95" s="62">
        <f t="shared" si="68"/>
        <v>712.82440948646195</v>
      </c>
      <c r="CY95" s="62">
        <f ca="1">AVERAGE(OFFSET($CX$3,0,0,'Données projet'!$E$13+1,1))-AVERAGE(OFFSET($H$3,0,0,'Données projet'!$E$13+1,1))</f>
        <v>315.3516976788701</v>
      </c>
      <c r="CZ95" s="62">
        <f t="shared" si="96"/>
        <v>266.32508105927997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283.95432</v>
      </c>
      <c r="EL95" s="14">
        <f t="shared" si="99"/>
        <v>67.801987095081913</v>
      </c>
      <c r="EM95" s="22">
        <f t="shared" si="73"/>
        <v>612.64223485726768</v>
      </c>
      <c r="EN95" s="62">
        <f t="shared" si="74"/>
        <v>905.97556819060105</v>
      </c>
      <c r="EO95" s="62">
        <f ca="1">AVERAGE(OFFSET($EN$3,0,0,'Données projet'!$E$15+1,1))-AVERAGE(OFFSET($H$3,0,0,'Données projet'!$E$15+1,1))</f>
        <v>502.07782026233912</v>
      </c>
      <c r="EP95" s="62">
        <f t="shared" si="100"/>
        <v>285.83623046025156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3.5897435897435854</v>
      </c>
      <c r="FE95" s="13">
        <f>IF('Données projet'!$A$218&gt;35,FE94+FD95-FM94,IF(A95&lt;'Données projet'!$A$218,$FB$205^A95,IF(A95='Données projet'!$A$218,'Données projet'!$B$218,FE94+FD95-FM94)))</f>
        <v>231.53846153846141</v>
      </c>
      <c r="FF95" s="18">
        <f>FE95*VLOOKUP('Données projet'!$B$16,Paramètres!$A$1:$I$89,3,0)*VLOOKUP('Données projet'!$B$16,Paramètres!$A$1:$I$89,5,0)</f>
        <v>220.33199999999988</v>
      </c>
      <c r="FG95" s="14">
        <f t="shared" si="101"/>
        <v>54.187037946184027</v>
      </c>
      <c r="FH95" s="22">
        <f t="shared" si="76"/>
        <v>478.1206577562703</v>
      </c>
      <c r="FI95" s="62">
        <f t="shared" si="77"/>
        <v>771.45399108960362</v>
      </c>
      <c r="FJ95" s="62">
        <f ca="1">AVERAGE(OFFSET($FI$3,0,0,'Données projet'!$E$16+1,1))-AVERAGE(OFFSET($H$3,0,0,'Données projet'!$E$16+1,1))</f>
        <v>365.5904647357433</v>
      </c>
      <c r="FK95" s="62">
        <f t="shared" si="102"/>
        <v>256.56280810580841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-1.1368683772161603E-13</v>
      </c>
      <c r="GA95" s="18">
        <f>FZ95*VLOOKUP('Données projet'!$B$17,Paramètres!$A$1:$I$89,3,0)*VLOOKUP('Données projet'!$B$17,Paramètres!$A$1:$I$89,5,0)</f>
        <v>-9.2222762759774927E-14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256.19915261735281</v>
      </c>
      <c r="GF95" s="62">
        <f t="shared" si="104"/>
        <v>297.47246687305056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8.7730769230769283</v>
      </c>
      <c r="GU95" s="13">
        <f>IF('Données projet'!$A$270&gt;35,GU94+GT95-HC94,IF(A95&lt;'Données projet'!$A$270,$GR$205^A95,IF(A95='Données projet'!$A$270,'Données projet'!$B$270,GU94+GT95-HC94)))</f>
        <v>354.41153846153838</v>
      </c>
      <c r="GV95" s="18">
        <f>GU95*VLOOKUP('Données projet'!$B$18,Paramètres!$A$1:$I$89,3,0)*VLOOKUP('Données projet'!$B$18,Paramètres!$A$1:$I$89,5,0)</f>
        <v>165.86459999999997</v>
      </c>
      <c r="GW95" s="14">
        <f t="shared" si="105"/>
        <v>42.162508255168433</v>
      </c>
      <c r="GX95" s="22">
        <f t="shared" si="82"/>
        <v>362.31388021108495</v>
      </c>
      <c r="GY95" s="62">
        <f t="shared" si="83"/>
        <v>655.64721354441826</v>
      </c>
      <c r="GZ95" s="62">
        <f ca="1">AVERAGE(OFFSET($GY$3,0,0,'Données projet'!$E$18+1,1))-AVERAGE(OFFSET($H$3,0,0,'Données projet'!$E$18+1,1))</f>
        <v>284.704043530756</v>
      </c>
      <c r="HA95" s="62">
        <f t="shared" si="106"/>
        <v>190.4880882944471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2">
        <f t="shared" si="55"/>
        <v>819.71727903145597</v>
      </c>
      <c r="S96" s="62">
        <f ca="1">AVERAGE(OFFSET($R$3,0,0,'Données projet'!$E$9+1,1))-AVERAGE(OFFSET($H$3,0,0,'Données projet'!$E$9+1,1))</f>
        <v>428.8489304403459</v>
      </c>
      <c r="T96" s="62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274.66236526869056</v>
      </c>
      <c r="AO96" s="62">
        <f t="shared" si="90"/>
        <v>256.90876395053073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272.46180000000004</v>
      </c>
      <c r="BF96" s="14">
        <f t="shared" si="91"/>
        <v>65.371449071921944</v>
      </c>
      <c r="BG96" s="22">
        <f t="shared" si="61"/>
        <v>588.39290880026408</v>
      </c>
      <c r="BH96" s="62">
        <f t="shared" si="62"/>
        <v>881.72624213359745</v>
      </c>
      <c r="BI96" s="62">
        <f ca="1">AVERAGE(OFFSET($BH$3,0,0,'Données projet'!$E$11+1,1))-AVERAGE(OFFSET($H$3,0,0,'Données projet'!$E$11+1,1))</f>
        <v>475.47920969424894</v>
      </c>
      <c r="BJ96" s="62">
        <f t="shared" si="92"/>
        <v>271.73544012419364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3.5897435897435912</v>
      </c>
      <c r="BY96" s="13">
        <f>IF('Données projet'!$A$114&gt;35,BY95+BX96-CG95,IF(A96&lt;'Données projet'!$A$114,$BV$205^A96,IF(A96='Données projet'!$A$114,'Données projet'!$B$114,BY95+BX96-CG95)))</f>
        <v>292.17948717948713</v>
      </c>
      <c r="BZ96" s="14">
        <f>BY96*VLOOKUP('Données projet'!$B$12,Paramètres!$A$1:$I$89,3,0)*VLOOKUP('Données projet'!$B$12,Paramètres!$A$1:$I$89,5,0)</f>
        <v>305.38599999999997</v>
      </c>
      <c r="CA96" s="14">
        <f t="shared" si="93"/>
        <v>72.304403970848256</v>
      </c>
      <c r="CB96" s="22">
        <f t="shared" si="64"/>
        <v>657.81078691589403</v>
      </c>
      <c r="CC96" s="62">
        <f t="shared" si="65"/>
        <v>951.1441202492274</v>
      </c>
      <c r="CD96" s="62">
        <f ca="1">AVERAGE(OFFSET($CC$3,0,0,'Données projet'!$E$12+1,1))-AVERAGE(OFFSET($H$3,0,0,'Données projet'!$E$12+1,1))</f>
        <v>490.26236605482961</v>
      </c>
      <c r="CE96" s="62">
        <f t="shared" si="94"/>
        <v>283.40133947156238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2.8</v>
      </c>
      <c r="CT96" s="13">
        <f>IF('Données projet'!$A$140&gt;35,CT95+CS96-DB95,IF(A96&lt;'Données projet'!$A$140,$CQ$205^A96,IF(A96='Données projet'!$A$140,'Données projet'!$B$140,CT95+CS96-DB95)))</f>
        <v>223.40000000000003</v>
      </c>
      <c r="CU96" s="18">
        <f>CT96*VLOOKUP('Données projet'!$B$13,Paramètres!$A$1:$I$89,3,0)*VLOOKUP('Données projet'!$B$13,Paramètres!$A$1:$I$89,5,0)</f>
        <v>195.16224000000005</v>
      </c>
      <c r="CV96" s="14">
        <f t="shared" si="95"/>
        <v>48.67946410296608</v>
      </c>
      <c r="CW96" s="22">
        <f t="shared" si="67"/>
        <v>424.6909679793327</v>
      </c>
      <c r="CX96" s="62">
        <f t="shared" si="68"/>
        <v>718.02430131266601</v>
      </c>
      <c r="CY96" s="62">
        <f ca="1">AVERAGE(OFFSET($CX$3,0,0,'Données projet'!$E$13+1,1))-AVERAGE(OFFSET($H$3,0,0,'Données projet'!$E$13+1,1))</f>
        <v>315.3516976788701</v>
      </c>
      <c r="CZ96" s="62">
        <f t="shared" si="96"/>
        <v>266.32508105927997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289.22868</v>
      </c>
      <c r="EL96" s="14">
        <f t="shared" si="99"/>
        <v>68.913598231220931</v>
      </c>
      <c r="EM96" s="22">
        <f t="shared" si="73"/>
        <v>623.76446791937644</v>
      </c>
      <c r="EN96" s="62">
        <f t="shared" si="74"/>
        <v>917.09780125270981</v>
      </c>
      <c r="EO96" s="62">
        <f ca="1">AVERAGE(OFFSET($EN$3,0,0,'Données projet'!$E$15+1,1))-AVERAGE(OFFSET($H$3,0,0,'Données projet'!$E$15+1,1))</f>
        <v>502.07782026233912</v>
      </c>
      <c r="EP96" s="62">
        <f t="shared" si="100"/>
        <v>285.83623046025156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3.5897435897435854</v>
      </c>
      <c r="FE96" s="13">
        <f>IF('Données projet'!$A$218&gt;35,FE95+FD96-FM95,IF(A96&lt;'Données projet'!$A$218,$FB$205^A96,IF(A96='Données projet'!$A$218,'Données projet'!$B$218,FE95+FD96-FM95)))</f>
        <v>235.128205128205</v>
      </c>
      <c r="FF96" s="18">
        <f>FE96*VLOOKUP('Données projet'!$B$16,Paramètres!$A$1:$I$89,3,0)*VLOOKUP('Données projet'!$B$16,Paramètres!$A$1:$I$89,5,0)</f>
        <v>223.74799999999988</v>
      </c>
      <c r="FG96" s="14">
        <f t="shared" si="101"/>
        <v>54.928692378995628</v>
      </c>
      <c r="FH96" s="22">
        <f t="shared" si="76"/>
        <v>485.36190589341709</v>
      </c>
      <c r="FI96" s="62">
        <f t="shared" si="77"/>
        <v>778.69523922675035</v>
      </c>
      <c r="FJ96" s="62">
        <f ca="1">AVERAGE(OFFSET($FI$3,0,0,'Données projet'!$E$16+1,1))-AVERAGE(OFFSET($H$3,0,0,'Données projet'!$E$16+1,1))</f>
        <v>365.5904647357433</v>
      </c>
      <c r="FK96" s="62">
        <f t="shared" si="102"/>
        <v>256.56280810580841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-1.1368683772161603E-13</v>
      </c>
      <c r="GA96" s="18">
        <f>FZ96*VLOOKUP('Données projet'!$B$17,Paramètres!$A$1:$I$89,3,0)*VLOOKUP('Données projet'!$B$17,Paramètres!$A$1:$I$89,5,0)</f>
        <v>-9.2222762759774927E-14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256.19915261735281</v>
      </c>
      <c r="GF96" s="62">
        <f t="shared" si="104"/>
        <v>297.47246687305056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8.7730769230769283</v>
      </c>
      <c r="GU96" s="13">
        <f>IF('Données projet'!$A$270&gt;35,GU95+GT96-HC95,IF(A96&lt;'Données projet'!$A$270,$GR$205^A96,IF(A96='Données projet'!$A$270,'Données projet'!$B$270,GU95+GT96-HC95)))</f>
        <v>363.18461538461531</v>
      </c>
      <c r="GV96" s="18">
        <f>GU96*VLOOKUP('Données projet'!$B$18,Paramètres!$A$1:$I$89,3,0)*VLOOKUP('Données projet'!$B$18,Paramètres!$A$1:$I$89,5,0)</f>
        <v>169.97039999999998</v>
      </c>
      <c r="GW96" s="14">
        <f t="shared" si="105"/>
        <v>43.083394102790791</v>
      </c>
      <c r="GX96" s="22">
        <f t="shared" si="82"/>
        <v>371.06869139569397</v>
      </c>
      <c r="GY96" s="62">
        <f t="shared" si="83"/>
        <v>664.40202472902729</v>
      </c>
      <c r="GZ96" s="62">
        <f ca="1">AVERAGE(OFFSET($GY$3,0,0,'Données projet'!$E$18+1,1))-AVERAGE(OFFSET($H$3,0,0,'Données projet'!$E$18+1,1))</f>
        <v>284.704043530756</v>
      </c>
      <c r="HA96" s="62">
        <f t="shared" si="106"/>
        <v>190.4880882944471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2">
        <f t="shared" si="55"/>
        <v>829.09611292828231</v>
      </c>
      <c r="S97" s="62">
        <f ca="1">AVERAGE(OFFSET($R$3,0,0,'Données projet'!$E$9+1,1))-AVERAGE(OFFSET($H$3,0,0,'Données projet'!$E$9+1,1))</f>
        <v>428.8489304403459</v>
      </c>
      <c r="T97" s="62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274.66236526869056</v>
      </c>
      <c r="AO97" s="62">
        <f t="shared" si="90"/>
        <v>256.90876395053073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277.43039999999996</v>
      </c>
      <c r="BF97" s="14">
        <f t="shared" si="91"/>
        <v>66.423687500715673</v>
      </c>
      <c r="BG97" s="22">
        <f t="shared" si="61"/>
        <v>598.87920239707967</v>
      </c>
      <c r="BH97" s="62">
        <f t="shared" si="62"/>
        <v>892.21253573041304</v>
      </c>
      <c r="BI97" s="62">
        <f ca="1">AVERAGE(OFFSET($BH$3,0,0,'Données projet'!$E$11+1,1))-AVERAGE(OFFSET($H$3,0,0,'Données projet'!$E$11+1,1))</f>
        <v>475.47920969424894</v>
      </c>
      <c r="BJ97" s="62">
        <f t="shared" si="92"/>
        <v>271.73544012419364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3.5897435897435912</v>
      </c>
      <c r="BY97" s="13">
        <f>IF('Données projet'!$A$114&gt;35,BY96+BX97-CG96,IF(A97&lt;'Données projet'!$A$114,$BV$205^A97,IF(A97='Données projet'!$A$114,'Données projet'!$B$114,BY96+BX97-CG96)))</f>
        <v>295.76923076923072</v>
      </c>
      <c r="BZ97" s="14">
        <f>BY97*VLOOKUP('Données projet'!$B$12,Paramètres!$A$1:$I$89,3,0)*VLOOKUP('Données projet'!$B$12,Paramètres!$A$1:$I$89,5,0)</f>
        <v>309.13799999999998</v>
      </c>
      <c r="CA97" s="14">
        <f t="shared" si="93"/>
        <v>73.088781099784711</v>
      </c>
      <c r="CB97" s="22">
        <f t="shared" si="64"/>
        <v>665.71164374879174</v>
      </c>
      <c r="CC97" s="62">
        <f t="shared" si="65"/>
        <v>959.04497708212511</v>
      </c>
      <c r="CD97" s="62">
        <f ca="1">AVERAGE(OFFSET($CC$3,0,0,'Données projet'!$E$12+1,1))-AVERAGE(OFFSET($H$3,0,0,'Données projet'!$E$12+1,1))</f>
        <v>490.26236605482961</v>
      </c>
      <c r="CE97" s="62">
        <f t="shared" si="94"/>
        <v>283.40133947156238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2.8</v>
      </c>
      <c r="CT97" s="13">
        <f>IF('Données projet'!$A$140&gt;35,CT96+CS97-DB96,IF(A97&lt;'Données projet'!$A$140,$CQ$205^A97,IF(A97='Données projet'!$A$140,'Données projet'!$B$140,CT96+CS97-DB96)))</f>
        <v>226.20000000000005</v>
      </c>
      <c r="CU97" s="18">
        <f>CT97*VLOOKUP('Données projet'!$B$13,Paramètres!$A$1:$I$89,3,0)*VLOOKUP('Données projet'!$B$13,Paramètres!$A$1:$I$89,5,0)</f>
        <v>197.60832000000008</v>
      </c>
      <c r="CV97" s="14">
        <f t="shared" si="95"/>
        <v>49.218181392381403</v>
      </c>
      <c r="CW97" s="22">
        <f t="shared" si="67"/>
        <v>429.88948992506442</v>
      </c>
      <c r="CX97" s="62">
        <f t="shared" si="68"/>
        <v>723.22282325839774</v>
      </c>
      <c r="CY97" s="62">
        <f ca="1">AVERAGE(OFFSET($CX$3,0,0,'Données projet'!$E$13+1,1))-AVERAGE(OFFSET($H$3,0,0,'Données projet'!$E$13+1,1))</f>
        <v>315.3516976788701</v>
      </c>
      <c r="CZ97" s="62">
        <f t="shared" si="96"/>
        <v>266.32508105927997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294.50303999999994</v>
      </c>
      <c r="EL97" s="14">
        <f t="shared" si="99"/>
        <v>70.022852154069838</v>
      </c>
      <c r="EM97" s="22">
        <f t="shared" si="73"/>
        <v>634.88259550167152</v>
      </c>
      <c r="EN97" s="62">
        <f t="shared" si="74"/>
        <v>928.21592883500489</v>
      </c>
      <c r="EO97" s="62">
        <f ca="1">AVERAGE(OFFSET($EN$3,0,0,'Données projet'!$E$15+1,1))-AVERAGE(OFFSET($H$3,0,0,'Données projet'!$E$15+1,1))</f>
        <v>502.07782026233912</v>
      </c>
      <c r="EP97" s="62">
        <f t="shared" si="100"/>
        <v>285.83623046025156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3.5897435897435854</v>
      </c>
      <c r="FE97" s="13">
        <f>IF('Données projet'!$A$218&gt;35,FE96+FD97-FM96,IF(A97&lt;'Données projet'!$A$218,$FB$205^A97,IF(A97='Données projet'!$A$218,'Données projet'!$B$218,FE96+FD97-FM96)))</f>
        <v>238.71794871794859</v>
      </c>
      <c r="FF97" s="18">
        <f>FE97*VLOOKUP('Données projet'!$B$16,Paramètres!$A$1:$I$89,3,0)*VLOOKUP('Données projet'!$B$16,Paramètres!$A$1:$I$89,5,0)</f>
        <v>227.16399999999985</v>
      </c>
      <c r="FG97" s="14">
        <f t="shared" si="101"/>
        <v>55.66902993459999</v>
      </c>
      <c r="FH97" s="22">
        <f t="shared" si="76"/>
        <v>492.60086046942803</v>
      </c>
      <c r="FI97" s="62">
        <f t="shared" si="77"/>
        <v>785.93419380276134</v>
      </c>
      <c r="FJ97" s="62">
        <f ca="1">AVERAGE(OFFSET($FI$3,0,0,'Données projet'!$E$16+1,1))-AVERAGE(OFFSET($H$3,0,0,'Données projet'!$E$16+1,1))</f>
        <v>365.5904647357433</v>
      </c>
      <c r="FK97" s="62">
        <f t="shared" si="102"/>
        <v>256.56280810580841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-1.1368683772161603E-13</v>
      </c>
      <c r="GA97" s="18">
        <f>FZ97*VLOOKUP('Données projet'!$B$17,Paramètres!$A$1:$I$89,3,0)*VLOOKUP('Données projet'!$B$17,Paramètres!$A$1:$I$89,5,0)</f>
        <v>-9.2222762759774927E-14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256.19915261735281</v>
      </c>
      <c r="GF97" s="62">
        <f t="shared" si="104"/>
        <v>297.47246687305056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8.7730769230769283</v>
      </c>
      <c r="GU97" s="13">
        <f>IF('Données projet'!$A$270&gt;35,GU96+GT97-HC96,IF(A97&lt;'Données projet'!$A$270,$GR$205^A97,IF(A97='Données projet'!$A$270,'Données projet'!$B$270,GU96+GT97-HC96)))</f>
        <v>371.95769230769224</v>
      </c>
      <c r="GV97" s="18">
        <f>GU97*VLOOKUP('Données projet'!$B$18,Paramètres!$A$1:$I$89,3,0)*VLOOKUP('Données projet'!$B$18,Paramètres!$A$1:$I$89,5,0)</f>
        <v>174.07619999999997</v>
      </c>
      <c r="GW97" s="14">
        <f t="shared" si="105"/>
        <v>44.001694016087448</v>
      </c>
      <c r="GX97" s="22">
        <f t="shared" si="82"/>
        <v>379.81899874468553</v>
      </c>
      <c r="GY97" s="62">
        <f t="shared" si="83"/>
        <v>673.15233207801884</v>
      </c>
      <c r="GZ97" s="62">
        <f ca="1">AVERAGE(OFFSET($GY$3,0,0,'Données projet'!$E$18+1,1))-AVERAGE(OFFSET($H$3,0,0,'Données projet'!$E$18+1,1))</f>
        <v>284.704043530756</v>
      </c>
      <c r="HA97" s="62">
        <f t="shared" si="106"/>
        <v>190.4880882944471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2">
        <f t="shared" si="55"/>
        <v>838.4714957147562</v>
      </c>
      <c r="S98" s="62">
        <f ca="1">AVERAGE(OFFSET($R$3,0,0,'Données projet'!$E$9+1,1))-AVERAGE(OFFSET($H$3,0,0,'Données projet'!$E$9+1,1))</f>
        <v>428.8489304403459</v>
      </c>
      <c r="T98" s="62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274.66236526869056</v>
      </c>
      <c r="AO98" s="62">
        <f t="shared" si="90"/>
        <v>256.90876395053073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282.399</v>
      </c>
      <c r="BF98" s="14">
        <f t="shared" si="91"/>
        <v>67.473734542548371</v>
      </c>
      <c r="BG98" s="22">
        <f t="shared" si="61"/>
        <v>609.36167932827175</v>
      </c>
      <c r="BH98" s="62">
        <f t="shared" si="62"/>
        <v>902.69501266160501</v>
      </c>
      <c r="BI98" s="62">
        <f ca="1">AVERAGE(OFFSET($BH$3,0,0,'Données projet'!$E$11+1,1))-AVERAGE(OFFSET($H$3,0,0,'Données projet'!$E$11+1,1))</f>
        <v>475.47920969424894</v>
      </c>
      <c r="BJ98" s="62">
        <f t="shared" si="92"/>
        <v>271.73544012419364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303.20512820512818</v>
      </c>
      <c r="BW98" s="13">
        <f>VLOOKUP(A98,'Données projet'!$A$113:$I$133,9,0)</f>
        <v>3.5897435897435912</v>
      </c>
      <c r="BX98" s="13">
        <f t="array" ref="BX98">INDEX(BW:BW,MIN(IF(ISNUMBER(BW98:BW294),ROW(BW98:BW294),"")))</f>
        <v>3.5897435897435912</v>
      </c>
      <c r="BY98" s="13">
        <f>IF('Données projet'!$A$114&gt;35,BY97+BX98-CG97,IF(A98&lt;'Données projet'!$A$114,$BV$205^A98,IF(A98='Données projet'!$A$114,'Données projet'!$B$114,BY97+BX98-CG97)))</f>
        <v>299.35897435897431</v>
      </c>
      <c r="BZ98" s="14">
        <f>BY98*VLOOKUP('Données projet'!$B$12,Paramètres!$A$1:$I$89,3,0)*VLOOKUP('Données projet'!$B$12,Paramètres!$A$1:$I$89,5,0)</f>
        <v>312.89</v>
      </c>
      <c r="CA98" s="14">
        <f t="shared" si="93"/>
        <v>73.872050858406325</v>
      </c>
      <c r="CB98" s="22">
        <f t="shared" si="64"/>
        <v>673.61057191172426</v>
      </c>
      <c r="CC98" s="62">
        <f t="shared" si="65"/>
        <v>966.94390524505752</v>
      </c>
      <c r="CD98" s="62">
        <f ca="1">AVERAGE(OFFSET($CC$3,0,0,'Données projet'!$E$12+1,1))-AVERAGE(OFFSET($H$3,0,0,'Données projet'!$E$12+1,1))</f>
        <v>490.26236605482961</v>
      </c>
      <c r="CE98" s="62">
        <f t="shared" si="94"/>
        <v>283.40133947156238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20.512820512820511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229</v>
      </c>
      <c r="CR98" s="13">
        <f>VLOOKUP(A98,'Données projet'!$A$139:$I$159,9,0)</f>
        <v>2.8</v>
      </c>
      <c r="CS98" s="13">
        <f t="array" ref="CS98">INDEX(CR:CR,MIN(IF(ISNUMBER(CR98:CR294),ROW(CR98:CR294),"")))</f>
        <v>2.8</v>
      </c>
      <c r="CT98" s="13">
        <f>IF('Données projet'!$A$140&gt;35,CT97+CS98-DB97,IF(A98&lt;'Données projet'!$A$140,$CQ$205^A98,IF(A98='Données projet'!$A$140,'Données projet'!$B$140,CT97+CS98-DB97)))</f>
        <v>229.00000000000006</v>
      </c>
      <c r="CU98" s="18">
        <f>CT98*VLOOKUP('Données projet'!$B$13,Paramètres!$A$1:$I$89,3,0)*VLOOKUP('Données projet'!$B$13,Paramètres!$A$1:$I$89,5,0)</f>
        <v>200.05440000000007</v>
      </c>
      <c r="CV98" s="14">
        <f t="shared" si="95"/>
        <v>49.756123009618236</v>
      </c>
      <c r="CW98" s="22">
        <f t="shared" si="67"/>
        <v>435.08666090841854</v>
      </c>
      <c r="CX98" s="62">
        <f t="shared" si="68"/>
        <v>728.41999424175185</v>
      </c>
      <c r="CY98" s="62">
        <f ca="1">AVERAGE(OFFSET($CX$3,0,0,'Données projet'!$E$13+1,1))-AVERAGE(OFFSET($H$3,0,0,'Données projet'!$E$13+1,1))</f>
        <v>315.3516976788701</v>
      </c>
      <c r="CZ98" s="62">
        <f t="shared" si="96"/>
        <v>266.32508105927997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299.77739999999989</v>
      </c>
      <c r="EL98" s="14">
        <f t="shared" si="99"/>
        <v>71.129795949749251</v>
      </c>
      <c r="EM98" s="22">
        <f t="shared" si="73"/>
        <v>645.9966996124798</v>
      </c>
      <c r="EN98" s="62">
        <f t="shared" si="74"/>
        <v>939.33003294581317</v>
      </c>
      <c r="EO98" s="62">
        <f ca="1">AVERAGE(OFFSET($EN$3,0,0,'Données projet'!$E$15+1,1))-AVERAGE(OFFSET($H$3,0,0,'Données projet'!$E$15+1,1))</f>
        <v>502.07782026233912</v>
      </c>
      <c r="EP98" s="62">
        <f t="shared" si="100"/>
        <v>285.83623046025156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242.30769230769229</v>
      </c>
      <c r="FC98" s="13">
        <f>VLOOKUP(A98,'Données projet'!$A$217:$I$237,9,0)</f>
        <v>3.5897435897435854</v>
      </c>
      <c r="FD98" s="13">
        <f t="array" ref="FD98">INDEX(FC:FC,MIN(IF(ISNUMBER(FC98:FC294),ROW(FC98:FC294),"")))</f>
        <v>3.5897435897435854</v>
      </c>
      <c r="FE98" s="13">
        <f>IF('Données projet'!$A$218&gt;35,FE97+FD98-FM97,IF(A98&lt;'Données projet'!$A$218,$FB$205^A98,IF(A98='Données projet'!$A$218,'Données projet'!$B$218,FE97+FD98-FM97)))</f>
        <v>242.30769230769218</v>
      </c>
      <c r="FF98" s="18">
        <f>FE98*VLOOKUP('Données projet'!$B$16,Paramètres!$A$1:$I$89,3,0)*VLOOKUP('Données projet'!$B$16,Paramètres!$A$1:$I$89,5,0)</f>
        <v>230.5799999999999</v>
      </c>
      <c r="FG98" s="14">
        <f t="shared" si="101"/>
        <v>56.408072703031301</v>
      </c>
      <c r="FH98" s="22">
        <f t="shared" si="76"/>
        <v>499.83755995777932</v>
      </c>
      <c r="FI98" s="62">
        <f t="shared" si="77"/>
        <v>793.17089329111263</v>
      </c>
      <c r="FJ98" s="62">
        <f ca="1">AVERAGE(OFFSET($FI$3,0,0,'Données projet'!$E$16+1,1))-AVERAGE(OFFSET($H$3,0,0,'Données projet'!$E$16+1,1))</f>
        <v>365.5904647357433</v>
      </c>
      <c r="FK98" s="62">
        <f t="shared" si="102"/>
        <v>256.56280810580841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25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-1.1368683772161603E-13</v>
      </c>
      <c r="GA98" s="18">
        <f>FZ98*VLOOKUP('Données projet'!$B$17,Paramètres!$A$1:$I$89,3,0)*VLOOKUP('Données projet'!$B$17,Paramètres!$A$1:$I$89,5,0)</f>
        <v>-9.2222762759774927E-14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256.19915261735281</v>
      </c>
      <c r="GF98" s="62">
        <f t="shared" si="104"/>
        <v>297.47246687305056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8.7730769230769283</v>
      </c>
      <c r="GU98" s="13">
        <f>IF('Données projet'!$A$270&gt;35,GU97+GT98-HC97,IF(A98&lt;'Données projet'!$A$270,$GR$205^A98,IF(A98='Données projet'!$A$270,'Données projet'!$B$270,GU97+GT98-HC97)))</f>
        <v>380.73076923076917</v>
      </c>
      <c r="GV98" s="18">
        <f>GU98*VLOOKUP('Données projet'!$B$18,Paramètres!$A$1:$I$89,3,0)*VLOOKUP('Données projet'!$B$18,Paramètres!$A$1:$I$89,5,0)</f>
        <v>178.18199999999996</v>
      </c>
      <c r="GW98" s="14">
        <f t="shared" si="105"/>
        <v>44.917476006361952</v>
      </c>
      <c r="GX98" s="22">
        <f t="shared" si="82"/>
        <v>388.56492071108028</v>
      </c>
      <c r="GY98" s="62">
        <f t="shared" si="83"/>
        <v>681.89825404441353</v>
      </c>
      <c r="GZ98" s="62">
        <f ca="1">AVERAGE(OFFSET($GY$3,0,0,'Données projet'!$E$18+1,1))-AVERAGE(OFFSET($H$3,0,0,'Données projet'!$E$18+1,1))</f>
        <v>284.704043530756</v>
      </c>
      <c r="HA98" s="62">
        <f t="shared" si="106"/>
        <v>190.4880882944471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2">
        <f t="shared" si="55"/>
        <v>847.84349511604591</v>
      </c>
      <c r="S99" s="62">
        <f ca="1">AVERAGE(OFFSET($R$3,0,0,'Données projet'!$E$9+1,1))-AVERAGE(OFFSET($H$3,0,0,'Données projet'!$E$9+1,1))</f>
        <v>428.8489304403459</v>
      </c>
      <c r="T99" s="62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274.66236526869056</v>
      </c>
      <c r="AO99" s="62">
        <f t="shared" si="90"/>
        <v>256.90876395053073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287.36759999999992</v>
      </c>
      <c r="BF99" s="14">
        <f t="shared" si="91"/>
        <v>68.521633201565123</v>
      </c>
      <c r="BG99" s="22">
        <f t="shared" si="61"/>
        <v>619.84041449272581</v>
      </c>
      <c r="BH99" s="62">
        <f t="shared" si="62"/>
        <v>913.17374782605907</v>
      </c>
      <c r="BI99" s="62">
        <f ca="1">AVERAGE(OFFSET($BH$3,0,0,'Données projet'!$E$11+1,1))-AVERAGE(OFFSET($H$3,0,0,'Données projet'!$E$11+1,1))</f>
        <v>475.47920969424894</v>
      </c>
      <c r="BJ99" s="62">
        <f t="shared" si="92"/>
        <v>271.73544012419364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3.333333333333337</v>
      </c>
      <c r="BY99" s="13">
        <f>IF('Données projet'!$A$114&gt;35,BY98+BX99-CG98,IF(A99&lt;'Données projet'!$A$114,$BV$205^A99,IF(A99='Données projet'!$A$114,'Données projet'!$B$114,BY98+BX99-CG98)))</f>
        <v>282.17948717948713</v>
      </c>
      <c r="BZ99" s="14">
        <f>BY99*VLOOKUP('Données projet'!$B$12,Paramètres!$A$1:$I$89,3,0)*VLOOKUP('Données projet'!$B$12,Paramètres!$A$1:$I$89,5,0)</f>
        <v>294.93399999999997</v>
      </c>
      <c r="CA99" s="14">
        <f t="shared" si="93"/>
        <v>70.113384904584848</v>
      </c>
      <c r="CB99" s="22">
        <f t="shared" si="64"/>
        <v>635.79086204215184</v>
      </c>
      <c r="CC99" s="62">
        <f t="shared" si="65"/>
        <v>929.12419537548521</v>
      </c>
      <c r="CD99" s="62">
        <f ca="1">AVERAGE(OFFSET($CC$3,0,0,'Données projet'!$E$12+1,1))-AVERAGE(OFFSET($H$3,0,0,'Données projet'!$E$12+1,1))</f>
        <v>490.26236605482961</v>
      </c>
      <c r="CE99" s="62">
        <f t="shared" si="94"/>
        <v>283.40133947156238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</v>
      </c>
      <c r="CT99" s="13">
        <f>IF('Données projet'!$A$140&gt;35,CT98+CS99-DB98,IF(A99&lt;'Données projet'!$A$140,$CQ$205^A99,IF(A99='Données projet'!$A$140,'Données projet'!$B$140,CT98+CS99-DB98)))</f>
        <v>232.00000000000006</v>
      </c>
      <c r="CU99" s="18">
        <f>CT99*VLOOKUP('Données projet'!$B$13,Paramètres!$A$1:$I$89,3,0)*VLOOKUP('Données projet'!$B$13,Paramètres!$A$1:$I$89,5,0)</f>
        <v>202.67520000000007</v>
      </c>
      <c r="CV99" s="14">
        <f t="shared" si="95"/>
        <v>50.331640285313689</v>
      </c>
      <c r="CW99" s="22">
        <f t="shared" si="67"/>
        <v>440.65358016358806</v>
      </c>
      <c r="CX99" s="62">
        <f t="shared" si="68"/>
        <v>733.98691349692137</v>
      </c>
      <c r="CY99" s="62">
        <f ca="1">AVERAGE(OFFSET($CX$3,0,0,'Données projet'!$E$13+1,1))-AVERAGE(OFFSET($H$3,0,0,'Données projet'!$E$13+1,1))</f>
        <v>315.3516976788701</v>
      </c>
      <c r="CZ99" s="62">
        <f t="shared" si="96"/>
        <v>266.32508105927997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305.05175999999989</v>
      </c>
      <c r="EL99" s="14">
        <f t="shared" si="99"/>
        <v>72.23447495258219</v>
      </c>
      <c r="EM99" s="22">
        <f t="shared" si="73"/>
        <v>657.10685920908043</v>
      </c>
      <c r="EN99" s="62">
        <f t="shared" si="74"/>
        <v>950.4401925424138</v>
      </c>
      <c r="EO99" s="62">
        <f ca="1">AVERAGE(OFFSET($EN$3,0,0,'Données projet'!$E$15+1,1))-AVERAGE(OFFSET($H$3,0,0,'Données projet'!$E$15+1,1))</f>
        <v>502.07782026233912</v>
      </c>
      <c r="EP99" s="62">
        <f t="shared" si="100"/>
        <v>285.83623046025156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3.333333333333337</v>
      </c>
      <c r="FE99" s="13">
        <f>IF('Données projet'!$A$218&gt;35,FE98+FD99-FM98,IF(A99&lt;'Données projet'!$A$218,$FB$205^A99,IF(A99='Données projet'!$A$218,'Données projet'!$B$218,FE98+FD99-FM98)))</f>
        <v>220.64102564102552</v>
      </c>
      <c r="FF99" s="18">
        <f>FE99*VLOOKUP('Données projet'!$B$16,Paramètres!$A$1:$I$89,3,0)*VLOOKUP('Données projet'!$B$16,Paramètres!$A$1:$I$89,5,0)</f>
        <v>209.9619999999999</v>
      </c>
      <c r="FG99" s="14">
        <f t="shared" si="101"/>
        <v>51.927281654776422</v>
      </c>
      <c r="FH99" s="22">
        <f t="shared" si="76"/>
        <v>456.12383221540205</v>
      </c>
      <c r="FI99" s="62">
        <f t="shared" si="77"/>
        <v>749.45716554873536</v>
      </c>
      <c r="FJ99" s="62">
        <f ca="1">AVERAGE(OFFSET($FI$3,0,0,'Données projet'!$E$16+1,1))-AVERAGE(OFFSET($H$3,0,0,'Données projet'!$E$16+1,1))</f>
        <v>365.5904647357433</v>
      </c>
      <c r="FK99" s="62">
        <f t="shared" si="102"/>
        <v>256.56280810580841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-1.1368683772161603E-13</v>
      </c>
      <c r="GA99" s="18">
        <f>FZ99*VLOOKUP('Données projet'!$B$17,Paramètres!$A$1:$I$89,3,0)*VLOOKUP('Données projet'!$B$17,Paramètres!$A$1:$I$89,5,0)</f>
        <v>-9.2222762759774927E-14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256.19915261735281</v>
      </c>
      <c r="GF99" s="62">
        <f t="shared" si="104"/>
        <v>297.47246687305056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8.7730769230769283</v>
      </c>
      <c r="GU99" s="13">
        <f>IF('Données projet'!$A$270&gt;35,GU98+GT99-HC98,IF(A99&lt;'Données projet'!$A$270,$GR$205^A99,IF(A99='Données projet'!$A$270,'Données projet'!$B$270,GU98+GT99-HC98)))</f>
        <v>389.5038461538461</v>
      </c>
      <c r="GV99" s="18">
        <f>GU99*VLOOKUP('Données projet'!$B$18,Paramètres!$A$1:$I$89,3,0)*VLOOKUP('Données projet'!$B$18,Paramètres!$A$1:$I$89,5,0)</f>
        <v>182.28779999999995</v>
      </c>
      <c r="GW99" s="14">
        <f t="shared" si="105"/>
        <v>45.830804771728936</v>
      </c>
      <c r="GX99" s="22">
        <f t="shared" si="82"/>
        <v>397.30656997742784</v>
      </c>
      <c r="GY99" s="62">
        <f t="shared" si="83"/>
        <v>690.63990331076116</v>
      </c>
      <c r="GZ99" s="62">
        <f ca="1">AVERAGE(OFFSET($GY$3,0,0,'Données projet'!$E$18+1,1))-AVERAGE(OFFSET($H$3,0,0,'Données projet'!$E$18+1,1))</f>
        <v>284.704043530756</v>
      </c>
      <c r="HA99" s="62">
        <f t="shared" si="106"/>
        <v>190.4880882944471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2">
        <f t="shared" si="55"/>
        <v>857.21217638119901</v>
      </c>
      <c r="S100" s="62">
        <f ca="1">AVERAGE(OFFSET($R$3,0,0,'Données projet'!$E$9+1,1))-AVERAGE(OFFSET($H$3,0,0,'Données projet'!$E$9+1,1))</f>
        <v>428.8489304403459</v>
      </c>
      <c r="T100" s="62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274.66236526869056</v>
      </c>
      <c r="AO100" s="62">
        <f t="shared" si="90"/>
        <v>256.90876395053073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292.33619999999996</v>
      </c>
      <c r="BF100" s="14">
        <f t="shared" si="91"/>
        <v>69.56742490962327</v>
      </c>
      <c r="BG100" s="22">
        <f t="shared" si="61"/>
        <v>630.31548005092702</v>
      </c>
      <c r="BH100" s="62">
        <f t="shared" si="62"/>
        <v>923.64881338426039</v>
      </c>
      <c r="BI100" s="62">
        <f ca="1">AVERAGE(OFFSET($BH$3,0,0,'Données projet'!$E$11+1,1))-AVERAGE(OFFSET($H$3,0,0,'Données projet'!$E$11+1,1))</f>
        <v>475.47920969424894</v>
      </c>
      <c r="BJ100" s="62">
        <f t="shared" si="92"/>
        <v>271.73544012419364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3.333333333333337</v>
      </c>
      <c r="BY100" s="13">
        <f>IF('Données projet'!$A$114&gt;35,BY99+BX100-CG99,IF(A100&lt;'Données projet'!$A$114,$BV$205^A100,IF(A100='Données projet'!$A$114,'Données projet'!$B$114,BY99+BX100-CG99)))</f>
        <v>285.51282051282044</v>
      </c>
      <c r="BZ100" s="14">
        <f>BY100*VLOOKUP('Données projet'!$B$12,Paramètres!$A$1:$I$89,3,0)*VLOOKUP('Données projet'!$B$12,Paramètres!$A$1:$I$89,5,0)</f>
        <v>298.41799999999995</v>
      </c>
      <c r="CA100" s="14">
        <f t="shared" si="93"/>
        <v>70.844713524683087</v>
      </c>
      <c r="CB100" s="22">
        <f t="shared" si="64"/>
        <v>643.13255938882287</v>
      </c>
      <c r="CC100" s="62">
        <f t="shared" si="65"/>
        <v>936.46589272215624</v>
      </c>
      <c r="CD100" s="62">
        <f ca="1">AVERAGE(OFFSET($CC$3,0,0,'Données projet'!$E$12+1,1))-AVERAGE(OFFSET($H$3,0,0,'Données projet'!$E$12+1,1))</f>
        <v>490.26236605482961</v>
      </c>
      <c r="CE100" s="62">
        <f t="shared" si="94"/>
        <v>283.40133947156238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</v>
      </c>
      <c r="CT100" s="13">
        <f>IF('Données projet'!$A$140&gt;35,CT99+CS100-DB99,IF(A100&lt;'Données projet'!$A$140,$CQ$205^A100,IF(A100='Données projet'!$A$140,'Données projet'!$B$140,CT99+CS100-DB99)))</f>
        <v>235.00000000000006</v>
      </c>
      <c r="CU100" s="18">
        <f>CT100*VLOOKUP('Données projet'!$B$13,Paramètres!$A$1:$I$89,3,0)*VLOOKUP('Données projet'!$B$13,Paramètres!$A$1:$I$89,5,0)</f>
        <v>205.29600000000008</v>
      </c>
      <c r="CV100" s="14">
        <f t="shared" si="95"/>
        <v>50.906291934375396</v>
      </c>
      <c r="CW100" s="22">
        <f t="shared" si="67"/>
        <v>446.21899178570385</v>
      </c>
      <c r="CX100" s="62">
        <f t="shared" si="68"/>
        <v>739.55232511903716</v>
      </c>
      <c r="CY100" s="62">
        <f ca="1">AVERAGE(OFFSET($CX$3,0,0,'Données projet'!$E$13+1,1))-AVERAGE(OFFSET($H$3,0,0,'Données projet'!$E$13+1,1))</f>
        <v>315.3516976788701</v>
      </c>
      <c r="CZ100" s="62">
        <f t="shared" si="96"/>
        <v>266.32508105927997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310.32611999999989</v>
      </c>
      <c r="EL100" s="14">
        <f t="shared" si="99"/>
        <v>73.336932839409357</v>
      </c>
      <c r="EM100" s="22">
        <f t="shared" si="73"/>
        <v>668.21315036197109</v>
      </c>
      <c r="EN100" s="62">
        <f t="shared" si="74"/>
        <v>961.54648369530446</v>
      </c>
      <c r="EO100" s="62">
        <f ca="1">AVERAGE(OFFSET($EN$3,0,0,'Données projet'!$E$15+1,1))-AVERAGE(OFFSET($H$3,0,0,'Données projet'!$E$15+1,1))</f>
        <v>502.07782026233912</v>
      </c>
      <c r="EP100" s="62">
        <f t="shared" si="100"/>
        <v>285.83623046025156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3.333333333333337</v>
      </c>
      <c r="FE100" s="13">
        <f>IF('Données projet'!$A$218&gt;35,FE99+FD100-FM99,IF(A100&lt;'Données projet'!$A$218,$FB$205^A100,IF(A100='Données projet'!$A$218,'Données projet'!$B$218,FE99+FD100-FM99)))</f>
        <v>223.97435897435886</v>
      </c>
      <c r="FF100" s="18">
        <f>FE100*VLOOKUP('Données projet'!$B$16,Paramètres!$A$1:$I$89,3,0)*VLOOKUP('Données projet'!$B$16,Paramètres!$A$1:$I$89,5,0)</f>
        <v>213.1339999999999</v>
      </c>
      <c r="FG100" s="14">
        <f t="shared" si="101"/>
        <v>52.619851982252698</v>
      </c>
      <c r="FH100" s="22">
        <f t="shared" si="76"/>
        <v>462.85462553575667</v>
      </c>
      <c r="FI100" s="62">
        <f t="shared" si="77"/>
        <v>756.18795886908993</v>
      </c>
      <c r="FJ100" s="62">
        <f ca="1">AVERAGE(OFFSET($FI$3,0,0,'Données projet'!$E$16+1,1))-AVERAGE(OFFSET($H$3,0,0,'Données projet'!$E$16+1,1))</f>
        <v>365.5904647357433</v>
      </c>
      <c r="FK100" s="62">
        <f t="shared" si="102"/>
        <v>256.56280810580841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-1.1368683772161603E-13</v>
      </c>
      <c r="GA100" s="18">
        <f>FZ100*VLOOKUP('Données projet'!$B$17,Paramètres!$A$1:$I$89,3,0)*VLOOKUP('Données projet'!$B$17,Paramètres!$A$1:$I$89,5,0)</f>
        <v>-9.2222762759774927E-14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256.19915261735281</v>
      </c>
      <c r="GF100" s="62">
        <f t="shared" si="104"/>
        <v>297.47246687305056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>
        <f>VLOOKUP(A100,'Données projet'!$A$269:$I$289,2,0)</f>
        <v>398.27692307692308</v>
      </c>
      <c r="GS100" s="13">
        <f>VLOOKUP(A100,'Données projet'!$A$269:$I$289,9,0)</f>
        <v>8.7730769230769283</v>
      </c>
      <c r="GT100" s="13">
        <f t="array" ref="GT100">INDEX(GS:GS,MIN(IF(ISNUMBER(GS100:GS296),ROW(GS100:GS296),"")))</f>
        <v>8.7730769230769283</v>
      </c>
      <c r="GU100" s="13">
        <f>IF('Données projet'!$A$270&gt;35,GU99+GT100-HC99,IF(A100&lt;'Données projet'!$A$270,$GR$205^A100,IF(A100='Données projet'!$A$270,'Données projet'!$B$270,GU99+GT100-HC99)))</f>
        <v>398.27692307692303</v>
      </c>
      <c r="GV100" s="18">
        <f>GU100*VLOOKUP('Données projet'!$B$18,Paramètres!$A$1:$I$89,3,0)*VLOOKUP('Données projet'!$B$18,Paramètres!$A$1:$I$89,5,0)</f>
        <v>186.39359999999999</v>
      </c>
      <c r="GW100" s="14">
        <f t="shared" si="105"/>
        <v>46.741741929451358</v>
      </c>
      <c r="GX100" s="22">
        <f t="shared" si="82"/>
        <v>406.04405386046113</v>
      </c>
      <c r="GY100" s="62">
        <f t="shared" si="83"/>
        <v>699.37738719379445</v>
      </c>
      <c r="GZ100" s="62">
        <f ca="1">AVERAGE(OFFSET($GY$3,0,0,'Données projet'!$E$18+1,1))-AVERAGE(OFFSET($H$3,0,0,'Données projet'!$E$18+1,1))</f>
        <v>284.704043530756</v>
      </c>
      <c r="HA100" s="62">
        <f t="shared" si="106"/>
        <v>190.4880882944471</v>
      </c>
      <c r="HB100" s="16">
        <f>IF(ISNA(VLOOKUP(A100,'Données projet'!$A$269:$I$289,3,0)),0,VLOOKUP(A100,'Données projet'!$A$269:$I$289,3,0))</f>
        <v>5</v>
      </c>
      <c r="HC100" s="16">
        <f>IF(ISNA(VLOOKUP(A100,'Données projet'!$A$269:$I$289,4,0)),0,VLOOKUP(A100,'Données projet'!$A$269:$I$289,4,0))</f>
        <v>79.669230769230765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2">
        <f t="shared" si="55"/>
        <v>866.57760241418919</v>
      </c>
      <c r="S101" s="62">
        <f ca="1">AVERAGE(OFFSET($R$3,0,0,'Données projet'!$E$9+1,1))-AVERAGE(OFFSET($H$3,0,0,'Données projet'!$E$9+1,1))</f>
        <v>428.8489304403459</v>
      </c>
      <c r="T101" s="62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274.66236526869056</v>
      </c>
      <c r="AO101" s="62">
        <f t="shared" si="90"/>
        <v>256.90876395053073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297.30479999999989</v>
      </c>
      <c r="BF101" s="14">
        <f t="shared" si="91"/>
        <v>70.611149609504906</v>
      </c>
      <c r="BG101" s="22">
        <f t="shared" si="61"/>
        <v>640.78694556988739</v>
      </c>
      <c r="BH101" s="62">
        <f t="shared" si="62"/>
        <v>934.12027890322065</v>
      </c>
      <c r="BI101" s="62">
        <f ca="1">AVERAGE(OFFSET($BH$3,0,0,'Données projet'!$E$11+1,1))-AVERAGE(OFFSET($H$3,0,0,'Données projet'!$E$11+1,1))</f>
        <v>475.47920969424894</v>
      </c>
      <c r="BJ101" s="62">
        <f t="shared" si="92"/>
        <v>271.73544012419364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3.333333333333337</v>
      </c>
      <c r="BY101" s="13">
        <f>IF('Données projet'!$A$114&gt;35,BY100+BX101-CG100,IF(A101&lt;'Données projet'!$A$114,$BV$205^A101,IF(A101='Données projet'!$A$114,'Données projet'!$B$114,BY100+BX101-CG100)))</f>
        <v>288.84615384615375</v>
      </c>
      <c r="BZ101" s="14">
        <f>BY101*VLOOKUP('Données projet'!$B$12,Paramètres!$A$1:$I$89,3,0)*VLOOKUP('Données projet'!$B$12,Paramètres!$A$1:$I$89,5,0)</f>
        <v>301.90199999999993</v>
      </c>
      <c r="CA101" s="14">
        <f t="shared" si="93"/>
        <v>71.575048950857948</v>
      </c>
      <c r="CB101" s="22">
        <f t="shared" si="64"/>
        <v>650.47252692274412</v>
      </c>
      <c r="CC101" s="62">
        <f t="shared" si="65"/>
        <v>943.80586025607749</v>
      </c>
      <c r="CD101" s="62">
        <f ca="1">AVERAGE(OFFSET($CC$3,0,0,'Données projet'!$E$12+1,1))-AVERAGE(OFFSET($H$3,0,0,'Données projet'!$E$12+1,1))</f>
        <v>490.26236605482961</v>
      </c>
      <c r="CE101" s="62">
        <f t="shared" si="94"/>
        <v>283.40133947156238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</v>
      </c>
      <c r="CT101" s="13">
        <f>IF('Données projet'!$A$140&gt;35,CT100+CS101-DB100,IF(A101&lt;'Données projet'!$A$140,$CQ$205^A101,IF(A101='Données projet'!$A$140,'Données projet'!$B$140,CT100+CS101-DB100)))</f>
        <v>238.00000000000006</v>
      </c>
      <c r="CU101" s="18">
        <f>CT101*VLOOKUP('Données projet'!$B$13,Paramètres!$A$1:$I$89,3,0)*VLOOKUP('Données projet'!$B$13,Paramètres!$A$1:$I$89,5,0)</f>
        <v>207.91680000000011</v>
      </c>
      <c r="CV101" s="14">
        <f t="shared" si="95"/>
        <v>51.480090285152542</v>
      </c>
      <c r="CW101" s="22">
        <f t="shared" si="67"/>
        <v>451.78291724664086</v>
      </c>
      <c r="CX101" s="62">
        <f t="shared" si="68"/>
        <v>745.11625057997412</v>
      </c>
      <c r="CY101" s="62">
        <f ca="1">AVERAGE(OFFSET($CX$3,0,0,'Données projet'!$E$13+1,1))-AVERAGE(OFFSET($H$3,0,0,'Données projet'!$E$13+1,1))</f>
        <v>315.3516976788701</v>
      </c>
      <c r="CZ101" s="62">
        <f t="shared" si="96"/>
        <v>266.32508105927997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315.60047999999989</v>
      </c>
      <c r="EL101" s="14">
        <f t="shared" si="99"/>
        <v>74.437211717310802</v>
      </c>
      <c r="EM101" s="22">
        <f t="shared" si="73"/>
        <v>679.31564640764952</v>
      </c>
      <c r="EN101" s="62">
        <f t="shared" si="74"/>
        <v>972.6489797409829</v>
      </c>
      <c r="EO101" s="62">
        <f ca="1">AVERAGE(OFFSET($EN$3,0,0,'Données projet'!$E$15+1,1))-AVERAGE(OFFSET($H$3,0,0,'Données projet'!$E$15+1,1))</f>
        <v>502.07782026233912</v>
      </c>
      <c r="EP101" s="62">
        <f t="shared" si="100"/>
        <v>285.83623046025156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3.333333333333337</v>
      </c>
      <c r="FE101" s="13">
        <f>IF('Données projet'!$A$218&gt;35,FE100+FD101-FM100,IF(A101&lt;'Données projet'!$A$218,$FB$205^A101,IF(A101='Données projet'!$A$218,'Données projet'!$B$218,FE100+FD101-FM100)))</f>
        <v>227.30769230769221</v>
      </c>
      <c r="FF101" s="18">
        <f>FE101*VLOOKUP('Données projet'!$B$16,Paramètres!$A$1:$I$89,3,0)*VLOOKUP('Données projet'!$B$16,Paramètres!$A$1:$I$89,5,0)</f>
        <v>216.3059999999999</v>
      </c>
      <c r="FG101" s="14">
        <f t="shared" si="101"/>
        <v>53.311223533459987</v>
      </c>
      <c r="FH101" s="22">
        <f t="shared" si="76"/>
        <v>469.58333098744265</v>
      </c>
      <c r="FI101" s="62">
        <f t="shared" si="77"/>
        <v>762.91666432077591</v>
      </c>
      <c r="FJ101" s="62">
        <f ca="1">AVERAGE(OFFSET($FI$3,0,0,'Données projet'!$E$16+1,1))-AVERAGE(OFFSET($H$3,0,0,'Données projet'!$E$16+1,1))</f>
        <v>365.5904647357433</v>
      </c>
      <c r="FK101" s="62">
        <f t="shared" si="102"/>
        <v>256.56280810580841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-1.1368683772161603E-13</v>
      </c>
      <c r="GA101" s="18">
        <f>FZ101*VLOOKUP('Données projet'!$B$17,Paramètres!$A$1:$I$89,3,0)*VLOOKUP('Données projet'!$B$17,Paramètres!$A$1:$I$89,5,0)</f>
        <v>-9.2222762759774927E-14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256.19915261735281</v>
      </c>
      <c r="GF101" s="62">
        <f t="shared" si="104"/>
        <v>297.47246687305056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7.8564102564102525</v>
      </c>
      <c r="GU101" s="13">
        <f>IF('Données projet'!$A$270&gt;35,GU100+GT101-HC100,IF(A101&lt;'Données projet'!$A$270,$GR$205^A101,IF(A101='Données projet'!$A$270,'Données projet'!$B$270,GU100+GT101-HC100)))</f>
        <v>326.46410256410252</v>
      </c>
      <c r="GV101" s="18">
        <f>GU101*VLOOKUP('Données projet'!$B$18,Paramètres!$A$1:$I$89,3,0)*VLOOKUP('Données projet'!$B$18,Paramètres!$A$1:$I$89,5,0)</f>
        <v>152.78519999999997</v>
      </c>
      <c r="GW101" s="14">
        <f t="shared" si="105"/>
        <v>39.210852996881968</v>
      </c>
      <c r="GX101" s="22">
        <f t="shared" si="82"/>
        <v>334.39312563623599</v>
      </c>
      <c r="GY101" s="62">
        <f t="shared" si="83"/>
        <v>627.72645896956931</v>
      </c>
      <c r="GZ101" s="62">
        <f ca="1">AVERAGE(OFFSET($GY$3,0,0,'Données projet'!$E$18+1,1))-AVERAGE(OFFSET($H$3,0,0,'Données projet'!$E$18+1,1))</f>
        <v>284.704043530756</v>
      </c>
      <c r="HA101" s="62">
        <f t="shared" si="106"/>
        <v>190.4880882944471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2">
        <f t="shared" si="55"/>
        <v>875.93983389595746</v>
      </c>
      <c r="S102" s="62">
        <f ca="1">AVERAGE(OFFSET($R$3,0,0,'Données projet'!$E$9+1,1))-AVERAGE(OFFSET($H$3,0,0,'Données projet'!$E$9+1,1))</f>
        <v>428.8489304403459</v>
      </c>
      <c r="T102" s="62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274.66236526869056</v>
      </c>
      <c r="AO102" s="62">
        <f t="shared" si="90"/>
        <v>256.90876395053073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302.27339999999987</v>
      </c>
      <c r="BF102" s="14">
        <f t="shared" si="91"/>
        <v>71.652845832409739</v>
      </c>
      <c r="BG102" s="22">
        <f t="shared" si="61"/>
        <v>651.25487815811346</v>
      </c>
      <c r="BH102" s="62">
        <f t="shared" si="62"/>
        <v>944.58821149144683</v>
      </c>
      <c r="BI102" s="62">
        <f ca="1">AVERAGE(OFFSET($BH$3,0,0,'Données projet'!$E$11+1,1))-AVERAGE(OFFSET($H$3,0,0,'Données projet'!$E$11+1,1))</f>
        <v>475.47920969424894</v>
      </c>
      <c r="BJ102" s="62">
        <f t="shared" si="92"/>
        <v>271.73544012419364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3.333333333333337</v>
      </c>
      <c r="BY102" s="13">
        <f>IF('Données projet'!$A$114&gt;35,BY101+BX102-CG101,IF(A102&lt;'Données projet'!$A$114,$BV$205^A102,IF(A102='Données projet'!$A$114,'Données projet'!$B$114,BY101+BX102-CG101)))</f>
        <v>292.17948717948707</v>
      </c>
      <c r="BZ102" s="14">
        <f>BY102*VLOOKUP('Données projet'!$B$12,Paramètres!$A$1:$I$89,3,0)*VLOOKUP('Données projet'!$B$12,Paramètres!$A$1:$I$89,5,0)</f>
        <v>305.38599999999991</v>
      </c>
      <c r="CA102" s="14">
        <f t="shared" si="93"/>
        <v>72.304403970848256</v>
      </c>
      <c r="CB102" s="22">
        <f t="shared" si="64"/>
        <v>657.8107869158938</v>
      </c>
      <c r="CC102" s="62">
        <f t="shared" si="65"/>
        <v>951.14412024922717</v>
      </c>
      <c r="CD102" s="62">
        <f ca="1">AVERAGE(OFFSET($CC$3,0,0,'Données projet'!$E$12+1,1))-AVERAGE(OFFSET($H$3,0,0,'Données projet'!$E$12+1,1))</f>
        <v>490.26236605482961</v>
      </c>
      <c r="CE102" s="62">
        <f t="shared" si="94"/>
        <v>283.40133947156238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</v>
      </c>
      <c r="CT102" s="13">
        <f>IF('Données projet'!$A$140&gt;35,CT101+CS102-DB101,IF(A102&lt;'Données projet'!$A$140,$CQ$205^A102,IF(A102='Données projet'!$A$140,'Données projet'!$B$140,CT101+CS102-DB101)))</f>
        <v>241.00000000000006</v>
      </c>
      <c r="CU102" s="18">
        <f>CT102*VLOOKUP('Données projet'!$B$13,Paramètres!$A$1:$I$89,3,0)*VLOOKUP('Données projet'!$B$13,Paramètres!$A$1:$I$89,5,0)</f>
        <v>210.53760000000005</v>
      </c>
      <c r="CV102" s="14">
        <f t="shared" si="95"/>
        <v>52.053047337322276</v>
      </c>
      <c r="CW102" s="22">
        <f t="shared" si="67"/>
        <v>457.34537744583628</v>
      </c>
      <c r="CX102" s="62">
        <f t="shared" si="68"/>
        <v>750.67871077916959</v>
      </c>
      <c r="CY102" s="62">
        <f ca="1">AVERAGE(OFFSET($CX$3,0,0,'Données projet'!$E$13+1,1))-AVERAGE(OFFSET($H$3,0,0,'Données projet'!$E$13+1,1))</f>
        <v>315.3516976788701</v>
      </c>
      <c r="CZ102" s="62">
        <f t="shared" si="96"/>
        <v>266.32508105927997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320.87483999999984</v>
      </c>
      <c r="EL102" s="14">
        <f t="shared" si="99"/>
        <v>75.535352205297585</v>
      </c>
      <c r="EM102" s="22">
        <f t="shared" si="73"/>
        <v>690.41441809089304</v>
      </c>
      <c r="EN102" s="62">
        <f t="shared" si="74"/>
        <v>983.74775142422641</v>
      </c>
      <c r="EO102" s="62">
        <f ca="1">AVERAGE(OFFSET($EN$3,0,0,'Données projet'!$E$15+1,1))-AVERAGE(OFFSET($H$3,0,0,'Données projet'!$E$15+1,1))</f>
        <v>502.07782026233912</v>
      </c>
      <c r="EP102" s="62">
        <f t="shared" si="100"/>
        <v>285.83623046025156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3.333333333333337</v>
      </c>
      <c r="FE102" s="13">
        <f>IF('Données projet'!$A$218&gt;35,FE101+FD102-FM101,IF(A102&lt;'Données projet'!$A$218,$FB$205^A102,IF(A102='Données projet'!$A$218,'Données projet'!$B$218,FE101+FD102-FM101)))</f>
        <v>230.64102564102555</v>
      </c>
      <c r="FF102" s="18">
        <f>FE102*VLOOKUP('Données projet'!$B$16,Paramètres!$A$1:$I$89,3,0)*VLOOKUP('Données projet'!$B$16,Paramètres!$A$1:$I$89,5,0)</f>
        <v>219.47799999999992</v>
      </c>
      <c r="FG102" s="14">
        <f t="shared" si="101"/>
        <v>54.001415918656583</v>
      </c>
      <c r="FH102" s="22">
        <f t="shared" si="76"/>
        <v>476.3099827249934</v>
      </c>
      <c r="FI102" s="62">
        <f t="shared" si="77"/>
        <v>769.64331605832672</v>
      </c>
      <c r="FJ102" s="62">
        <f ca="1">AVERAGE(OFFSET($FI$3,0,0,'Données projet'!$E$16+1,1))-AVERAGE(OFFSET($H$3,0,0,'Données projet'!$E$16+1,1))</f>
        <v>365.5904647357433</v>
      </c>
      <c r="FK102" s="62">
        <f t="shared" si="102"/>
        <v>256.56280810580841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-1.1368683772161603E-13</v>
      </c>
      <c r="GA102" s="18">
        <f>FZ102*VLOOKUP('Données projet'!$B$17,Paramètres!$A$1:$I$89,3,0)*VLOOKUP('Données projet'!$B$17,Paramètres!$A$1:$I$89,5,0)</f>
        <v>-9.2222762759774927E-14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256.19915261735281</v>
      </c>
      <c r="GF102" s="62">
        <f t="shared" si="104"/>
        <v>297.47246687305056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7.8564102564102525</v>
      </c>
      <c r="GU102" s="13">
        <f>IF('Données projet'!$A$270&gt;35,GU101+GT102-HC101,IF(A102&lt;'Données projet'!$A$270,$GR$205^A102,IF(A102='Données projet'!$A$270,'Données projet'!$B$270,GU101+GT102-HC101)))</f>
        <v>334.32051282051276</v>
      </c>
      <c r="GV102" s="18">
        <f>GU102*VLOOKUP('Données projet'!$B$18,Paramètres!$A$1:$I$89,3,0)*VLOOKUP('Données projet'!$B$18,Paramètres!$A$1:$I$89,5,0)</f>
        <v>156.46199999999999</v>
      </c>
      <c r="GW102" s="14">
        <f t="shared" si="105"/>
        <v>40.043474088256666</v>
      </c>
      <c r="GX102" s="22">
        <f t="shared" si="82"/>
        <v>342.24703403704694</v>
      </c>
      <c r="GY102" s="62">
        <f t="shared" si="83"/>
        <v>635.58036737038026</v>
      </c>
      <c r="GZ102" s="62">
        <f ca="1">AVERAGE(OFFSET($GY$3,0,0,'Données projet'!$E$18+1,1))-AVERAGE(OFFSET($H$3,0,0,'Données projet'!$E$18+1,1))</f>
        <v>284.704043530756</v>
      </c>
      <c r="HA102" s="62">
        <f t="shared" si="106"/>
        <v>190.4880882944471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2">
        <f t="shared" si="55"/>
        <v>885.29892939819797</v>
      </c>
      <c r="S103" s="62">
        <f ca="1">AVERAGE(OFFSET($R$3,0,0,'Données projet'!$E$9+1,1))-AVERAGE(OFFSET($H$3,0,0,'Données projet'!$E$9+1,1))</f>
        <v>428.8489304403459</v>
      </c>
      <c r="T103" s="62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274.66236526869056</v>
      </c>
      <c r="AO103" s="62">
        <f t="shared" si="90"/>
        <v>256.90876395053073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307.24199999999985</v>
      </c>
      <c r="BF103" s="14">
        <f t="shared" si="91"/>
        <v>72.692550770207774</v>
      </c>
      <c r="BG103" s="22">
        <f t="shared" si="61"/>
        <v>661.71934259144484</v>
      </c>
      <c r="BH103" s="62">
        <f t="shared" si="62"/>
        <v>955.05267592477821</v>
      </c>
      <c r="BI103" s="62">
        <f ca="1">AVERAGE(OFFSET($BH$3,0,0,'Données projet'!$E$11+1,1))-AVERAGE(OFFSET($H$3,0,0,'Données projet'!$E$11+1,1))</f>
        <v>475.47920969424894</v>
      </c>
      <c r="BJ103" s="62">
        <f t="shared" si="92"/>
        <v>271.73544012419364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299.35897435897436</v>
      </c>
      <c r="BW103" s="13">
        <f>VLOOKUP(A103,'Données projet'!$A$113:$I$133,9,0)</f>
        <v>3.333333333333337</v>
      </c>
      <c r="BX103" s="13">
        <f t="array" ref="BX103">INDEX(BW:BW,MIN(IF(ISNUMBER(BW103:BW299),ROW(BW103:BW299),"")))</f>
        <v>3.333333333333337</v>
      </c>
      <c r="BY103" s="13">
        <f>IF('Données projet'!$A$114&gt;35,BY102+BX103-CG102,IF(A103&lt;'Données projet'!$A$114,$BV$205^A103,IF(A103='Données projet'!$A$114,'Données projet'!$B$114,BY102+BX103-CG102)))</f>
        <v>295.51282051282038</v>
      </c>
      <c r="BZ103" s="14">
        <f>BY103*VLOOKUP('Données projet'!$B$12,Paramètres!$A$1:$I$89,3,0)*VLOOKUP('Données projet'!$B$12,Paramètres!$A$1:$I$89,5,0)</f>
        <v>308.86999999999989</v>
      </c>
      <c r="CA103" s="14">
        <f t="shared" si="93"/>
        <v>73.032791063818379</v>
      </c>
      <c r="CB103" s="22">
        <f t="shared" si="64"/>
        <v>665.14736110281683</v>
      </c>
      <c r="CC103" s="62">
        <f t="shared" si="65"/>
        <v>958.48069443615009</v>
      </c>
      <c r="CD103" s="62">
        <f ca="1">AVERAGE(OFFSET($CC$3,0,0,'Données projet'!$E$12+1,1))-AVERAGE(OFFSET($H$3,0,0,'Données projet'!$E$12+1,1))</f>
        <v>490.26236605482961</v>
      </c>
      <c r="CE103" s="62">
        <f t="shared" si="94"/>
        <v>283.40133947156238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244</v>
      </c>
      <c r="CR103" s="13">
        <f>VLOOKUP(A103,'Données projet'!$A$139:$I$159,9,0)</f>
        <v>3</v>
      </c>
      <c r="CS103" s="13">
        <f t="array" ref="CS103">INDEX(CR:CR,MIN(IF(ISNUMBER(CR103:CR299),ROW(CR103:CR299),"")))</f>
        <v>3</v>
      </c>
      <c r="CT103" s="13">
        <f>IF('Données projet'!$A$140&gt;35,CT102+CS103-DB102,IF(A103&lt;'Données projet'!$A$140,$CQ$205^A103,IF(A103='Données projet'!$A$140,'Données projet'!$B$140,CT102+CS103-DB102)))</f>
        <v>244.00000000000006</v>
      </c>
      <c r="CU103" s="18">
        <f>CT103*VLOOKUP('Données projet'!$B$13,Paramètres!$A$1:$I$89,3,0)*VLOOKUP('Données projet'!$B$13,Paramètres!$A$1:$I$89,5,0)</f>
        <v>213.15840000000009</v>
      </c>
      <c r="CV103" s="14">
        <f t="shared" si="95"/>
        <v>52.625174774632413</v>
      </c>
      <c r="CW103" s="22">
        <f t="shared" si="67"/>
        <v>462.9063927324849</v>
      </c>
      <c r="CX103" s="62">
        <f t="shared" si="68"/>
        <v>756.23972606581822</v>
      </c>
      <c r="CY103" s="62">
        <f ca="1">AVERAGE(OFFSET($CX$3,0,0,'Données projet'!$E$13+1,1))-AVERAGE(OFFSET($H$3,0,0,'Données projet'!$E$13+1,1))</f>
        <v>315.3516976788701</v>
      </c>
      <c r="CZ103" s="62">
        <f t="shared" si="96"/>
        <v>266.32508105927997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244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326.14919999999984</v>
      </c>
      <c r="EL103" s="14">
        <f t="shared" si="99"/>
        <v>76.631393510479555</v>
      </c>
      <c r="EM103" s="22">
        <f t="shared" si="73"/>
        <v>701.50953369741819</v>
      </c>
      <c r="EN103" s="62">
        <f t="shared" si="74"/>
        <v>994.84286703075145</v>
      </c>
      <c r="EO103" s="62">
        <f ca="1">AVERAGE(OFFSET($EN$3,0,0,'Données projet'!$E$15+1,1))-AVERAGE(OFFSET($H$3,0,0,'Données projet'!$E$15+1,1))</f>
        <v>502.07782026233912</v>
      </c>
      <c r="EP103" s="62">
        <f t="shared" si="100"/>
        <v>285.83623046025156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233.97435897435898</v>
      </c>
      <c r="FC103" s="13">
        <f>VLOOKUP(A103,'Données projet'!$A$217:$I$237,9,0)</f>
        <v>3.333333333333337</v>
      </c>
      <c r="FD103" s="13">
        <f t="array" ref="FD103">INDEX(FC:FC,MIN(IF(ISNUMBER(FC103:FC299),ROW(FC103:FC299),"")))</f>
        <v>3.333333333333337</v>
      </c>
      <c r="FE103" s="13">
        <f>IF('Données projet'!$A$218&gt;35,FE102+FD103-FM102,IF(A103&lt;'Données projet'!$A$218,$FB$205^A103,IF(A103='Données projet'!$A$218,'Données projet'!$B$218,FE102+FD103-FM102)))</f>
        <v>233.97435897435889</v>
      </c>
      <c r="FF103" s="18">
        <f>FE103*VLOOKUP('Données projet'!$B$16,Paramètres!$A$1:$I$89,3,0)*VLOOKUP('Données projet'!$B$16,Paramètres!$A$1:$I$89,5,0)</f>
        <v>222.64999999999992</v>
      </c>
      <c r="FG103" s="14">
        <f t="shared" si="101"/>
        <v>54.690448148719405</v>
      </c>
      <c r="FH103" s="22">
        <f t="shared" si="76"/>
        <v>483.03461385901943</v>
      </c>
      <c r="FI103" s="62">
        <f t="shared" si="77"/>
        <v>776.36794719235274</v>
      </c>
      <c r="FJ103" s="62">
        <f ca="1">AVERAGE(OFFSET($FI$3,0,0,'Données projet'!$E$16+1,1))-AVERAGE(OFFSET($H$3,0,0,'Données projet'!$E$16+1,1))</f>
        <v>365.5904647357433</v>
      </c>
      <c r="FK103" s="62">
        <f t="shared" si="102"/>
        <v>256.56280810580841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-1.1368683772161603E-13</v>
      </c>
      <c r="GA103" s="18">
        <f>FZ103*VLOOKUP('Données projet'!$B$17,Paramètres!$A$1:$I$89,3,0)*VLOOKUP('Données projet'!$B$17,Paramètres!$A$1:$I$89,5,0)</f>
        <v>-9.2222762759774927E-14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256.19915261735281</v>
      </c>
      <c r="GF103" s="62">
        <f t="shared" si="104"/>
        <v>297.47246687305056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7.8564102564102525</v>
      </c>
      <c r="GU103" s="13">
        <f>IF('Données projet'!$A$270&gt;35,GU102+GT103-HC102,IF(A103&lt;'Données projet'!$A$270,$GR$205^A103,IF(A103='Données projet'!$A$270,'Données projet'!$B$270,GU102+GT103-HC102)))</f>
        <v>342.176923076923</v>
      </c>
      <c r="GV103" s="18">
        <f>GU103*VLOOKUP('Données projet'!$B$18,Paramètres!$A$1:$I$89,3,0)*VLOOKUP('Données projet'!$B$18,Paramètres!$A$1:$I$89,5,0)</f>
        <v>160.13879999999997</v>
      </c>
      <c r="GW103" s="14">
        <f t="shared" si="105"/>
        <v>40.873820554013228</v>
      </c>
      <c r="GX103" s="22">
        <f t="shared" si="82"/>
        <v>350.09698079823966</v>
      </c>
      <c r="GY103" s="62">
        <f t="shared" si="83"/>
        <v>643.43031413157291</v>
      </c>
      <c r="GZ103" s="62">
        <f ca="1">AVERAGE(OFFSET($GY$3,0,0,'Données projet'!$E$18+1,1))-AVERAGE(OFFSET($H$3,0,0,'Données projet'!$E$18+1,1))</f>
        <v>284.704043530756</v>
      </c>
      <c r="HA103" s="62">
        <f t="shared" si="106"/>
        <v>190.4880882944471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2">
        <f t="shared" si="55"/>
        <v>813.3989415432759</v>
      </c>
      <c r="S104" s="62">
        <f ca="1">AVERAGE(OFFSET($R$3,0,0,'Données projet'!$E$9+1,1))-AVERAGE(OFFSET($H$3,0,0,'Données projet'!$E$9+1,1))</f>
        <v>428.8489304403459</v>
      </c>
      <c r="T104" s="62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274.66236526869056</v>
      </c>
      <c r="AO104" s="62">
        <f t="shared" si="90"/>
        <v>256.90876395053073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269.1155999999998</v>
      </c>
      <c r="BF104" s="14">
        <f t="shared" si="91"/>
        <v>64.661541462287076</v>
      </c>
      <c r="BG104" s="22">
        <f t="shared" si="61"/>
        <v>581.3285213801496</v>
      </c>
      <c r="BH104" s="62">
        <f t="shared" si="62"/>
        <v>874.66185471348285</v>
      </c>
      <c r="BI104" s="62">
        <f ca="1">AVERAGE(OFFSET($BH$3,0,0,'Données projet'!$E$11+1,1))-AVERAGE(OFFSET($H$3,0,0,'Données projet'!$E$11+1,1))</f>
        <v>475.47920969424894</v>
      </c>
      <c r="BJ104" s="62">
        <f t="shared" si="92"/>
        <v>271.73544012419364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3.1196581196581179</v>
      </c>
      <c r="BY104" s="13">
        <f>IF('Données projet'!$A$114&gt;35,BY103+BX104-CG103,IF(A104&lt;'Données projet'!$A$114,$BV$205^A104,IF(A104='Données projet'!$A$114,'Données projet'!$B$114,BY103+BX104-CG103)))</f>
        <v>298.63247863247852</v>
      </c>
      <c r="BZ104" s="14">
        <f>BY104*VLOOKUP('Données projet'!$B$12,Paramètres!$A$1:$I$89,3,0)*VLOOKUP('Données projet'!$B$12,Paramètres!$A$1:$I$89,5,0)</f>
        <v>312.13066666666657</v>
      </c>
      <c r="CA104" s="14">
        <f t="shared" si="93"/>
        <v>73.713620634168393</v>
      </c>
      <c r="CB104" s="22">
        <f t="shared" si="64"/>
        <v>672.01213371562073</v>
      </c>
      <c r="CC104" s="62">
        <f t="shared" si="65"/>
        <v>965.34546704895411</v>
      </c>
      <c r="CD104" s="62">
        <f ca="1">AVERAGE(OFFSET($CC$3,0,0,'Données projet'!$E$12+1,1))-AVERAGE(OFFSET($H$3,0,0,'Données projet'!$E$12+1,1))</f>
        <v>490.26236605482961</v>
      </c>
      <c r="CE104" s="62">
        <f t="shared" si="94"/>
        <v>283.40133947156238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4.9658410716801891E-14</v>
      </c>
      <c r="CV104" s="14">
        <f t="shared" si="95"/>
        <v>8.0934058173791862E-13</v>
      </c>
      <c r="CW104" s="22">
        <f t="shared" si="67"/>
        <v>1.4960899118586383E-12</v>
      </c>
      <c r="CX104" s="62">
        <f t="shared" si="68"/>
        <v>293.33333333333479</v>
      </c>
      <c r="CY104" s="62">
        <f ca="1">AVERAGE(OFFSET($CX$3,0,0,'Données projet'!$E$13+1,1))-AVERAGE(OFFSET($H$3,0,0,'Données projet'!$E$13+1,1))</f>
        <v>315.3516976788701</v>
      </c>
      <c r="CZ104" s="62">
        <f t="shared" si="96"/>
        <v>266.32508105927997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285.67655999999977</v>
      </c>
      <c r="EL104" s="14">
        <f t="shared" si="99"/>
        <v>68.165224308258956</v>
      </c>
      <c r="EM104" s="22">
        <f t="shared" si="73"/>
        <v>616.27444100355058</v>
      </c>
      <c r="EN104" s="62">
        <f t="shared" si="74"/>
        <v>909.60777433688395</v>
      </c>
      <c r="EO104" s="62">
        <f ca="1">AVERAGE(OFFSET($EN$3,0,0,'Données projet'!$E$15+1,1))-AVERAGE(OFFSET($H$3,0,0,'Données projet'!$E$15+1,1))</f>
        <v>502.07782026233912</v>
      </c>
      <c r="EP104" s="62">
        <f t="shared" si="100"/>
        <v>285.83623046025156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3.0769230769230744</v>
      </c>
      <c r="FE104" s="13">
        <f>IF('Données projet'!$A$218&gt;35,FE103+FD104-FM103,IF(A104&lt;'Données projet'!$A$218,$FB$205^A104,IF(A104='Données projet'!$A$218,'Données projet'!$B$218,FE103+FD104-FM103)))</f>
        <v>237.05128205128196</v>
      </c>
      <c r="FF104" s="18">
        <f>FE104*VLOOKUP('Données projet'!$B$16,Paramètres!$A$1:$I$89,3,0)*VLOOKUP('Données projet'!$B$16,Paramètres!$A$1:$I$89,5,0)</f>
        <v>225.57799999999992</v>
      </c>
      <c r="FG104" s="14">
        <f t="shared" si="101"/>
        <v>55.325464130798579</v>
      </c>
      <c r="FH104" s="22">
        <f t="shared" si="76"/>
        <v>489.24020002780748</v>
      </c>
      <c r="FI104" s="62">
        <f t="shared" si="77"/>
        <v>782.57353336114079</v>
      </c>
      <c r="FJ104" s="62">
        <f ca="1">AVERAGE(OFFSET($FI$3,0,0,'Données projet'!$E$16+1,1))-AVERAGE(OFFSET($H$3,0,0,'Données projet'!$E$16+1,1))</f>
        <v>365.5904647357433</v>
      </c>
      <c r="FK104" s="62">
        <f t="shared" si="102"/>
        <v>256.56280810580841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-1.1368683772161603E-13</v>
      </c>
      <c r="GA104" s="18">
        <f>FZ104*VLOOKUP('Données projet'!$B$17,Paramètres!$A$1:$I$89,3,0)*VLOOKUP('Données projet'!$B$17,Paramètres!$A$1:$I$89,5,0)</f>
        <v>-9.2222762759774927E-14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256.19915261735281</v>
      </c>
      <c r="GF104" s="62">
        <f t="shared" si="104"/>
        <v>297.47246687305056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7.8564102564102525</v>
      </c>
      <c r="GU104" s="13">
        <f>IF('Données projet'!$A$270&gt;35,GU103+GT104-HC103,IF(A104&lt;'Données projet'!$A$270,$GR$205^A104,IF(A104='Données projet'!$A$270,'Données projet'!$B$270,GU103+GT104-HC103)))</f>
        <v>350.03333333333325</v>
      </c>
      <c r="GV104" s="18">
        <f>GU104*VLOOKUP('Données projet'!$B$18,Paramètres!$A$1:$I$89,3,0)*VLOOKUP('Données projet'!$B$18,Paramètres!$A$1:$I$89,5,0)</f>
        <v>163.81559999999996</v>
      </c>
      <c r="GW104" s="14">
        <f t="shared" si="105"/>
        <v>41.701950631300939</v>
      </c>
      <c r="GX104" s="22">
        <f t="shared" si="82"/>
        <v>357.94306734951579</v>
      </c>
      <c r="GY104" s="62">
        <f t="shared" si="83"/>
        <v>651.27640068284904</v>
      </c>
      <c r="GZ104" s="62">
        <f ca="1">AVERAGE(OFFSET($GY$3,0,0,'Données projet'!$E$18+1,1))-AVERAGE(OFFSET($H$3,0,0,'Données projet'!$E$18+1,1))</f>
        <v>284.704043530756</v>
      </c>
      <c r="HA104" s="62">
        <f t="shared" si="106"/>
        <v>190.4880882944471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2">
        <f t="shared" si="55"/>
        <v>821.82303552922986</v>
      </c>
      <c r="S105" s="62">
        <f ca="1">AVERAGE(OFFSET($R$3,0,0,'Données projet'!$E$9+1,1))-AVERAGE(OFFSET($H$3,0,0,'Données projet'!$E$9+1,1))</f>
        <v>428.8489304403459</v>
      </c>
      <c r="T105" s="62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274.66236526869056</v>
      </c>
      <c r="AO105" s="62">
        <f t="shared" si="90"/>
        <v>256.90876395053073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273.57719999999978</v>
      </c>
      <c r="BF105" s="14">
        <f t="shared" si="91"/>
        <v>65.60785888991505</v>
      </c>
      <c r="BG105" s="22">
        <f t="shared" si="61"/>
        <v>590.74731089993509</v>
      </c>
      <c r="BH105" s="62">
        <f t="shared" si="62"/>
        <v>884.08064423326846</v>
      </c>
      <c r="BI105" s="62">
        <f ca="1">AVERAGE(OFFSET($BH$3,0,0,'Données projet'!$E$11+1,1))-AVERAGE(OFFSET($H$3,0,0,'Données projet'!$E$11+1,1))</f>
        <v>475.47920969424894</v>
      </c>
      <c r="BJ105" s="62">
        <f t="shared" si="92"/>
        <v>271.73544012419364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3.1196581196581179</v>
      </c>
      <c r="BY105" s="13">
        <f>IF('Données projet'!$A$114&gt;35,BY104+BX105-CG104,IF(A105&lt;'Données projet'!$A$114,$BV$205^A105,IF(A105='Données projet'!$A$114,'Données projet'!$B$114,BY104+BX105-CG104)))</f>
        <v>301.75213675213666</v>
      </c>
      <c r="BZ105" s="14">
        <f>BY105*VLOOKUP('Données projet'!$B$12,Paramètres!$A$1:$I$89,3,0)*VLOOKUP('Données projet'!$B$12,Paramètres!$A$1:$I$89,5,0)</f>
        <v>315.39133333333325</v>
      </c>
      <c r="CA105" s="14">
        <f t="shared" si="93"/>
        <v>74.393622823238573</v>
      </c>
      <c r="CB105" s="22">
        <f t="shared" si="64"/>
        <v>678.87546530602913</v>
      </c>
      <c r="CC105" s="62">
        <f t="shared" si="65"/>
        <v>972.20879863936239</v>
      </c>
      <c r="CD105" s="62">
        <f ca="1">AVERAGE(OFFSET($CC$3,0,0,'Données projet'!$E$12+1,1))-AVERAGE(OFFSET($H$3,0,0,'Données projet'!$E$12+1,1))</f>
        <v>490.26236605482961</v>
      </c>
      <c r="CE105" s="62">
        <f t="shared" si="94"/>
        <v>283.40133947156238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4.9658410716801891E-14</v>
      </c>
      <c r="CV105" s="14">
        <f t="shared" si="95"/>
        <v>8.0934058173791862E-13</v>
      </c>
      <c r="CW105" s="22">
        <f t="shared" si="67"/>
        <v>1.4960899118586383E-12</v>
      </c>
      <c r="CX105" s="62">
        <f t="shared" si="68"/>
        <v>293.33333333333479</v>
      </c>
      <c r="CY105" s="62">
        <f ca="1">AVERAGE(OFFSET($CX$3,0,0,'Données projet'!$E$13+1,1))-AVERAGE(OFFSET($H$3,0,0,'Données projet'!$E$13+1,1))</f>
        <v>315.3516976788701</v>
      </c>
      <c r="CZ105" s="62">
        <f t="shared" si="96"/>
        <v>266.32508105927997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290.41271999999975</v>
      </c>
      <c r="EL105" s="14">
        <f t="shared" si="99"/>
        <v>69.162817905044719</v>
      </c>
      <c r="EM105" s="22">
        <f t="shared" si="73"/>
        <v>626.26072851795254</v>
      </c>
      <c r="EN105" s="62">
        <f t="shared" si="74"/>
        <v>919.59406185128591</v>
      </c>
      <c r="EO105" s="62">
        <f ca="1">AVERAGE(OFFSET($EN$3,0,0,'Données projet'!$E$15+1,1))-AVERAGE(OFFSET($H$3,0,0,'Données projet'!$E$15+1,1))</f>
        <v>502.07782026233912</v>
      </c>
      <c r="EP105" s="62">
        <f t="shared" si="100"/>
        <v>285.83623046025156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3.0769230769230744</v>
      </c>
      <c r="FE105" s="13">
        <f>IF('Données projet'!$A$218&gt;35,FE104+FD105-FM104,IF(A105&lt;'Données projet'!$A$218,$FB$205^A105,IF(A105='Données projet'!$A$218,'Données projet'!$B$218,FE104+FD105-FM104)))</f>
        <v>240.12820512820502</v>
      </c>
      <c r="FF105" s="18">
        <f>FE105*VLOOKUP('Données projet'!$B$16,Paramètres!$A$1:$I$89,3,0)*VLOOKUP('Données projet'!$B$16,Paramètres!$A$1:$I$89,5,0)</f>
        <v>228.50599999999991</v>
      </c>
      <c r="FG105" s="14">
        <f t="shared" si="101"/>
        <v>55.959521381763061</v>
      </c>
      <c r="FH105" s="22">
        <f t="shared" si="76"/>
        <v>495.44411640657046</v>
      </c>
      <c r="FI105" s="62">
        <f t="shared" si="77"/>
        <v>788.77744973990377</v>
      </c>
      <c r="FJ105" s="62">
        <f ca="1">AVERAGE(OFFSET($FI$3,0,0,'Données projet'!$E$16+1,1))-AVERAGE(OFFSET($H$3,0,0,'Données projet'!$E$16+1,1))</f>
        <v>365.5904647357433</v>
      </c>
      <c r="FK105" s="62">
        <f t="shared" si="102"/>
        <v>256.56280810580841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-1.1368683772161603E-13</v>
      </c>
      <c r="GA105" s="18">
        <f>FZ105*VLOOKUP('Données projet'!$B$17,Paramètres!$A$1:$I$89,3,0)*VLOOKUP('Données projet'!$B$17,Paramètres!$A$1:$I$89,5,0)</f>
        <v>-9.2222762759774927E-14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256.19915261735281</v>
      </c>
      <c r="GF105" s="62">
        <f t="shared" si="104"/>
        <v>297.47246687305056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7.8564102564102525</v>
      </c>
      <c r="GU105" s="13">
        <f>IF('Données projet'!$A$270&gt;35,GU104+GT105-HC104,IF(A105&lt;'Données projet'!$A$270,$GR$205^A105,IF(A105='Données projet'!$A$270,'Données projet'!$B$270,GU104+GT105-HC104)))</f>
        <v>357.88974358974349</v>
      </c>
      <c r="GV105" s="18">
        <f>GU105*VLOOKUP('Données projet'!$B$18,Paramètres!$A$1:$I$89,3,0)*VLOOKUP('Données projet'!$B$18,Paramètres!$A$1:$I$89,5,0)</f>
        <v>167.49239999999995</v>
      </c>
      <c r="GW105" s="14">
        <f t="shared" si="105"/>
        <v>42.527919793797054</v>
      </c>
      <c r="GX105" s="22">
        <f t="shared" si="82"/>
        <v>365.78539030752978</v>
      </c>
      <c r="GY105" s="62">
        <f t="shared" si="83"/>
        <v>659.1187236408631</v>
      </c>
      <c r="GZ105" s="62">
        <f ca="1">AVERAGE(OFFSET($GY$3,0,0,'Données projet'!$E$18+1,1))-AVERAGE(OFFSET($H$3,0,0,'Données projet'!$E$18+1,1))</f>
        <v>284.704043530756</v>
      </c>
      <c r="HA105" s="62">
        <f t="shared" si="106"/>
        <v>190.4880882944471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2">
        <f t="shared" si="55"/>
        <v>830.24430301815983</v>
      </c>
      <c r="S106" s="62">
        <f ca="1">AVERAGE(OFFSET($R$3,0,0,'Données projet'!$E$9+1,1))-AVERAGE(OFFSET($H$3,0,0,'Données projet'!$E$9+1,1))</f>
        <v>428.8489304403459</v>
      </c>
      <c r="T106" s="62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274.66236526869056</v>
      </c>
      <c r="AO106" s="62">
        <f t="shared" si="90"/>
        <v>256.90876395053073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278.03879999999975</v>
      </c>
      <c r="BF106" s="14">
        <f t="shared" si="91"/>
        <v>66.552381547717744</v>
      </c>
      <c r="BG106" s="22">
        <f t="shared" si="61"/>
        <v>600.16297452894128</v>
      </c>
      <c r="BH106" s="62">
        <f t="shared" si="62"/>
        <v>893.49630786227453</v>
      </c>
      <c r="BI106" s="62">
        <f ca="1">AVERAGE(OFFSET($BH$3,0,0,'Données projet'!$E$11+1,1))-AVERAGE(OFFSET($H$3,0,0,'Données projet'!$E$11+1,1))</f>
        <v>475.47920969424894</v>
      </c>
      <c r="BJ106" s="62">
        <f t="shared" si="92"/>
        <v>271.73544012419364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3.1196581196581179</v>
      </c>
      <c r="BY106" s="13">
        <f>IF('Données projet'!$A$114&gt;35,BY105+BX106-CG105,IF(A106&lt;'Données projet'!$A$114,$BV$205^A106,IF(A106='Données projet'!$A$114,'Données projet'!$B$114,BY105+BX106-CG105)))</f>
        <v>304.8717948717948</v>
      </c>
      <c r="BZ106" s="14">
        <f>BY106*VLOOKUP('Données projet'!$B$12,Paramètres!$A$1:$I$89,3,0)*VLOOKUP('Données projet'!$B$12,Paramètres!$A$1:$I$89,5,0)</f>
        <v>318.65199999999993</v>
      </c>
      <c r="CA106" s="14">
        <f t="shared" si="93"/>
        <v>75.072807175160747</v>
      </c>
      <c r="CB106" s="22">
        <f t="shared" si="64"/>
        <v>685.7373724967382</v>
      </c>
      <c r="CC106" s="62">
        <f t="shared" si="65"/>
        <v>979.07070583007157</v>
      </c>
      <c r="CD106" s="62">
        <f ca="1">AVERAGE(OFFSET($CC$3,0,0,'Données projet'!$E$12+1,1))-AVERAGE(OFFSET($H$3,0,0,'Données projet'!$E$12+1,1))</f>
        <v>490.26236605482961</v>
      </c>
      <c r="CE106" s="62">
        <f t="shared" si="94"/>
        <v>283.40133947156238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4.9658410716801891E-14</v>
      </c>
      <c r="CV106" s="14">
        <f t="shared" si="95"/>
        <v>8.0934058173791862E-13</v>
      </c>
      <c r="CW106" s="22">
        <f t="shared" si="67"/>
        <v>1.4960899118586383E-12</v>
      </c>
      <c r="CX106" s="62">
        <f t="shared" si="68"/>
        <v>293.33333333333479</v>
      </c>
      <c r="CY106" s="62">
        <f ca="1">AVERAGE(OFFSET($CX$3,0,0,'Données projet'!$E$13+1,1))-AVERAGE(OFFSET($H$3,0,0,'Données projet'!$E$13+1,1))</f>
        <v>315.3516976788701</v>
      </c>
      <c r="CZ106" s="62">
        <f t="shared" si="96"/>
        <v>266.32508105927997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295.14887999999974</v>
      </c>
      <c r="EL106" s="14">
        <f t="shared" si="99"/>
        <v>70.158519482479349</v>
      </c>
      <c r="EM106" s="22">
        <f t="shared" si="73"/>
        <v>636.24372076531768</v>
      </c>
      <c r="EN106" s="62">
        <f t="shared" si="74"/>
        <v>929.57705409865093</v>
      </c>
      <c r="EO106" s="62">
        <f ca="1">AVERAGE(OFFSET($EN$3,0,0,'Données projet'!$E$15+1,1))-AVERAGE(OFFSET($H$3,0,0,'Données projet'!$E$15+1,1))</f>
        <v>502.07782026233912</v>
      </c>
      <c r="EP106" s="62">
        <f t="shared" si="100"/>
        <v>285.83623046025156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3.0769230769230744</v>
      </c>
      <c r="FE106" s="13">
        <f>IF('Données projet'!$A$218&gt;35,FE105+FD106-FM105,IF(A106&lt;'Données projet'!$A$218,$FB$205^A106,IF(A106='Données projet'!$A$218,'Données projet'!$B$218,FE105+FD106-FM105)))</f>
        <v>243.20512820512809</v>
      </c>
      <c r="FF106" s="18">
        <f>FE106*VLOOKUP('Données projet'!$B$16,Paramètres!$A$1:$I$89,3,0)*VLOOKUP('Données projet'!$B$16,Paramètres!$A$1:$I$89,5,0)</f>
        <v>231.43399999999988</v>
      </c>
      <c r="FG106" s="14">
        <f t="shared" si="101"/>
        <v>56.592633606964512</v>
      </c>
      <c r="FH106" s="22">
        <f t="shared" si="76"/>
        <v>501.64638686546306</v>
      </c>
      <c r="FI106" s="62">
        <f t="shared" si="77"/>
        <v>794.97972019879637</v>
      </c>
      <c r="FJ106" s="62">
        <f ca="1">AVERAGE(OFFSET($FI$3,0,0,'Données projet'!$E$16+1,1))-AVERAGE(OFFSET($H$3,0,0,'Données projet'!$E$16+1,1))</f>
        <v>365.5904647357433</v>
      </c>
      <c r="FK106" s="62">
        <f t="shared" si="102"/>
        <v>256.56280810580841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-1.1368683772161603E-13</v>
      </c>
      <c r="GA106" s="18">
        <f>FZ106*VLOOKUP('Données projet'!$B$17,Paramètres!$A$1:$I$89,3,0)*VLOOKUP('Données projet'!$B$17,Paramètres!$A$1:$I$89,5,0)</f>
        <v>-9.2222762759774927E-14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256.19915261735281</v>
      </c>
      <c r="GF106" s="62">
        <f t="shared" si="104"/>
        <v>297.47246687305056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>
        <f>VLOOKUP(A106,'Données projet'!$A$269:$I$289,2,0)</f>
        <v>365.74615384615385</v>
      </c>
      <c r="GS106" s="13">
        <f>VLOOKUP(A106,'Données projet'!$A$269:$I$289,9,0)</f>
        <v>7.8564102564102525</v>
      </c>
      <c r="GT106" s="13">
        <f t="array" ref="GT106">INDEX(GS:GS,MIN(IF(ISNUMBER(GS106:GS302),ROW(GS106:GS302),"")))</f>
        <v>7.8564102564102525</v>
      </c>
      <c r="GU106" s="13">
        <f>IF('Données projet'!$A$270&gt;35,GU105+GT106-HC105,IF(A106&lt;'Données projet'!$A$270,$GR$205^A106,IF(A106='Données projet'!$A$270,'Données projet'!$B$270,GU105+GT106-HC105)))</f>
        <v>365.74615384615373</v>
      </c>
      <c r="GV106" s="18">
        <f>GU106*VLOOKUP('Données projet'!$B$18,Paramètres!$A$1:$I$89,3,0)*VLOOKUP('Données projet'!$B$18,Paramètres!$A$1:$I$89,5,0)</f>
        <v>171.16919999999996</v>
      </c>
      <c r="GW106" s="14">
        <f t="shared" si="105"/>
        <v>43.351780940579147</v>
      </c>
      <c r="GX106" s="22">
        <f t="shared" si="82"/>
        <v>373.62404180484191</v>
      </c>
      <c r="GY106" s="62">
        <f t="shared" si="83"/>
        <v>666.95737513817517</v>
      </c>
      <c r="GZ106" s="62">
        <f ca="1">AVERAGE(OFFSET($GY$3,0,0,'Données projet'!$E$18+1,1))-AVERAGE(OFFSET($H$3,0,0,'Données projet'!$E$18+1,1))</f>
        <v>284.704043530756</v>
      </c>
      <c r="HA106" s="62">
        <f t="shared" si="106"/>
        <v>190.4880882944471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2">
        <f t="shared" si="55"/>
        <v>838.6627946025028</v>
      </c>
      <c r="S107" s="62">
        <f ca="1">AVERAGE(OFFSET($R$3,0,0,'Données projet'!$E$9+1,1))-AVERAGE(OFFSET($H$3,0,0,'Données projet'!$E$9+1,1))</f>
        <v>428.8489304403459</v>
      </c>
      <c r="T107" s="62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274.66236526869056</v>
      </c>
      <c r="AO107" s="62">
        <f t="shared" si="90"/>
        <v>256.90876395053073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282.50039999999973</v>
      </c>
      <c r="BF107" s="14">
        <f t="shared" si="91"/>
        <v>67.495141560894311</v>
      </c>
      <c r="BG107" s="22">
        <f t="shared" si="61"/>
        <v>609.57556821855712</v>
      </c>
      <c r="BH107" s="62">
        <f t="shared" si="62"/>
        <v>902.90890155189049</v>
      </c>
      <c r="BI107" s="62">
        <f ca="1">AVERAGE(OFFSET($BH$3,0,0,'Données projet'!$E$11+1,1))-AVERAGE(OFFSET($H$3,0,0,'Données projet'!$E$11+1,1))</f>
        <v>475.47920969424894</v>
      </c>
      <c r="BJ107" s="62">
        <f t="shared" si="92"/>
        <v>271.73544012419364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3.1196581196581179</v>
      </c>
      <c r="BY107" s="13">
        <f>IF('Données projet'!$A$114&gt;35,BY106+BX107-CG106,IF(A107&lt;'Données projet'!$A$114,$BV$205^A107,IF(A107='Données projet'!$A$114,'Données projet'!$B$114,BY106+BX107-CG106)))</f>
        <v>307.99145299145295</v>
      </c>
      <c r="BZ107" s="14">
        <f>BY107*VLOOKUP('Données projet'!$B$12,Paramètres!$A$1:$I$89,3,0)*VLOOKUP('Données projet'!$B$12,Paramètres!$A$1:$I$89,5,0)</f>
        <v>321.91266666666667</v>
      </c>
      <c r="CA107" s="14">
        <f t="shared" si="93"/>
        <v>75.751183027486775</v>
      </c>
      <c r="CB107" s="22">
        <f t="shared" si="64"/>
        <v>692.59787155065044</v>
      </c>
      <c r="CC107" s="62">
        <f t="shared" si="65"/>
        <v>985.93120488398381</v>
      </c>
      <c r="CD107" s="62">
        <f ca="1">AVERAGE(OFFSET($CC$3,0,0,'Données projet'!$E$12+1,1))-AVERAGE(OFFSET($H$3,0,0,'Données projet'!$E$12+1,1))</f>
        <v>490.26236605482961</v>
      </c>
      <c r="CE107" s="62">
        <f t="shared" si="94"/>
        <v>283.40133947156238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4.9658410716801891E-14</v>
      </c>
      <c r="CV107" s="14">
        <f t="shared" si="95"/>
        <v>8.0934058173791862E-13</v>
      </c>
      <c r="CW107" s="22">
        <f t="shared" si="67"/>
        <v>1.4960899118586383E-12</v>
      </c>
      <c r="CX107" s="62">
        <f t="shared" si="68"/>
        <v>293.33333333333479</v>
      </c>
      <c r="CY107" s="62">
        <f ca="1">AVERAGE(OFFSET($CX$3,0,0,'Données projet'!$E$13+1,1))-AVERAGE(OFFSET($H$3,0,0,'Données projet'!$E$13+1,1))</f>
        <v>315.3516976788701</v>
      </c>
      <c r="CZ107" s="62">
        <f t="shared" si="96"/>
        <v>266.32508105927997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299.88503999999972</v>
      </c>
      <c r="EL107" s="14">
        <f t="shared" si="99"/>
        <v>71.152362906464575</v>
      </c>
      <c r="EM107" s="22">
        <f t="shared" si="73"/>
        <v>646.22347672875867</v>
      </c>
      <c r="EN107" s="62">
        <f t="shared" si="74"/>
        <v>939.55681006209193</v>
      </c>
      <c r="EO107" s="62">
        <f ca="1">AVERAGE(OFFSET($EN$3,0,0,'Données projet'!$E$15+1,1))-AVERAGE(OFFSET($H$3,0,0,'Données projet'!$E$15+1,1))</f>
        <v>502.07782026233912</v>
      </c>
      <c r="EP107" s="62">
        <f t="shared" si="100"/>
        <v>285.83623046025156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3.0769230769230744</v>
      </c>
      <c r="FE107" s="13">
        <f>IF('Données projet'!$A$218&gt;35,FE106+FD107-FM106,IF(A107&lt;'Données projet'!$A$218,$FB$205^A107,IF(A107='Données projet'!$A$218,'Données projet'!$B$218,FE106+FD107-FM106)))</f>
        <v>246.28205128205116</v>
      </c>
      <c r="FF107" s="18">
        <f>FE107*VLOOKUP('Données projet'!$B$16,Paramètres!$A$1:$I$89,3,0)*VLOOKUP('Données projet'!$B$16,Paramètres!$A$1:$I$89,5,0)</f>
        <v>234.36199999999988</v>
      </c>
      <c r="FG107" s="14">
        <f t="shared" si="101"/>
        <v>57.224814145024382</v>
      </c>
      <c r="FH107" s="22">
        <f t="shared" si="76"/>
        <v>507.84703463591728</v>
      </c>
      <c r="FI107" s="62">
        <f t="shared" si="77"/>
        <v>801.1803679692506</v>
      </c>
      <c r="FJ107" s="62">
        <f ca="1">AVERAGE(OFFSET($FI$3,0,0,'Données projet'!$E$16+1,1))-AVERAGE(OFFSET($H$3,0,0,'Données projet'!$E$16+1,1))</f>
        <v>365.5904647357433</v>
      </c>
      <c r="FK107" s="62">
        <f t="shared" si="102"/>
        <v>256.56280810580841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-1.1368683772161603E-13</v>
      </c>
      <c r="GA107" s="18">
        <f>FZ107*VLOOKUP('Données projet'!$B$17,Paramètres!$A$1:$I$89,3,0)*VLOOKUP('Données projet'!$B$17,Paramètres!$A$1:$I$89,5,0)</f>
        <v>-9.2222762759774927E-14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256.19915261735281</v>
      </c>
      <c r="GF107" s="62">
        <f t="shared" si="104"/>
        <v>297.47246687305056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7.9089743589743575</v>
      </c>
      <c r="GU107" s="13">
        <f>IF('Données projet'!$A$270&gt;35,GU106+GT107-HC106,IF(A107&lt;'Données projet'!$A$270,$GR$205^A107,IF(A107='Données projet'!$A$270,'Données projet'!$B$270,GU106+GT107-HC106)))</f>
        <v>373.65512820512811</v>
      </c>
      <c r="GV107" s="18">
        <f>GU107*VLOOKUP('Données projet'!$B$18,Paramètres!$A$1:$I$89,3,0)*VLOOKUP('Données projet'!$B$18,Paramètres!$A$1:$I$89,5,0)</f>
        <v>174.87059999999997</v>
      </c>
      <c r="GW107" s="14">
        <f t="shared" si="105"/>
        <v>44.17907610892069</v>
      </c>
      <c r="GX107" s="22">
        <f t="shared" si="82"/>
        <v>381.51151922303683</v>
      </c>
      <c r="GY107" s="62">
        <f t="shared" si="83"/>
        <v>674.84485255637014</v>
      </c>
      <c r="GZ107" s="62">
        <f ca="1">AVERAGE(OFFSET($GY$3,0,0,'Données projet'!$E$18+1,1))-AVERAGE(OFFSET($H$3,0,0,'Données projet'!$E$18+1,1))</f>
        <v>284.704043530756</v>
      </c>
      <c r="HA107" s="62">
        <f t="shared" si="106"/>
        <v>190.4880882944471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2">
        <f t="shared" si="55"/>
        <v>847.07855918499604</v>
      </c>
      <c r="S108" s="62">
        <f ca="1">AVERAGE(OFFSET($R$3,0,0,'Données projet'!$E$9+1,1))-AVERAGE(OFFSET($H$3,0,0,'Données projet'!$E$9+1,1))</f>
        <v>428.8489304403459</v>
      </c>
      <c r="T108" s="62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274.66236526869056</v>
      </c>
      <c r="AO108" s="62">
        <f t="shared" si="90"/>
        <v>256.90876395053073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286.9619999999997</v>
      </c>
      <c r="BF108" s="14">
        <f t="shared" si="91"/>
        <v>68.436169981717796</v>
      </c>
      <c r="BG108" s="22">
        <f t="shared" si="61"/>
        <v>618.98514605149137</v>
      </c>
      <c r="BH108" s="62">
        <f t="shared" si="62"/>
        <v>912.31847938482474</v>
      </c>
      <c r="BI108" s="62">
        <f ca="1">AVERAGE(OFFSET($BH$3,0,0,'Données projet'!$E$11+1,1))-AVERAGE(OFFSET($H$3,0,0,'Données projet'!$E$11+1,1))</f>
        <v>475.47920969424894</v>
      </c>
      <c r="BJ108" s="62">
        <f t="shared" si="92"/>
        <v>271.73544012419364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3.1196581196581179</v>
      </c>
      <c r="BY108" s="13">
        <f>IF('Données projet'!$A$114&gt;35,BY107+BX108-CG107,IF(A108&lt;'Données projet'!$A$114,$BV$205^A108,IF(A108='Données projet'!$A$114,'Données projet'!$B$114,BY107+BX108-CG107)))</f>
        <v>311.11111111111109</v>
      </c>
      <c r="BZ108" s="14">
        <f>BY108*VLOOKUP('Données projet'!$B$12,Paramètres!$A$1:$I$89,3,0)*VLOOKUP('Données projet'!$B$12,Paramètres!$A$1:$I$89,5,0)</f>
        <v>325.17333333333335</v>
      </c>
      <c r="CA108" s="14">
        <f t="shared" si="93"/>
        <v>76.428759517706112</v>
      </c>
      <c r="CB108" s="22">
        <f t="shared" si="64"/>
        <v>699.45697838222702</v>
      </c>
      <c r="CC108" s="62">
        <f t="shared" si="65"/>
        <v>992.79031171556039</v>
      </c>
      <c r="CD108" s="62">
        <f ca="1">AVERAGE(OFFSET($CC$3,0,0,'Données projet'!$E$12+1,1))-AVERAGE(OFFSET($H$3,0,0,'Données projet'!$E$12+1,1))</f>
        <v>490.26236605482961</v>
      </c>
      <c r="CE108" s="62">
        <f t="shared" si="94"/>
        <v>283.40133947156238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4.9658410716801891E-14</v>
      </c>
      <c r="CV108" s="14">
        <f t="shared" si="95"/>
        <v>8.0934058173791862E-13</v>
      </c>
      <c r="CW108" s="22">
        <f t="shared" si="67"/>
        <v>1.4960899118586383E-12</v>
      </c>
      <c r="CX108" s="62">
        <f t="shared" si="68"/>
        <v>293.33333333333479</v>
      </c>
      <c r="CY108" s="62">
        <f ca="1">AVERAGE(OFFSET($CX$3,0,0,'Données projet'!$E$13+1,1))-AVERAGE(OFFSET($H$3,0,0,'Données projet'!$E$13+1,1))</f>
        <v>315.3516976788701</v>
      </c>
      <c r="CZ108" s="62">
        <f t="shared" si="96"/>
        <v>266.32508105927997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304.62119999999965</v>
      </c>
      <c r="EL108" s="14">
        <f t="shared" si="99"/>
        <v>72.144380911839335</v>
      </c>
      <c r="EM108" s="22">
        <f t="shared" si="73"/>
        <v>656.20005342145294</v>
      </c>
      <c r="EN108" s="62">
        <f t="shared" si="74"/>
        <v>949.53338675478631</v>
      </c>
      <c r="EO108" s="62">
        <f ca="1">AVERAGE(OFFSET($EN$3,0,0,'Données projet'!$E$15+1,1))-AVERAGE(OFFSET($H$3,0,0,'Données projet'!$E$15+1,1))</f>
        <v>502.07782026233912</v>
      </c>
      <c r="EP108" s="62">
        <f t="shared" si="100"/>
        <v>285.83623046025156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3.0769230769230744</v>
      </c>
      <c r="FE108" s="13">
        <f>IF('Données projet'!$A$218&gt;35,FE107+FD108-FM107,IF(A108&lt;'Données projet'!$A$218,$FB$205^A108,IF(A108='Données projet'!$A$218,'Données projet'!$B$218,FE107+FD108-FM107)))</f>
        <v>249.35897435897422</v>
      </c>
      <c r="FF108" s="18">
        <f>FE108*VLOOKUP('Données projet'!$B$16,Paramètres!$A$1:$I$89,3,0)*VLOOKUP('Données projet'!$B$16,Paramètres!$A$1:$I$89,5,0)</f>
        <v>237.28999999999988</v>
      </c>
      <c r="FG108" s="14">
        <f t="shared" si="101"/>
        <v>57.856075982103697</v>
      </c>
      <c r="FH108" s="22">
        <f t="shared" si="76"/>
        <v>514.04608233549698</v>
      </c>
      <c r="FI108" s="62">
        <f t="shared" si="77"/>
        <v>807.37941566883023</v>
      </c>
      <c r="FJ108" s="62">
        <f ca="1">AVERAGE(OFFSET($FI$3,0,0,'Données projet'!$E$16+1,1))-AVERAGE(OFFSET($H$3,0,0,'Données projet'!$E$16+1,1))</f>
        <v>365.5904647357433</v>
      </c>
      <c r="FK108" s="62">
        <f t="shared" si="102"/>
        <v>256.56280810580841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-1.1368683772161603E-13</v>
      </c>
      <c r="GA108" s="18">
        <f>FZ108*VLOOKUP('Données projet'!$B$17,Paramètres!$A$1:$I$89,3,0)*VLOOKUP('Données projet'!$B$17,Paramètres!$A$1:$I$89,5,0)</f>
        <v>-9.2222762759774927E-14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256.19915261735281</v>
      </c>
      <c r="GF108" s="62">
        <f t="shared" si="104"/>
        <v>297.47246687305056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7.9089743589743575</v>
      </c>
      <c r="GU108" s="13">
        <f>IF('Données projet'!$A$270&gt;35,GU107+GT108-HC107,IF(A108&lt;'Données projet'!$A$270,$GR$205^A108,IF(A108='Données projet'!$A$270,'Données projet'!$B$270,GU107+GT108-HC107)))</f>
        <v>381.56410256410248</v>
      </c>
      <c r="GV108" s="18">
        <f>GU108*VLOOKUP('Données projet'!$B$18,Paramètres!$A$1:$I$89,3,0)*VLOOKUP('Données projet'!$B$18,Paramètres!$A$1:$I$89,5,0)</f>
        <v>178.57199999999997</v>
      </c>
      <c r="GW108" s="14">
        <f t="shared" si="105"/>
        <v>45.004335350860913</v>
      </c>
      <c r="GX108" s="22">
        <f t="shared" si="82"/>
        <v>389.39545073608269</v>
      </c>
      <c r="GY108" s="62">
        <f t="shared" si="83"/>
        <v>682.72878406941595</v>
      </c>
      <c r="GZ108" s="62">
        <f ca="1">AVERAGE(OFFSET($GY$3,0,0,'Données projet'!$E$18+1,1))-AVERAGE(OFFSET($H$3,0,0,'Données projet'!$E$18+1,1))</f>
        <v>284.704043530756</v>
      </c>
      <c r="HA108" s="62">
        <f t="shared" si="106"/>
        <v>190.4880882944471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2">
        <f t="shared" si="55"/>
        <v>855.49164406048612</v>
      </c>
      <c r="S109" s="62">
        <f ca="1">AVERAGE(OFFSET($R$3,0,0,'Données projet'!$E$9+1,1))-AVERAGE(OFFSET($H$3,0,0,'Données projet'!$E$9+1,1))</f>
        <v>428.8489304403459</v>
      </c>
      <c r="T109" s="62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274.66236526869056</v>
      </c>
      <c r="AO109" s="62">
        <f t="shared" si="90"/>
        <v>256.90876395053073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291.42359999999968</v>
      </c>
      <c r="BF109" s="14">
        <f t="shared" si="91"/>
        <v>69.375496841482104</v>
      </c>
      <c r="BG109" s="22">
        <f t="shared" si="61"/>
        <v>628.39176033224737</v>
      </c>
      <c r="BH109" s="62">
        <f t="shared" si="62"/>
        <v>921.72509366558074</v>
      </c>
      <c r="BI109" s="62">
        <f ca="1">AVERAGE(OFFSET($BH$3,0,0,'Données projet'!$E$11+1,1))-AVERAGE(OFFSET($H$3,0,0,'Données projet'!$E$11+1,1))</f>
        <v>475.47920969424894</v>
      </c>
      <c r="BJ109" s="62">
        <f t="shared" si="92"/>
        <v>271.73544012419364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3.1196581196581179</v>
      </c>
      <c r="BY109" s="13">
        <f>IF('Données projet'!$A$114&gt;35,BY108+BX109-CG108,IF(A109&lt;'Données projet'!$A$114,$BV$205^A109,IF(A109='Données projet'!$A$114,'Données projet'!$B$114,BY108+BX109-CG108)))</f>
        <v>314.23076923076923</v>
      </c>
      <c r="BZ109" s="14">
        <f>BY109*VLOOKUP('Données projet'!$B$12,Paramètres!$A$1:$I$89,3,0)*VLOOKUP('Données projet'!$B$12,Paramètres!$A$1:$I$89,5,0)</f>
        <v>328.43400000000003</v>
      </c>
      <c r="CA109" s="14">
        <f t="shared" si="93"/>
        <v>77.105545589495094</v>
      </c>
      <c r="CB109" s="22">
        <f t="shared" si="64"/>
        <v>706.31470856837075</v>
      </c>
      <c r="CC109" s="62">
        <f t="shared" si="65"/>
        <v>999.64804190170412</v>
      </c>
      <c r="CD109" s="62">
        <f ca="1">AVERAGE(OFFSET($CC$3,0,0,'Données projet'!$E$12+1,1))-AVERAGE(OFFSET($H$3,0,0,'Données projet'!$E$12+1,1))</f>
        <v>490.26236605482961</v>
      </c>
      <c r="CE109" s="62">
        <f t="shared" si="94"/>
        <v>283.40133947156238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4.9658410716801891E-14</v>
      </c>
      <c r="CV109" s="14">
        <f t="shared" si="95"/>
        <v>8.0934058173791862E-13</v>
      </c>
      <c r="CW109" s="22">
        <f t="shared" si="67"/>
        <v>1.4960899118586383E-12</v>
      </c>
      <c r="CX109" s="62">
        <f t="shared" si="68"/>
        <v>293.33333333333479</v>
      </c>
      <c r="CY109" s="62">
        <f ca="1">AVERAGE(OFFSET($CX$3,0,0,'Données projet'!$E$13+1,1))-AVERAGE(OFFSET($H$3,0,0,'Données projet'!$E$13+1,1))</f>
        <v>315.3516976788701</v>
      </c>
      <c r="CZ109" s="62">
        <f t="shared" si="96"/>
        <v>266.32508105927997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309.35735999999969</v>
      </c>
      <c r="EL109" s="14">
        <f t="shared" si="99"/>
        <v>73.134605157142161</v>
      </c>
      <c r="EM109" s="22">
        <f t="shared" si="73"/>
        <v>666.17350598202211</v>
      </c>
      <c r="EN109" s="62">
        <f t="shared" si="74"/>
        <v>959.50683931535536</v>
      </c>
      <c r="EO109" s="62">
        <f ca="1">AVERAGE(OFFSET($EN$3,0,0,'Données projet'!$E$15+1,1))-AVERAGE(OFFSET($H$3,0,0,'Données projet'!$E$15+1,1))</f>
        <v>502.07782026233912</v>
      </c>
      <c r="EP109" s="62">
        <f t="shared" si="100"/>
        <v>285.83623046025156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3.0769230769230744</v>
      </c>
      <c r="FE109" s="13">
        <f>IF('Données projet'!$A$218&gt;35,FE108+FD109-FM108,IF(A109&lt;'Données projet'!$A$218,$FB$205^A109,IF(A109='Données projet'!$A$218,'Données projet'!$B$218,FE108+FD109-FM108)))</f>
        <v>252.43589743589729</v>
      </c>
      <c r="FF109" s="18">
        <f>FE109*VLOOKUP('Données projet'!$B$16,Paramètres!$A$1:$I$89,3,0)*VLOOKUP('Données projet'!$B$16,Paramètres!$A$1:$I$89,5,0)</f>
        <v>240.21799999999988</v>
      </c>
      <c r="FG109" s="14">
        <f t="shared" si="101"/>
        <v>58.486431765448309</v>
      </c>
      <c r="FH109" s="22">
        <f t="shared" si="76"/>
        <v>520.24355199148886</v>
      </c>
      <c r="FI109" s="62">
        <f t="shared" si="77"/>
        <v>813.57688532482211</v>
      </c>
      <c r="FJ109" s="62">
        <f ca="1">AVERAGE(OFFSET($FI$3,0,0,'Données projet'!$E$16+1,1))-AVERAGE(OFFSET($H$3,0,0,'Données projet'!$E$16+1,1))</f>
        <v>365.5904647357433</v>
      </c>
      <c r="FK109" s="62">
        <f t="shared" si="102"/>
        <v>256.56280810580841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-1.1368683772161603E-13</v>
      </c>
      <c r="GA109" s="18">
        <f>FZ109*VLOOKUP('Données projet'!$B$17,Paramètres!$A$1:$I$89,3,0)*VLOOKUP('Données projet'!$B$17,Paramètres!$A$1:$I$89,5,0)</f>
        <v>-9.2222762759774927E-14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256.19915261735281</v>
      </c>
      <c r="GF109" s="62">
        <f t="shared" si="104"/>
        <v>297.47246687305056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7.9089743589743575</v>
      </c>
      <c r="GU109" s="13">
        <f>IF('Données projet'!$A$270&gt;35,GU108+GT109-HC108,IF(A109&lt;'Données projet'!$A$270,$GR$205^A109,IF(A109='Données projet'!$A$270,'Données projet'!$B$270,GU108+GT109-HC108)))</f>
        <v>389.47307692307686</v>
      </c>
      <c r="GV109" s="18">
        <f>GU109*VLOOKUP('Données projet'!$B$18,Paramètres!$A$1:$I$89,3,0)*VLOOKUP('Données projet'!$B$18,Paramètres!$A$1:$I$89,5,0)</f>
        <v>182.27339999999995</v>
      </c>
      <c r="GW109" s="14">
        <f t="shared" si="105"/>
        <v>45.827605728742469</v>
      </c>
      <c r="GX109" s="22">
        <f t="shared" si="82"/>
        <v>397.27591831089302</v>
      </c>
      <c r="GY109" s="62">
        <f t="shared" si="83"/>
        <v>690.60925164422633</v>
      </c>
      <c r="GZ109" s="62">
        <f ca="1">AVERAGE(OFFSET($GY$3,0,0,'Données projet'!$E$18+1,1))-AVERAGE(OFFSET($H$3,0,0,'Données projet'!$E$18+1,1))</f>
        <v>284.704043530756</v>
      </c>
      <c r="HA109" s="62">
        <f t="shared" si="106"/>
        <v>190.4880882944471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2">
        <f t="shared" si="55"/>
        <v>863.9020949925864</v>
      </c>
      <c r="S110" s="62">
        <f ca="1">AVERAGE(OFFSET($R$3,0,0,'Données projet'!$E$9+1,1))-AVERAGE(OFFSET($H$3,0,0,'Données projet'!$E$9+1,1))</f>
        <v>428.8489304403459</v>
      </c>
      <c r="T110" s="62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274.66236526869056</v>
      </c>
      <c r="AO110" s="62">
        <f t="shared" si="90"/>
        <v>256.90876395053073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295.88519999999966</v>
      </c>
      <c r="BF110" s="14">
        <f t="shared" si="91"/>
        <v>70.313151199178748</v>
      </c>
      <c r="BG110" s="22">
        <f t="shared" si="61"/>
        <v>637.79546167190244</v>
      </c>
      <c r="BH110" s="62">
        <f t="shared" si="62"/>
        <v>931.12879500523582</v>
      </c>
      <c r="BI110" s="62">
        <f ca="1">AVERAGE(OFFSET($BH$3,0,0,'Données projet'!$E$11+1,1))-AVERAGE(OFFSET($H$3,0,0,'Données projet'!$E$11+1,1))</f>
        <v>475.47920969424894</v>
      </c>
      <c r="BJ110" s="62">
        <f t="shared" si="92"/>
        <v>271.73544012419364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3.1196581196581179</v>
      </c>
      <c r="BY110" s="13">
        <f>IF('Données projet'!$A$114&gt;35,BY109+BX110-CG109,IF(A110&lt;'Données projet'!$A$114,$BV$205^A110,IF(A110='Données projet'!$A$114,'Données projet'!$B$114,BY109+BX110-CG109)))</f>
        <v>317.35042735042737</v>
      </c>
      <c r="BZ110" s="14">
        <f>BY110*VLOOKUP('Données projet'!$B$12,Paramètres!$A$1:$I$89,3,0)*VLOOKUP('Données projet'!$B$12,Paramètres!$A$1:$I$89,5,0)</f>
        <v>331.69466666666671</v>
      </c>
      <c r="CA110" s="14">
        <f t="shared" si="93"/>
        <v>77.781549998709252</v>
      </c>
      <c r="CB110" s="22">
        <f t="shared" si="64"/>
        <v>713.17107735886304</v>
      </c>
      <c r="CC110" s="62">
        <f t="shared" si="65"/>
        <v>1006.5044106921964</v>
      </c>
      <c r="CD110" s="62">
        <f ca="1">AVERAGE(OFFSET($CC$3,0,0,'Données projet'!$E$12+1,1))-AVERAGE(OFFSET($H$3,0,0,'Données projet'!$E$12+1,1))</f>
        <v>490.26236605482961</v>
      </c>
      <c r="CE110" s="62">
        <f t="shared" si="94"/>
        <v>283.40133947156238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4.9658410716801891E-14</v>
      </c>
      <c r="CV110" s="14">
        <f t="shared" si="95"/>
        <v>8.0934058173791862E-13</v>
      </c>
      <c r="CW110" s="22">
        <f t="shared" si="67"/>
        <v>1.4960899118586383E-12</v>
      </c>
      <c r="CX110" s="62">
        <f t="shared" si="68"/>
        <v>293.33333333333479</v>
      </c>
      <c r="CY110" s="62">
        <f ca="1">AVERAGE(OFFSET($CX$3,0,0,'Données projet'!$E$13+1,1))-AVERAGE(OFFSET($H$3,0,0,'Données projet'!$E$13+1,1))</f>
        <v>315.3516976788701</v>
      </c>
      <c r="CZ110" s="62">
        <f t="shared" si="96"/>
        <v>266.32508105927997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314.09351999999961</v>
      </c>
      <c r="EL110" s="14">
        <f t="shared" si="99"/>
        <v>74.123066275924458</v>
      </c>
      <c r="EM110" s="22">
        <f t="shared" si="73"/>
        <v>676.14388776390103</v>
      </c>
      <c r="EN110" s="62">
        <f t="shared" si="74"/>
        <v>969.47722109723441</v>
      </c>
      <c r="EO110" s="62">
        <f ca="1">AVERAGE(OFFSET($EN$3,0,0,'Données projet'!$E$15+1,1))-AVERAGE(OFFSET($H$3,0,0,'Données projet'!$E$15+1,1))</f>
        <v>502.07782026233912</v>
      </c>
      <c r="EP110" s="62">
        <f t="shared" si="100"/>
        <v>285.83623046025156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3.0769230769230744</v>
      </c>
      <c r="FE110" s="13">
        <f>IF('Données projet'!$A$218&gt;35,FE109+FD110-FM109,IF(A110&lt;'Données projet'!$A$218,$FB$205^A110,IF(A110='Données projet'!$A$218,'Données projet'!$B$218,FE109+FD110-FM109)))</f>
        <v>255.51282051282035</v>
      </c>
      <c r="FF110" s="18">
        <f>FE110*VLOOKUP('Données projet'!$B$16,Paramètres!$A$1:$I$89,3,0)*VLOOKUP('Données projet'!$B$16,Paramètres!$A$1:$I$89,5,0)</f>
        <v>243.14599999999984</v>
      </c>
      <c r="FG110" s="14">
        <f t="shared" si="101"/>
        <v>59.115893816254683</v>
      </c>
      <c r="FH110" s="22">
        <f t="shared" si="76"/>
        <v>526.43946506330997</v>
      </c>
      <c r="FI110" s="62">
        <f t="shared" si="77"/>
        <v>819.77279839664334</v>
      </c>
      <c r="FJ110" s="62">
        <f ca="1">AVERAGE(OFFSET($FI$3,0,0,'Données projet'!$E$16+1,1))-AVERAGE(OFFSET($H$3,0,0,'Données projet'!$E$16+1,1))</f>
        <v>365.5904647357433</v>
      </c>
      <c r="FK110" s="62">
        <f t="shared" si="102"/>
        <v>256.56280810580841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-1.1368683772161603E-13</v>
      </c>
      <c r="GA110" s="18">
        <f>FZ110*VLOOKUP('Données projet'!$B$17,Paramètres!$A$1:$I$89,3,0)*VLOOKUP('Données projet'!$B$17,Paramètres!$A$1:$I$89,5,0)</f>
        <v>-9.2222762759774927E-14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256.19915261735281</v>
      </c>
      <c r="GF110" s="62">
        <f t="shared" si="104"/>
        <v>297.47246687305056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7.9089743589743575</v>
      </c>
      <c r="GU110" s="13">
        <f>IF('Données projet'!$A$270&gt;35,GU109+GT110-HC109,IF(A110&lt;'Données projet'!$A$270,$GR$205^A110,IF(A110='Données projet'!$A$270,'Données projet'!$B$270,GU109+GT110-HC109)))</f>
        <v>397.38205128205124</v>
      </c>
      <c r="GV110" s="18">
        <f>GU110*VLOOKUP('Données projet'!$B$18,Paramètres!$A$1:$I$89,3,0)*VLOOKUP('Données projet'!$B$18,Paramètres!$A$1:$I$89,5,0)</f>
        <v>185.97479999999996</v>
      </c>
      <c r="GW110" s="14">
        <f t="shared" si="105"/>
        <v>46.648932284261271</v>
      </c>
      <c r="GX110" s="22">
        <f t="shared" si="82"/>
        <v>405.15300039508821</v>
      </c>
      <c r="GY110" s="62">
        <f t="shared" si="83"/>
        <v>698.48633372842153</v>
      </c>
      <c r="GZ110" s="62">
        <f ca="1">AVERAGE(OFFSET($GY$3,0,0,'Données projet'!$E$18+1,1))-AVERAGE(OFFSET($H$3,0,0,'Données projet'!$E$18+1,1))</f>
        <v>284.704043530756</v>
      </c>
      <c r="HA110" s="62">
        <f t="shared" si="106"/>
        <v>190.4880882944471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2">
        <f t="shared" si="55"/>
        <v>872.30995628558094</v>
      </c>
      <c r="S111" s="62">
        <f ca="1">AVERAGE(OFFSET($R$3,0,0,'Données projet'!$E$9+1,1))-AVERAGE(OFFSET($H$3,0,0,'Données projet'!$E$9+1,1))</f>
        <v>428.8489304403459</v>
      </c>
      <c r="T111" s="62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274.66236526869056</v>
      </c>
      <c r="AO111" s="62">
        <f t="shared" si="90"/>
        <v>256.90876395053073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300.34679999999963</v>
      </c>
      <c r="BF111" s="14">
        <f t="shared" si="91"/>
        <v>71.249161187153291</v>
      </c>
      <c r="BG111" s="22">
        <f t="shared" si="61"/>
        <v>647.19629906762464</v>
      </c>
      <c r="BH111" s="62">
        <f t="shared" si="62"/>
        <v>940.52963240095801</v>
      </c>
      <c r="BI111" s="62">
        <f ca="1">AVERAGE(OFFSET($BH$3,0,0,'Données projet'!$E$11+1,1))-AVERAGE(OFFSET($H$3,0,0,'Données projet'!$E$11+1,1))</f>
        <v>475.47920969424894</v>
      </c>
      <c r="BJ111" s="62">
        <f t="shared" si="92"/>
        <v>271.73544012419364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3.1196581196581179</v>
      </c>
      <c r="BY111" s="13">
        <f>IF('Données projet'!$A$114&gt;35,BY110+BX111-CG110,IF(A111&lt;'Données projet'!$A$114,$BV$205^A111,IF(A111='Données projet'!$A$114,'Données projet'!$B$114,BY110+BX111-CG110)))</f>
        <v>320.47008547008551</v>
      </c>
      <c r="BZ111" s="14">
        <f>BY111*VLOOKUP('Données projet'!$B$12,Paramètres!$A$1:$I$89,3,0)*VLOOKUP('Données projet'!$B$12,Paramètres!$A$1:$I$89,5,0)</f>
        <v>334.95533333333339</v>
      </c>
      <c r="CA111" s="14">
        <f t="shared" si="93"/>
        <v>78.456781319135146</v>
      </c>
      <c r="CB111" s="22">
        <f t="shared" si="64"/>
        <v>720.02609968638262</v>
      </c>
      <c r="CC111" s="62">
        <f t="shared" si="65"/>
        <v>1013.3594330197159</v>
      </c>
      <c r="CD111" s="62">
        <f ca="1">AVERAGE(OFFSET($CC$3,0,0,'Données projet'!$E$12+1,1))-AVERAGE(OFFSET($H$3,0,0,'Données projet'!$E$12+1,1))</f>
        <v>490.26236605482961</v>
      </c>
      <c r="CE111" s="62">
        <f t="shared" si="94"/>
        <v>283.40133947156238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4.9658410716801891E-14</v>
      </c>
      <c r="CV111" s="14">
        <f t="shared" si="95"/>
        <v>8.0934058173791862E-13</v>
      </c>
      <c r="CW111" s="22">
        <f t="shared" si="67"/>
        <v>1.4960899118586383E-12</v>
      </c>
      <c r="CX111" s="62">
        <f t="shared" si="68"/>
        <v>293.33333333333479</v>
      </c>
      <c r="CY111" s="62">
        <f ca="1">AVERAGE(OFFSET($CX$3,0,0,'Données projet'!$E$13+1,1))-AVERAGE(OFFSET($H$3,0,0,'Données projet'!$E$13+1,1))</f>
        <v>315.3516976788701</v>
      </c>
      <c r="CZ111" s="62">
        <f t="shared" si="96"/>
        <v>266.32508105927997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318.8296799999996</v>
      </c>
      <c r="EL111" s="14">
        <f t="shared" si="99"/>
        <v>75.109793924882112</v>
      </c>
      <c r="EM111" s="22">
        <f t="shared" si="73"/>
        <v>686.11125041916887</v>
      </c>
      <c r="EN111" s="62">
        <f t="shared" si="74"/>
        <v>979.44458375250224</v>
      </c>
      <c r="EO111" s="62">
        <f ca="1">AVERAGE(OFFSET($EN$3,0,0,'Données projet'!$E$15+1,1))-AVERAGE(OFFSET($H$3,0,0,'Données projet'!$E$15+1,1))</f>
        <v>502.07782026233912</v>
      </c>
      <c r="EP111" s="62">
        <f t="shared" si="100"/>
        <v>285.83623046025156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3.0769230769230744</v>
      </c>
      <c r="FE111" s="13">
        <f>IF('Données projet'!$A$218&gt;35,FE110+FD111-FM110,IF(A111&lt;'Données projet'!$A$218,$FB$205^A111,IF(A111='Données projet'!$A$218,'Données projet'!$B$218,FE110+FD111-FM110)))</f>
        <v>258.58974358974342</v>
      </c>
      <c r="FF111" s="18">
        <f>FE111*VLOOKUP('Données projet'!$B$16,Paramètres!$A$1:$I$89,3,0)*VLOOKUP('Données projet'!$B$16,Paramètres!$A$1:$I$89,5,0)</f>
        <v>246.07399999999984</v>
      </c>
      <c r="FG111" s="14">
        <f t="shared" si="101"/>
        <v>59.744474141898664</v>
      </c>
      <c r="FH111" s="22">
        <f t="shared" si="76"/>
        <v>532.63384246380656</v>
      </c>
      <c r="FI111" s="62">
        <f t="shared" si="77"/>
        <v>825.96717579713982</v>
      </c>
      <c r="FJ111" s="62">
        <f ca="1">AVERAGE(OFFSET($FI$3,0,0,'Données projet'!$E$16+1,1))-AVERAGE(OFFSET($H$3,0,0,'Données projet'!$E$16+1,1))</f>
        <v>365.5904647357433</v>
      </c>
      <c r="FK111" s="62">
        <f t="shared" si="102"/>
        <v>256.56280810580841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-1.1368683772161603E-13</v>
      </c>
      <c r="GA111" s="18">
        <f>FZ111*VLOOKUP('Données projet'!$B$17,Paramètres!$A$1:$I$89,3,0)*VLOOKUP('Données projet'!$B$17,Paramètres!$A$1:$I$89,5,0)</f>
        <v>-9.2222762759774927E-14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256.19915261735281</v>
      </c>
      <c r="GF111" s="62">
        <f t="shared" si="104"/>
        <v>297.47246687305056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7.9089743589743575</v>
      </c>
      <c r="GU111" s="13">
        <f>IF('Données projet'!$A$270&gt;35,GU110+GT111-HC110,IF(A111&lt;'Données projet'!$A$270,$GR$205^A111,IF(A111='Données projet'!$A$270,'Données projet'!$B$270,GU110+GT111-HC110)))</f>
        <v>405.29102564102561</v>
      </c>
      <c r="GV111" s="18">
        <f>GU111*VLOOKUP('Données projet'!$B$18,Paramètres!$A$1:$I$89,3,0)*VLOOKUP('Données projet'!$B$18,Paramètres!$A$1:$I$89,5,0)</f>
        <v>189.67619999999997</v>
      </c>
      <c r="GW111" s="14">
        <f t="shared" si="105"/>
        <v>47.468358163684449</v>
      </c>
      <c r="GX111" s="22">
        <f t="shared" si="82"/>
        <v>413.02677213508372</v>
      </c>
      <c r="GY111" s="62">
        <f t="shared" si="83"/>
        <v>706.36010546841703</v>
      </c>
      <c r="GZ111" s="62">
        <f ca="1">AVERAGE(OFFSET($GY$3,0,0,'Données projet'!$E$18+1,1))-AVERAGE(OFFSET($H$3,0,0,'Données projet'!$E$18+1,1))</f>
        <v>284.704043530756</v>
      </c>
      <c r="HA111" s="62">
        <f t="shared" si="106"/>
        <v>190.4880882944471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2">
        <f t="shared" si="55"/>
        <v>880.71527085193179</v>
      </c>
      <c r="S112" s="62">
        <f ca="1">AVERAGE(OFFSET($R$3,0,0,'Données projet'!$E$9+1,1))-AVERAGE(OFFSET($H$3,0,0,'Données projet'!$E$9+1,1))</f>
        <v>428.8489304403459</v>
      </c>
      <c r="T112" s="62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274.66236526869056</v>
      </c>
      <c r="AO112" s="62">
        <f t="shared" si="90"/>
        <v>256.90876395053073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304.80839999999961</v>
      </c>
      <c r="BF112" s="14">
        <f t="shared" si="91"/>
        <v>72.183554053972728</v>
      </c>
      <c r="BG112" s="22">
        <f t="shared" si="61"/>
        <v>656.59431997733509</v>
      </c>
      <c r="BH112" s="62">
        <f t="shared" si="62"/>
        <v>949.92765331066835</v>
      </c>
      <c r="BI112" s="62">
        <f ca="1">AVERAGE(OFFSET($BH$3,0,0,'Données projet'!$E$11+1,1))-AVERAGE(OFFSET($H$3,0,0,'Données projet'!$E$11+1,1))</f>
        <v>475.47920969424894</v>
      </c>
      <c r="BJ112" s="62">
        <f t="shared" si="92"/>
        <v>271.73544012419364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3.1196581196581179</v>
      </c>
      <c r="BY112" s="13">
        <f>IF('Données projet'!$A$114&gt;35,BY111+BX112-CG111,IF(A112&lt;'Données projet'!$A$114,$BV$205^A112,IF(A112='Données projet'!$A$114,'Données projet'!$B$114,BY111+BX112-CG111)))</f>
        <v>323.58974358974365</v>
      </c>
      <c r="BZ112" s="14">
        <f>BY112*VLOOKUP('Données projet'!$B$12,Paramètres!$A$1:$I$89,3,0)*VLOOKUP('Données projet'!$B$12,Paramètres!$A$1:$I$89,5,0)</f>
        <v>338.21600000000007</v>
      </c>
      <c r="CA112" s="14">
        <f t="shared" si="93"/>
        <v>79.131247948010767</v>
      </c>
      <c r="CB112" s="22">
        <f t="shared" si="64"/>
        <v>726.87979017611895</v>
      </c>
      <c r="CC112" s="62">
        <f t="shared" si="65"/>
        <v>1020.2131235094523</v>
      </c>
      <c r="CD112" s="62">
        <f ca="1">AVERAGE(OFFSET($CC$3,0,0,'Données projet'!$E$12+1,1))-AVERAGE(OFFSET($H$3,0,0,'Données projet'!$E$12+1,1))</f>
        <v>490.26236605482961</v>
      </c>
      <c r="CE112" s="62">
        <f t="shared" si="94"/>
        <v>283.40133947156238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4.9658410716801891E-14</v>
      </c>
      <c r="CV112" s="14">
        <f t="shared" si="95"/>
        <v>8.0934058173791862E-13</v>
      </c>
      <c r="CW112" s="22">
        <f t="shared" si="67"/>
        <v>1.4960899118586383E-12</v>
      </c>
      <c r="CX112" s="62">
        <f t="shared" si="68"/>
        <v>293.33333333333479</v>
      </c>
      <c r="CY112" s="62">
        <f ca="1">AVERAGE(OFFSET($CX$3,0,0,'Données projet'!$E$13+1,1))-AVERAGE(OFFSET($H$3,0,0,'Données projet'!$E$13+1,1))</f>
        <v>315.3516976788701</v>
      </c>
      <c r="CZ112" s="62">
        <f t="shared" si="96"/>
        <v>266.32508105927997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323.56583999999958</v>
      </c>
      <c r="EL112" s="14">
        <f t="shared" si="99"/>
        <v>76.094816829044248</v>
      </c>
      <c r="EM112" s="22">
        <f t="shared" si="73"/>
        <v>696.07564397725127</v>
      </c>
      <c r="EN112" s="62">
        <f t="shared" si="74"/>
        <v>989.40897731058453</v>
      </c>
      <c r="EO112" s="62">
        <f ca="1">AVERAGE(OFFSET($EN$3,0,0,'Données projet'!$E$15+1,1))-AVERAGE(OFFSET($H$3,0,0,'Données projet'!$E$15+1,1))</f>
        <v>502.07782026233912</v>
      </c>
      <c r="EP112" s="62">
        <f t="shared" si="100"/>
        <v>285.83623046025156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3.0769230769230744</v>
      </c>
      <c r="FE112" s="13">
        <f>IF('Données projet'!$A$218&gt;35,FE111+FD112-FM111,IF(A112&lt;'Données projet'!$A$218,$FB$205^A112,IF(A112='Données projet'!$A$218,'Données projet'!$B$218,FE111+FD112-FM111)))</f>
        <v>261.66666666666652</v>
      </c>
      <c r="FF112" s="18">
        <f>FE112*VLOOKUP('Données projet'!$B$16,Paramètres!$A$1:$I$89,3,0)*VLOOKUP('Données projet'!$B$16,Paramètres!$A$1:$I$89,5,0)</f>
        <v>249.00199999999984</v>
      </c>
      <c r="FG112" s="14">
        <f t="shared" si="101"/>
        <v>60.372184447565616</v>
      </c>
      <c r="FH112" s="22">
        <f t="shared" si="76"/>
        <v>538.82670457950974</v>
      </c>
      <c r="FI112" s="62">
        <f t="shared" si="77"/>
        <v>832.16003791284311</v>
      </c>
      <c r="FJ112" s="62">
        <f ca="1">AVERAGE(OFFSET($FI$3,0,0,'Données projet'!$E$16+1,1))-AVERAGE(OFFSET($H$3,0,0,'Données projet'!$E$16+1,1))</f>
        <v>365.5904647357433</v>
      </c>
      <c r="FK112" s="62">
        <f t="shared" si="102"/>
        <v>256.56280810580841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-1.1368683772161603E-13</v>
      </c>
      <c r="GA112" s="18">
        <f>FZ112*VLOOKUP('Données projet'!$B$17,Paramètres!$A$1:$I$89,3,0)*VLOOKUP('Données projet'!$B$17,Paramètres!$A$1:$I$89,5,0)</f>
        <v>-9.2222762759774927E-14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256.19915261735281</v>
      </c>
      <c r="GF112" s="62">
        <f t="shared" si="104"/>
        <v>297.47246687305056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>
        <f>VLOOKUP(A112,'Données projet'!$A$269:$I$289,2,0)</f>
        <v>413.2</v>
      </c>
      <c r="GS112" s="13">
        <f>VLOOKUP(A112,'Données projet'!$A$269:$I$289,9,0)</f>
        <v>7.9089743589743575</v>
      </c>
      <c r="GT112" s="13">
        <f t="array" ref="GT112">INDEX(GS:GS,MIN(IF(ISNUMBER(GS112:GS308),ROW(GS112:GS308),"")))</f>
        <v>7.9089743589743575</v>
      </c>
      <c r="GU112" s="13">
        <f>IF('Données projet'!$A$270&gt;35,GU111+GT112-HC111,IF(A112&lt;'Données projet'!$A$270,$GR$205^A112,IF(A112='Données projet'!$A$270,'Données projet'!$B$270,GU111+GT112-HC111)))</f>
        <v>413.2</v>
      </c>
      <c r="GV112" s="18">
        <f>GU112*VLOOKUP('Données projet'!$B$18,Paramètres!$A$1:$I$89,3,0)*VLOOKUP('Données projet'!$B$18,Paramètres!$A$1:$I$89,5,0)</f>
        <v>193.37759999999997</v>
      </c>
      <c r="GW112" s="14">
        <f t="shared" si="105"/>
        <v>48.285924733018234</v>
      </c>
      <c r="GX112" s="22">
        <f t="shared" si="82"/>
        <v>420.89730557667332</v>
      </c>
      <c r="GY112" s="62">
        <f t="shared" si="83"/>
        <v>714.23063891000663</v>
      </c>
      <c r="GZ112" s="62">
        <f ca="1">AVERAGE(OFFSET($GY$3,0,0,'Données projet'!$E$18+1,1))-AVERAGE(OFFSET($H$3,0,0,'Données projet'!$E$18+1,1))</f>
        <v>284.704043530756</v>
      </c>
      <c r="HA112" s="62">
        <f t="shared" si="106"/>
        <v>190.4880882944471</v>
      </c>
      <c r="HB112" s="16">
        <f>IF(ISNA(VLOOKUP(A112,'Données projet'!$A$269:$I$289,3,0)),0,VLOOKUP(A112,'Données projet'!$A$269:$I$289,3,0))</f>
        <v>6</v>
      </c>
      <c r="HC112" s="16">
        <f>IF(ISNA(VLOOKUP(A112,'Données projet'!$A$269:$I$289,4,0)),0,VLOOKUP(A112,'Données projet'!$A$269:$I$289,4,0))</f>
        <v>80.653846153846146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2">
        <f t="shared" si="55"/>
        <v>889.11808027572556</v>
      </c>
      <c r="S113" s="62">
        <f ca="1">AVERAGE(OFFSET($R$3,0,0,'Données projet'!$E$9+1,1))-AVERAGE(OFFSET($H$3,0,0,'Données projet'!$E$9+1,1))</f>
        <v>428.8489304403459</v>
      </c>
      <c r="T113" s="62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274.66236526869056</v>
      </c>
      <c r="AO113" s="62">
        <f t="shared" si="90"/>
        <v>256.90876395053073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309.26999999999958</v>
      </c>
      <c r="BF113" s="14">
        <f t="shared" si="91"/>
        <v>73.116356204710968</v>
      </c>
      <c r="BG113" s="22">
        <f t="shared" si="61"/>
        <v>665.98957038987078</v>
      </c>
      <c r="BH113" s="62">
        <f t="shared" si="62"/>
        <v>959.32290372320404</v>
      </c>
      <c r="BI113" s="62">
        <f ca="1">AVERAGE(OFFSET($BH$3,0,0,'Données projet'!$E$11+1,1))-AVERAGE(OFFSET($H$3,0,0,'Données projet'!$E$11+1,1))</f>
        <v>475.47920969424894</v>
      </c>
      <c r="BJ113" s="62">
        <f t="shared" si="92"/>
        <v>271.73544012419364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3.1196581196581179</v>
      </c>
      <c r="BY113" s="13">
        <f>IF('Données projet'!$A$114&gt;35,BY112+BX113-CG112,IF(A113&lt;'Données projet'!$A$114,$BV$205^A113,IF(A113='Données projet'!$A$114,'Données projet'!$B$114,BY112+BX113-CG112)))</f>
        <v>326.70940170940179</v>
      </c>
      <c r="BZ113" s="14">
        <f>BY113*VLOOKUP('Données projet'!$B$12,Paramètres!$A$1:$I$89,3,0)*VLOOKUP('Données projet'!$B$12,Paramètres!$A$1:$I$89,5,0)</f>
        <v>341.4766666666668</v>
      </c>
      <c r="CA113" s="14">
        <f t="shared" si="93"/>
        <v>79.804958111327053</v>
      </c>
      <c r="CB113" s="22">
        <f t="shared" si="64"/>
        <v>733.73216315500588</v>
      </c>
      <c r="CC113" s="62">
        <f t="shared" si="65"/>
        <v>1027.0654964883392</v>
      </c>
      <c r="CD113" s="62">
        <f ca="1">AVERAGE(OFFSET($CC$3,0,0,'Données projet'!$E$12+1,1))-AVERAGE(OFFSET($H$3,0,0,'Données projet'!$E$12+1,1))</f>
        <v>490.26236605482961</v>
      </c>
      <c r="CE113" s="62">
        <f t="shared" si="94"/>
        <v>283.40133947156238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4.9658410716801891E-14</v>
      </c>
      <c r="CV113" s="14">
        <f t="shared" si="95"/>
        <v>8.0934058173791862E-13</v>
      </c>
      <c r="CW113" s="22">
        <f t="shared" si="67"/>
        <v>1.4960899118586383E-12</v>
      </c>
      <c r="CX113" s="62">
        <f t="shared" si="68"/>
        <v>293.33333333333479</v>
      </c>
      <c r="CY113" s="62">
        <f ca="1">AVERAGE(OFFSET($CX$3,0,0,'Données projet'!$E$13+1,1))-AVERAGE(OFFSET($H$3,0,0,'Données projet'!$E$13+1,1))</f>
        <v>315.3516976788701</v>
      </c>
      <c r="CZ113" s="62">
        <f t="shared" si="96"/>
        <v>266.32508105927997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328.30199999999957</v>
      </c>
      <c r="EL113" s="14">
        <f t="shared" si="99"/>
        <v>77.078162824242781</v>
      </c>
      <c r="EM113" s="22">
        <f t="shared" si="73"/>
        <v>706.03711691888873</v>
      </c>
      <c r="EN113" s="62">
        <f t="shared" si="74"/>
        <v>999.3704502522221</v>
      </c>
      <c r="EO113" s="62">
        <f ca="1">AVERAGE(OFFSET($EN$3,0,0,'Données projet'!$E$15+1,1))-AVERAGE(OFFSET($H$3,0,0,'Données projet'!$E$15+1,1))</f>
        <v>502.07782026233912</v>
      </c>
      <c r="EP113" s="62">
        <f t="shared" si="100"/>
        <v>285.83623046025156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264.74358974358972</v>
      </c>
      <c r="FC113" s="13">
        <f>VLOOKUP(A113,'Données projet'!$A$217:$I$237,9,0)</f>
        <v>3.0769230769230744</v>
      </c>
      <c r="FD113" s="13">
        <f t="array" ref="FD113">INDEX(FC:FC,MIN(IF(ISNUMBER(FC113:FC309),ROW(FC113:FC309),"")))</f>
        <v>3.0769230769230744</v>
      </c>
      <c r="FE113" s="13">
        <f>IF('Données projet'!$A$218&gt;35,FE112+FD113-FM112,IF(A113&lt;'Données projet'!$A$218,$FB$205^A113,IF(A113='Données projet'!$A$218,'Données projet'!$B$218,FE112+FD113-FM112)))</f>
        <v>264.74358974358961</v>
      </c>
      <c r="FF113" s="18">
        <f>FE113*VLOOKUP('Données projet'!$B$16,Paramètres!$A$1:$I$89,3,0)*VLOOKUP('Données projet'!$B$16,Paramètres!$A$1:$I$89,5,0)</f>
        <v>251.92999999999989</v>
      </c>
      <c r="FG113" s="14">
        <f t="shared" si="101"/>
        <v>60.999036147317476</v>
      </c>
      <c r="FH113" s="22">
        <f t="shared" si="76"/>
        <v>545.01807128991106</v>
      </c>
      <c r="FI113" s="62">
        <f t="shared" si="77"/>
        <v>838.35140462324443</v>
      </c>
      <c r="FJ113" s="62">
        <f ca="1">AVERAGE(OFFSET($FI$3,0,0,'Données projet'!$E$16+1,1))-AVERAGE(OFFSET($H$3,0,0,'Données projet'!$E$16+1,1))</f>
        <v>365.5904647357433</v>
      </c>
      <c r="FK113" s="62">
        <f t="shared" si="102"/>
        <v>256.56280810580841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33.974358974358971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-1.1368683772161603E-13</v>
      </c>
      <c r="GA113" s="18">
        <f>FZ113*VLOOKUP('Données projet'!$B$17,Paramètres!$A$1:$I$89,3,0)*VLOOKUP('Données projet'!$B$17,Paramètres!$A$1:$I$89,5,0)</f>
        <v>-9.2222762759774927E-14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256.19915261735281</v>
      </c>
      <c r="GF113" s="62">
        <f t="shared" si="104"/>
        <v>297.47246687305056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7.0935897435897362</v>
      </c>
      <c r="GU113" s="13">
        <f>IF('Données projet'!$A$270&gt;35,GU112+GT113-HC112,IF(A113&lt;'Données projet'!$A$270,$GR$205^A113,IF(A113='Données projet'!$A$270,'Données projet'!$B$270,GU112+GT113-HC112)))</f>
        <v>339.6397435897436</v>
      </c>
      <c r="GV113" s="18">
        <f>GU113*VLOOKUP('Données projet'!$B$18,Paramètres!$A$1:$I$89,3,0)*VLOOKUP('Données projet'!$B$18,Paramètres!$A$1:$I$89,5,0)</f>
        <v>158.95140000000001</v>
      </c>
      <c r="GW113" s="14">
        <f t="shared" si="105"/>
        <v>40.605910315547177</v>
      </c>
      <c r="GX113" s="22">
        <f t="shared" si="82"/>
        <v>347.56231546624463</v>
      </c>
      <c r="GY113" s="62">
        <f t="shared" si="83"/>
        <v>640.89564879957788</v>
      </c>
      <c r="GZ113" s="62">
        <f ca="1">AVERAGE(OFFSET($GY$3,0,0,'Données projet'!$E$18+1,1))-AVERAGE(OFFSET($H$3,0,0,'Données projet'!$E$18+1,1))</f>
        <v>284.704043530756</v>
      </c>
      <c r="HA113" s="62">
        <f t="shared" si="106"/>
        <v>190.4880882944471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2">
        <f t="shared" si="55"/>
        <v>821.63161043190416</v>
      </c>
      <c r="S114" s="62">
        <f ca="1">AVERAGE(OFFSET($R$3,0,0,'Données projet'!$E$9+1,1))-AVERAGE(OFFSET($H$3,0,0,'Données projet'!$E$9+1,1))</f>
        <v>428.8489304403459</v>
      </c>
      <c r="T114" s="62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274.66236526869056</v>
      </c>
      <c r="AO114" s="62">
        <f t="shared" si="90"/>
        <v>256.90876395053073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273.47579999999959</v>
      </c>
      <c r="BF114" s="14">
        <f t="shared" si="91"/>
        <v>65.586371730977532</v>
      </c>
      <c r="BG114" s="22">
        <f t="shared" si="61"/>
        <v>590.53328243145177</v>
      </c>
      <c r="BH114" s="62">
        <f t="shared" si="62"/>
        <v>883.86661576478514</v>
      </c>
      <c r="BI114" s="62">
        <f ca="1">AVERAGE(OFFSET($BH$3,0,0,'Données projet'!$E$11+1,1))-AVERAGE(OFFSET($H$3,0,0,'Données projet'!$E$11+1,1))</f>
        <v>475.47920969424894</v>
      </c>
      <c r="BJ114" s="62">
        <f t="shared" si="92"/>
        <v>271.73544012419364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3.1196581196581179</v>
      </c>
      <c r="BY114" s="13">
        <f>IF('Données projet'!$A$114&gt;35,BY113+BX114-CG113,IF(A114&lt;'Données projet'!$A$114,$BV$205^A114,IF(A114='Données projet'!$A$114,'Données projet'!$B$114,BY113+BX114-CG113)))</f>
        <v>329.82905982905993</v>
      </c>
      <c r="BZ114" s="14">
        <f>BY114*VLOOKUP('Données projet'!$B$12,Paramètres!$A$1:$I$89,3,0)*VLOOKUP('Données projet'!$B$12,Paramètres!$A$1:$I$89,5,0)</f>
        <v>344.73733333333348</v>
      </c>
      <c r="CA114" s="14">
        <f t="shared" si="93"/>
        <v>80.47791986892156</v>
      </c>
      <c r="CB114" s="22">
        <f t="shared" si="64"/>
        <v>740.58323266059415</v>
      </c>
      <c r="CC114" s="62">
        <f t="shared" si="65"/>
        <v>1033.9165659939274</v>
      </c>
      <c r="CD114" s="62">
        <f ca="1">AVERAGE(OFFSET($CC$3,0,0,'Données projet'!$E$12+1,1))-AVERAGE(OFFSET($H$3,0,0,'Données projet'!$E$12+1,1))</f>
        <v>490.26236605482961</v>
      </c>
      <c r="CE114" s="62">
        <f t="shared" si="94"/>
        <v>283.40133947156238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4.9658410716801891E-14</v>
      </c>
      <c r="CV114" s="14">
        <f t="shared" si="95"/>
        <v>8.0934058173791862E-13</v>
      </c>
      <c r="CW114" s="22">
        <f t="shared" si="67"/>
        <v>1.4960899118586383E-12</v>
      </c>
      <c r="CX114" s="62">
        <f t="shared" si="68"/>
        <v>293.33333333333479</v>
      </c>
      <c r="CY114" s="62">
        <f ca="1">AVERAGE(OFFSET($CX$3,0,0,'Données projet'!$E$13+1,1))-AVERAGE(OFFSET($H$3,0,0,'Données projet'!$E$13+1,1))</f>
        <v>315.3516976788701</v>
      </c>
      <c r="CZ114" s="62">
        <f t="shared" si="96"/>
        <v>266.32508105927997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290.30507999999958</v>
      </c>
      <c r="EL114" s="14">
        <f t="shared" si="99"/>
        <v>69.140166465323375</v>
      </c>
      <c r="EM114" s="22">
        <f t="shared" si="73"/>
        <v>626.03380426043748</v>
      </c>
      <c r="EN114" s="62">
        <f t="shared" si="74"/>
        <v>919.36713759377085</v>
      </c>
      <c r="EO114" s="62">
        <f ca="1">AVERAGE(OFFSET($EN$3,0,0,'Données projet'!$E$15+1,1))-AVERAGE(OFFSET($H$3,0,0,'Données projet'!$E$15+1,1))</f>
        <v>502.07782026233912</v>
      </c>
      <c r="EP114" s="62">
        <f t="shared" si="100"/>
        <v>285.83623046025156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2.8846153846153841</v>
      </c>
      <c r="FE114" s="13">
        <f>IF('Données projet'!$A$218&gt;35,FE113+FD114-FM113,IF(A114&lt;'Données projet'!$A$218,$FB$205^A114,IF(A114='Données projet'!$A$218,'Données projet'!$B$218,FE113+FD114-FM113)))</f>
        <v>233.65384615384599</v>
      </c>
      <c r="FF114" s="18">
        <f>FE114*VLOOKUP('Données projet'!$B$16,Paramètres!$A$1:$I$89,3,0)*VLOOKUP('Données projet'!$B$16,Paramètres!$A$1:$I$89,5,0)</f>
        <v>222.34499999999983</v>
      </c>
      <c r="FG114" s="14">
        <f t="shared" si="101"/>
        <v>54.624244950543364</v>
      </c>
      <c r="FH114" s="22">
        <f t="shared" si="76"/>
        <v>482.38810162219607</v>
      </c>
      <c r="FI114" s="62">
        <f t="shared" si="77"/>
        <v>775.72143495552939</v>
      </c>
      <c r="FJ114" s="62">
        <f ca="1">AVERAGE(OFFSET($FI$3,0,0,'Données projet'!$E$16+1,1))-AVERAGE(OFFSET($H$3,0,0,'Données projet'!$E$16+1,1))</f>
        <v>365.5904647357433</v>
      </c>
      <c r="FK114" s="62">
        <f t="shared" si="102"/>
        <v>256.56280810580841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-1.1368683772161603E-13</v>
      </c>
      <c r="GA114" s="18">
        <f>FZ114*VLOOKUP('Données projet'!$B$17,Paramètres!$A$1:$I$89,3,0)*VLOOKUP('Données projet'!$B$17,Paramètres!$A$1:$I$89,5,0)</f>
        <v>-9.2222762759774927E-14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256.19915261735281</v>
      </c>
      <c r="GF114" s="62">
        <f t="shared" si="104"/>
        <v>297.47246687305056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7.0935897435897362</v>
      </c>
      <c r="GU114" s="13">
        <f>IF('Données projet'!$A$270&gt;35,GU113+GT114-HC113,IF(A114&lt;'Données projet'!$A$270,$GR$205^A114,IF(A114='Données projet'!$A$270,'Données projet'!$B$270,GU113+GT114-HC113)))</f>
        <v>346.73333333333335</v>
      </c>
      <c r="GV114" s="18">
        <f>GU114*VLOOKUP('Données projet'!$B$18,Paramètres!$A$1:$I$89,3,0)*VLOOKUP('Données projet'!$B$18,Paramètres!$A$1:$I$89,5,0)</f>
        <v>162.27119999999999</v>
      </c>
      <c r="GW114" s="14">
        <f t="shared" si="105"/>
        <v>41.354369909446504</v>
      </c>
      <c r="GX114" s="22">
        <f t="shared" si="82"/>
        <v>354.64786759228599</v>
      </c>
      <c r="GY114" s="62">
        <f t="shared" si="83"/>
        <v>647.98120092561931</v>
      </c>
      <c r="GZ114" s="62">
        <f ca="1">AVERAGE(OFFSET($GY$3,0,0,'Données projet'!$E$18+1,1))-AVERAGE(OFFSET($H$3,0,0,'Données projet'!$E$18+1,1))</f>
        <v>284.704043530756</v>
      </c>
      <c r="HA114" s="62">
        <f t="shared" si="106"/>
        <v>190.4880882944471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2">
        <f t="shared" si="55"/>
        <v>828.7133714063857</v>
      </c>
      <c r="S115" s="62">
        <f ca="1">AVERAGE(OFFSET($R$3,0,0,'Données projet'!$E$9+1,1))-AVERAGE(OFFSET($H$3,0,0,'Données projet'!$E$9+1,1))</f>
        <v>428.8489304403459</v>
      </c>
      <c r="T115" s="62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274.66236526869056</v>
      </c>
      <c r="AO115" s="62">
        <f t="shared" si="90"/>
        <v>256.90876395053073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277.2275999999996</v>
      </c>
      <c r="BF115" s="14">
        <f t="shared" si="91"/>
        <v>66.380782187895392</v>
      </c>
      <c r="BG115" s="22">
        <f t="shared" si="61"/>
        <v>598.45126564391705</v>
      </c>
      <c r="BH115" s="62">
        <f t="shared" si="62"/>
        <v>891.78459897725043</v>
      </c>
      <c r="BI115" s="62">
        <f ca="1">AVERAGE(OFFSET($BH$3,0,0,'Données projet'!$E$11+1,1))-AVERAGE(OFFSET($H$3,0,0,'Données projet'!$E$11+1,1))</f>
        <v>475.47920969424894</v>
      </c>
      <c r="BJ115" s="62">
        <f t="shared" si="92"/>
        <v>271.73544012419364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3.1196581196581179</v>
      </c>
      <c r="BY115" s="13">
        <f>IF('Données projet'!$A$114&gt;35,BY114+BX115-CG114,IF(A115&lt;'Données projet'!$A$114,$BV$205^A115,IF(A115='Données projet'!$A$114,'Données projet'!$B$114,BY114+BX115-CG114)))</f>
        <v>332.94871794871807</v>
      </c>
      <c r="BZ115" s="14">
        <f>BY115*VLOOKUP('Données projet'!$B$12,Paramètres!$A$1:$I$89,3,0)*VLOOKUP('Données projet'!$B$12,Paramètres!$A$1:$I$89,5,0)</f>
        <v>347.99800000000016</v>
      </c>
      <c r="CA115" s="14">
        <f t="shared" si="93"/>
        <v>81.150141119373359</v>
      </c>
      <c r="CB115" s="22">
        <f t="shared" si="64"/>
        <v>747.43301244957547</v>
      </c>
      <c r="CC115" s="62">
        <f t="shared" si="65"/>
        <v>1040.7663457829087</v>
      </c>
      <c r="CD115" s="62">
        <f ca="1">AVERAGE(OFFSET($CC$3,0,0,'Données projet'!$E$12+1,1))-AVERAGE(OFFSET($H$3,0,0,'Données projet'!$E$12+1,1))</f>
        <v>490.26236605482961</v>
      </c>
      <c r="CE115" s="62">
        <f t="shared" si="94"/>
        <v>283.40133947156238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4.9658410716801891E-14</v>
      </c>
      <c r="CV115" s="14">
        <f t="shared" si="95"/>
        <v>8.0934058173791862E-13</v>
      </c>
      <c r="CW115" s="22">
        <f t="shared" si="67"/>
        <v>1.4960899118586383E-12</v>
      </c>
      <c r="CX115" s="62">
        <f t="shared" si="68"/>
        <v>293.33333333333479</v>
      </c>
      <c r="CY115" s="62">
        <f ca="1">AVERAGE(OFFSET($CX$3,0,0,'Données projet'!$E$13+1,1))-AVERAGE(OFFSET($H$3,0,0,'Données projet'!$E$13+1,1))</f>
        <v>315.3516976788701</v>
      </c>
      <c r="CZ115" s="62">
        <f t="shared" si="96"/>
        <v>266.32508105927997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294.28775999999954</v>
      </c>
      <c r="EL115" s="14">
        <f t="shared" si="99"/>
        <v>69.977622018717668</v>
      </c>
      <c r="EM115" s="22">
        <f t="shared" si="73"/>
        <v>634.42887368259915</v>
      </c>
      <c r="EN115" s="62">
        <f t="shared" si="74"/>
        <v>927.76220701593252</v>
      </c>
      <c r="EO115" s="62">
        <f ca="1">AVERAGE(OFFSET($EN$3,0,0,'Données projet'!$E$15+1,1))-AVERAGE(OFFSET($H$3,0,0,'Données projet'!$E$15+1,1))</f>
        <v>502.07782026233912</v>
      </c>
      <c r="EP115" s="62">
        <f t="shared" si="100"/>
        <v>285.83623046025156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2.8846153846153841</v>
      </c>
      <c r="FE115" s="13">
        <f>IF('Données projet'!$A$218&gt;35,FE114+FD115-FM114,IF(A115&lt;'Données projet'!$A$218,$FB$205^A115,IF(A115='Données projet'!$A$218,'Données projet'!$B$218,FE114+FD115-FM114)))</f>
        <v>236.53846153846138</v>
      </c>
      <c r="FF115" s="18">
        <f>FE115*VLOOKUP('Données projet'!$B$16,Paramètres!$A$1:$I$89,3,0)*VLOOKUP('Données projet'!$B$16,Paramètres!$A$1:$I$89,5,0)</f>
        <v>225.08999999999983</v>
      </c>
      <c r="FG115" s="14">
        <f t="shared" si="101"/>
        <v>55.219695087965867</v>
      </c>
      <c r="FH115" s="22">
        <f t="shared" si="76"/>
        <v>488.20605227820687</v>
      </c>
      <c r="FI115" s="62">
        <f t="shared" si="77"/>
        <v>781.53938561154018</v>
      </c>
      <c r="FJ115" s="62">
        <f ca="1">AVERAGE(OFFSET($FI$3,0,0,'Données projet'!$E$16+1,1))-AVERAGE(OFFSET($H$3,0,0,'Données projet'!$E$16+1,1))</f>
        <v>365.5904647357433</v>
      </c>
      <c r="FK115" s="62">
        <f t="shared" si="102"/>
        <v>256.56280810580841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-1.1368683772161603E-13</v>
      </c>
      <c r="GA115" s="18">
        <f>FZ115*VLOOKUP('Données projet'!$B$17,Paramètres!$A$1:$I$89,3,0)*VLOOKUP('Données projet'!$B$17,Paramètres!$A$1:$I$89,5,0)</f>
        <v>-9.2222762759774927E-14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256.19915261735281</v>
      </c>
      <c r="GF115" s="62">
        <f t="shared" si="104"/>
        <v>297.47246687305056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7.0935897435897362</v>
      </c>
      <c r="GU115" s="13">
        <f>IF('Données projet'!$A$270&gt;35,GU114+GT115-HC114,IF(A115&lt;'Données projet'!$A$270,$GR$205^A115,IF(A115='Données projet'!$A$270,'Données projet'!$B$270,GU114+GT115-HC114)))</f>
        <v>353.82692307692309</v>
      </c>
      <c r="GV115" s="18">
        <f>GU115*VLOOKUP('Données projet'!$B$18,Paramètres!$A$1:$I$89,3,0)*VLOOKUP('Données projet'!$B$18,Paramètres!$A$1:$I$89,5,0)</f>
        <v>165.59100000000001</v>
      </c>
      <c r="GW115" s="14">
        <f t="shared" si="105"/>
        <v>42.101049147412809</v>
      </c>
      <c r="GX115" s="22">
        <f t="shared" si="82"/>
        <v>361.73031893174402</v>
      </c>
      <c r="GY115" s="62">
        <f t="shared" si="83"/>
        <v>655.06365226507728</v>
      </c>
      <c r="GZ115" s="62">
        <f ca="1">AVERAGE(OFFSET($GY$3,0,0,'Données projet'!$E$18+1,1))-AVERAGE(OFFSET($H$3,0,0,'Données projet'!$E$18+1,1))</f>
        <v>284.704043530756</v>
      </c>
      <c r="HA115" s="62">
        <f t="shared" si="106"/>
        <v>190.4880882944471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2">
        <f t="shared" si="55"/>
        <v>835.79316307617296</v>
      </c>
      <c r="S116" s="62">
        <f ca="1">AVERAGE(OFFSET($R$3,0,0,'Données projet'!$E$9+1,1))-AVERAGE(OFFSET($H$3,0,0,'Données projet'!$E$9+1,1))</f>
        <v>428.8489304403459</v>
      </c>
      <c r="T116" s="62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274.66236526869056</v>
      </c>
      <c r="AO116" s="62">
        <f t="shared" si="90"/>
        <v>256.90876395053073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280.9793999999996</v>
      </c>
      <c r="BF116" s="14">
        <f t="shared" si="91"/>
        <v>67.173942175199358</v>
      </c>
      <c r="BG116" s="22">
        <f t="shared" si="61"/>
        <v>606.36707095513827</v>
      </c>
      <c r="BH116" s="62">
        <f t="shared" si="62"/>
        <v>899.70040428847165</v>
      </c>
      <c r="BI116" s="62">
        <f ca="1">AVERAGE(OFFSET($BH$3,0,0,'Données projet'!$E$11+1,1))-AVERAGE(OFFSET($H$3,0,0,'Données projet'!$E$11+1,1))</f>
        <v>475.47920969424894</v>
      </c>
      <c r="BJ116" s="62">
        <f t="shared" si="92"/>
        <v>271.73544012419364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3.1196581196581179</v>
      </c>
      <c r="BY116" s="13">
        <f>IF('Données projet'!$A$114&gt;35,BY115+BX116-CG115,IF(A116&lt;'Données projet'!$A$114,$BV$205^A116,IF(A116='Données projet'!$A$114,'Données projet'!$B$114,BY115+BX116-CG115)))</f>
        <v>336.06837606837621</v>
      </c>
      <c r="BZ116" s="14">
        <f>BY116*VLOOKUP('Données projet'!$B$12,Paramètres!$A$1:$I$89,3,0)*VLOOKUP('Données projet'!$B$12,Paramètres!$A$1:$I$89,5,0)</f>
        <v>351.25866666666684</v>
      </c>
      <c r="CA116" s="14">
        <f t="shared" si="93"/>
        <v>81.821629604709486</v>
      </c>
      <c r="CB116" s="22">
        <f t="shared" si="64"/>
        <v>754.28151600598039</v>
      </c>
      <c r="CC116" s="62">
        <f t="shared" si="65"/>
        <v>1047.6148493393137</v>
      </c>
      <c r="CD116" s="62">
        <f ca="1">AVERAGE(OFFSET($CC$3,0,0,'Données projet'!$E$12+1,1))-AVERAGE(OFFSET($H$3,0,0,'Données projet'!$E$12+1,1))</f>
        <v>490.26236605482961</v>
      </c>
      <c r="CE116" s="62">
        <f t="shared" si="94"/>
        <v>283.40133947156238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4.9658410716801891E-14</v>
      </c>
      <c r="CV116" s="14">
        <f t="shared" si="95"/>
        <v>8.0934058173791862E-13</v>
      </c>
      <c r="CW116" s="22">
        <f t="shared" si="67"/>
        <v>1.4960899118586383E-12</v>
      </c>
      <c r="CX116" s="62">
        <f t="shared" si="68"/>
        <v>293.33333333333479</v>
      </c>
      <c r="CY116" s="62">
        <f ca="1">AVERAGE(OFFSET($CX$3,0,0,'Données projet'!$E$13+1,1))-AVERAGE(OFFSET($H$3,0,0,'Données projet'!$E$13+1,1))</f>
        <v>315.3516976788701</v>
      </c>
      <c r="CZ116" s="62">
        <f t="shared" si="96"/>
        <v>266.32508105927997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298.27043999999955</v>
      </c>
      <c r="EL116" s="14">
        <f t="shared" si="99"/>
        <v>70.813759345855914</v>
      </c>
      <c r="EM116" s="22">
        <f t="shared" si="73"/>
        <v>642.82164719403158</v>
      </c>
      <c r="EN116" s="62">
        <f t="shared" si="74"/>
        <v>936.15498052736484</v>
      </c>
      <c r="EO116" s="62">
        <f ca="1">AVERAGE(OFFSET($EN$3,0,0,'Données projet'!$E$15+1,1))-AVERAGE(OFFSET($H$3,0,0,'Données projet'!$E$15+1,1))</f>
        <v>502.07782026233912</v>
      </c>
      <c r="EP116" s="62">
        <f t="shared" si="100"/>
        <v>285.83623046025156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2.8846153846153841</v>
      </c>
      <c r="FE116" s="13">
        <f>IF('Données projet'!$A$218&gt;35,FE115+FD116-FM115,IF(A116&lt;'Données projet'!$A$218,$FB$205^A116,IF(A116='Données projet'!$A$218,'Données projet'!$B$218,FE115+FD116-FM115)))</f>
        <v>239.42307692307676</v>
      </c>
      <c r="FF116" s="18">
        <f>FE116*VLOOKUP('Données projet'!$B$16,Paramètres!$A$1:$I$89,3,0)*VLOOKUP('Données projet'!$B$16,Paramètres!$A$1:$I$89,5,0)</f>
        <v>227.83499999999984</v>
      </c>
      <c r="FG116" s="14">
        <f t="shared" si="101"/>
        <v>55.814300554153057</v>
      </c>
      <c r="FH116" s="22">
        <f t="shared" si="76"/>
        <v>494.02253179848293</v>
      </c>
      <c r="FI116" s="62">
        <f t="shared" si="77"/>
        <v>787.35586513181624</v>
      </c>
      <c r="FJ116" s="62">
        <f ca="1">AVERAGE(OFFSET($FI$3,0,0,'Données projet'!$E$16+1,1))-AVERAGE(OFFSET($H$3,0,0,'Données projet'!$E$16+1,1))</f>
        <v>365.5904647357433</v>
      </c>
      <c r="FK116" s="62">
        <f t="shared" si="102"/>
        <v>256.56280810580841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-1.1368683772161603E-13</v>
      </c>
      <c r="GA116" s="18">
        <f>FZ116*VLOOKUP('Données projet'!$B$17,Paramètres!$A$1:$I$89,3,0)*VLOOKUP('Données projet'!$B$17,Paramètres!$A$1:$I$89,5,0)</f>
        <v>-9.2222762759774927E-14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256.19915261735281</v>
      </c>
      <c r="GF116" s="62">
        <f t="shared" si="104"/>
        <v>297.47246687305056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7.0935897435897362</v>
      </c>
      <c r="GU116" s="13">
        <f>IF('Données projet'!$A$270&gt;35,GU115+GT116-HC115,IF(A116&lt;'Données projet'!$A$270,$GR$205^A116,IF(A116='Données projet'!$A$270,'Données projet'!$B$270,GU115+GT116-HC115)))</f>
        <v>360.92051282051284</v>
      </c>
      <c r="GV116" s="18">
        <f>GU116*VLOOKUP('Données projet'!$B$18,Paramètres!$A$1:$I$89,3,0)*VLOOKUP('Données projet'!$B$18,Paramètres!$A$1:$I$89,5,0)</f>
        <v>168.91079999999999</v>
      </c>
      <c r="GW116" s="14">
        <f t="shared" si="105"/>
        <v>42.845987835941031</v>
      </c>
      <c r="GX116" s="22">
        <f t="shared" si="82"/>
        <v>368.80973881426394</v>
      </c>
      <c r="GY116" s="62">
        <f t="shared" si="83"/>
        <v>662.14307214759719</v>
      </c>
      <c r="GZ116" s="62">
        <f ca="1">AVERAGE(OFFSET($GY$3,0,0,'Données projet'!$E$18+1,1))-AVERAGE(OFFSET($H$3,0,0,'Données projet'!$E$18+1,1))</f>
        <v>284.704043530756</v>
      </c>
      <c r="HA116" s="62">
        <f t="shared" si="106"/>
        <v>190.4880882944471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2">
        <f t="shared" si="55"/>
        <v>842.87101477628994</v>
      </c>
      <c r="S117" s="62">
        <f ca="1">AVERAGE(OFFSET($R$3,0,0,'Données projet'!$E$9+1,1))-AVERAGE(OFFSET($H$3,0,0,'Données projet'!$E$9+1,1))</f>
        <v>428.8489304403459</v>
      </c>
      <c r="T117" s="62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274.66236526869056</v>
      </c>
      <c r="AO117" s="62">
        <f t="shared" si="90"/>
        <v>256.90876395053073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284.7311999999996</v>
      </c>
      <c r="BF117" s="14">
        <f t="shared" si="91"/>
        <v>67.965870320050882</v>
      </c>
      <c r="BG117" s="22">
        <f t="shared" si="61"/>
        <v>614.28073080742126</v>
      </c>
      <c r="BH117" s="62">
        <f t="shared" si="62"/>
        <v>907.61406414075464</v>
      </c>
      <c r="BI117" s="62">
        <f ca="1">AVERAGE(OFFSET($BH$3,0,0,'Données projet'!$E$11+1,1))-AVERAGE(OFFSET($H$3,0,0,'Données projet'!$E$11+1,1))</f>
        <v>475.47920969424894</v>
      </c>
      <c r="BJ117" s="62">
        <f t="shared" si="92"/>
        <v>271.73544012419364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3.1196581196581179</v>
      </c>
      <c r="BY117" s="13">
        <f>IF('Données projet'!$A$114&gt;35,BY116+BX117-CG116,IF(A117&lt;'Données projet'!$A$114,$BV$205^A117,IF(A117='Données projet'!$A$114,'Données projet'!$B$114,BY116+BX117-CG116)))</f>
        <v>339.18803418803435</v>
      </c>
      <c r="BZ117" s="14">
        <f>BY117*VLOOKUP('Données projet'!$B$12,Paramètres!$A$1:$I$89,3,0)*VLOOKUP('Données projet'!$B$12,Paramètres!$A$1:$I$89,5,0)</f>
        <v>354.51933333333352</v>
      </c>
      <c r="CA117" s="14">
        <f t="shared" si="93"/>
        <v>82.492392914931941</v>
      </c>
      <c r="CB117" s="22">
        <f t="shared" si="64"/>
        <v>761.12875654906236</v>
      </c>
      <c r="CC117" s="62">
        <f t="shared" si="65"/>
        <v>1054.4620898823957</v>
      </c>
      <c r="CD117" s="62">
        <f ca="1">AVERAGE(OFFSET($CC$3,0,0,'Données projet'!$E$12+1,1))-AVERAGE(OFFSET($H$3,0,0,'Données projet'!$E$12+1,1))</f>
        <v>490.26236605482961</v>
      </c>
      <c r="CE117" s="62">
        <f t="shared" si="94"/>
        <v>283.40133947156238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4.9658410716801891E-14</v>
      </c>
      <c r="CV117" s="14">
        <f t="shared" si="95"/>
        <v>8.0934058173791862E-13</v>
      </c>
      <c r="CW117" s="22">
        <f t="shared" si="67"/>
        <v>1.4960899118586383E-12</v>
      </c>
      <c r="CX117" s="62">
        <f t="shared" si="68"/>
        <v>293.33333333333479</v>
      </c>
      <c r="CY117" s="62">
        <f ca="1">AVERAGE(OFFSET($CX$3,0,0,'Données projet'!$E$13+1,1))-AVERAGE(OFFSET($H$3,0,0,'Données projet'!$E$13+1,1))</f>
        <v>315.3516976788701</v>
      </c>
      <c r="CZ117" s="62">
        <f t="shared" si="96"/>
        <v>266.32508105927997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302.25311999999951</v>
      </c>
      <c r="EL117" s="14">
        <f t="shared" si="99"/>
        <v>71.648598083211283</v>
      </c>
      <c r="EM117" s="22">
        <f t="shared" si="73"/>
        <v>651.21215899492529</v>
      </c>
      <c r="EN117" s="62">
        <f t="shared" si="74"/>
        <v>944.54549232825866</v>
      </c>
      <c r="EO117" s="62">
        <f ca="1">AVERAGE(OFFSET($EN$3,0,0,'Données projet'!$E$15+1,1))-AVERAGE(OFFSET($H$3,0,0,'Données projet'!$E$15+1,1))</f>
        <v>502.07782026233912</v>
      </c>
      <c r="EP117" s="62">
        <f t="shared" si="100"/>
        <v>285.83623046025156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2.8846153846153841</v>
      </c>
      <c r="FE117" s="13">
        <f>IF('Données projet'!$A$218&gt;35,FE116+FD117-FM116,IF(A117&lt;'Données projet'!$A$218,$FB$205^A117,IF(A117='Données projet'!$A$218,'Données projet'!$B$218,FE116+FD117-FM116)))</f>
        <v>242.30769230769215</v>
      </c>
      <c r="FF117" s="18">
        <f>FE117*VLOOKUP('Données projet'!$B$16,Paramètres!$A$1:$I$89,3,0)*VLOOKUP('Données projet'!$B$16,Paramètres!$A$1:$I$89,5,0)</f>
        <v>230.57999999999984</v>
      </c>
      <c r="FG117" s="14">
        <f t="shared" si="101"/>
        <v>56.408072703031252</v>
      </c>
      <c r="FH117" s="22">
        <f t="shared" si="76"/>
        <v>499.83755995777909</v>
      </c>
      <c r="FI117" s="62">
        <f t="shared" si="77"/>
        <v>793.17089329111241</v>
      </c>
      <c r="FJ117" s="62">
        <f ca="1">AVERAGE(OFFSET($FI$3,0,0,'Données projet'!$E$16+1,1))-AVERAGE(OFFSET($H$3,0,0,'Données projet'!$E$16+1,1))</f>
        <v>365.5904647357433</v>
      </c>
      <c r="FK117" s="62">
        <f t="shared" si="102"/>
        <v>256.56280810580841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-1.1368683772161603E-13</v>
      </c>
      <c r="GA117" s="18">
        <f>FZ117*VLOOKUP('Données projet'!$B$17,Paramètres!$A$1:$I$89,3,0)*VLOOKUP('Données projet'!$B$17,Paramètres!$A$1:$I$89,5,0)</f>
        <v>-9.2222762759774927E-14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256.19915261735281</v>
      </c>
      <c r="GF117" s="62">
        <f t="shared" si="104"/>
        <v>297.47246687305056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7.0935897435897362</v>
      </c>
      <c r="GU117" s="13">
        <f>IF('Données projet'!$A$270&gt;35,GU116+GT117-HC116,IF(A117&lt;'Données projet'!$A$270,$GR$205^A117,IF(A117='Données projet'!$A$270,'Données projet'!$B$270,GU116+GT117-HC116)))</f>
        <v>368.01410256410259</v>
      </c>
      <c r="GV117" s="18">
        <f>GU117*VLOOKUP('Données projet'!$B$18,Paramètres!$A$1:$I$89,3,0)*VLOOKUP('Données projet'!$B$18,Paramètres!$A$1:$I$89,5,0)</f>
        <v>172.23060000000001</v>
      </c>
      <c r="GW117" s="14">
        <f t="shared" si="105"/>
        <v>43.58922412730584</v>
      </c>
      <c r="GX117" s="22">
        <f t="shared" si="82"/>
        <v>375.88619368839096</v>
      </c>
      <c r="GY117" s="62">
        <f t="shared" si="83"/>
        <v>669.21952702172428</v>
      </c>
      <c r="GZ117" s="62">
        <f ca="1">AVERAGE(OFFSET($GY$3,0,0,'Données projet'!$E$18+1,1))-AVERAGE(OFFSET($H$3,0,0,'Données projet'!$E$18+1,1))</f>
        <v>284.704043530756</v>
      </c>
      <c r="HA117" s="62">
        <f t="shared" si="106"/>
        <v>190.4880882944471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2">
        <f t="shared" si="55"/>
        <v>849.94695502425111</v>
      </c>
      <c r="S118" s="62">
        <f ca="1">AVERAGE(OFFSET($R$3,0,0,'Données projet'!$E$9+1,1))-AVERAGE(OFFSET($H$3,0,0,'Données projet'!$E$9+1,1))</f>
        <v>428.8489304403459</v>
      </c>
      <c r="T118" s="62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274.66236526869056</v>
      </c>
      <c r="AO118" s="62">
        <f t="shared" si="90"/>
        <v>256.90876395053073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288.48299999999955</v>
      </c>
      <c r="BF118" s="14">
        <f t="shared" si="91"/>
        <v>68.756584730508635</v>
      </c>
      <c r="BG118" s="22">
        <f t="shared" si="61"/>
        <v>622.19227673896842</v>
      </c>
      <c r="BH118" s="62">
        <f t="shared" si="62"/>
        <v>915.52561007230179</v>
      </c>
      <c r="BI118" s="62">
        <f ca="1">AVERAGE(OFFSET($BH$3,0,0,'Données projet'!$E$11+1,1))-AVERAGE(OFFSET($H$3,0,0,'Données projet'!$E$11+1,1))</f>
        <v>475.47920969424894</v>
      </c>
      <c r="BJ118" s="62">
        <f t="shared" si="92"/>
        <v>271.73544012419364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346.15384615384613</v>
      </c>
      <c r="BW118" s="13">
        <f>VLOOKUP(A118,'Données projet'!$A$113:$I$133,9,0)</f>
        <v>3.1196581196581179</v>
      </c>
      <c r="BX118" s="13">
        <f t="array" ref="BX118">INDEX(BW:BW,MIN(IF(ISNUMBER(BW118:BW314),ROW(BW118:BW314),"")))</f>
        <v>3.1196581196581179</v>
      </c>
      <c r="BY118" s="13">
        <f>IF('Données projet'!$A$114&gt;35,BY117+BX118-CG117,IF(A118&lt;'Données projet'!$A$114,$BV$205^A118,IF(A118='Données projet'!$A$114,'Données projet'!$B$114,BY117+BX118-CG117)))</f>
        <v>342.30769230769249</v>
      </c>
      <c r="BZ118" s="14">
        <f>BY118*VLOOKUP('Données projet'!$B$12,Paramètres!$A$1:$I$89,3,0)*VLOOKUP('Données projet'!$B$12,Paramètres!$A$1:$I$89,5,0)</f>
        <v>357.7800000000002</v>
      </c>
      <c r="CA118" s="14">
        <f t="shared" si="93"/>
        <v>83.162438492372715</v>
      </c>
      <c r="CB118" s="22">
        <f t="shared" si="64"/>
        <v>767.97474704088279</v>
      </c>
      <c r="CC118" s="62">
        <f t="shared" si="65"/>
        <v>1061.3080803742162</v>
      </c>
      <c r="CD118" s="62">
        <f ca="1">AVERAGE(OFFSET($CC$3,0,0,'Données projet'!$E$12+1,1))-AVERAGE(OFFSET($H$3,0,0,'Données projet'!$E$12+1,1))</f>
        <v>490.26236605482961</v>
      </c>
      <c r="CE118" s="62">
        <f t="shared" si="94"/>
        <v>283.40133947156238</v>
      </c>
      <c r="CF118" s="16">
        <f>IF(ISNA(VLOOKUP(A118,'Données projet'!$A$113:$I$133,3,0)),0,VLOOKUP(A118,'Données projet'!$A$113:$I$133,3,0))</f>
        <v>9</v>
      </c>
      <c r="CG118" s="16">
        <f>IF(ISNA(VLOOKUP(A118,'Données projet'!$A$113:$I$133,4,0)),0,VLOOKUP(A118,'Données projet'!$A$113:$I$133,4,0))</f>
        <v>38.46153846153846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4.9658410716801891E-14</v>
      </c>
      <c r="CV118" s="14">
        <f t="shared" si="95"/>
        <v>8.0934058173791862E-13</v>
      </c>
      <c r="CW118" s="22">
        <f t="shared" si="67"/>
        <v>1.4960899118586383E-12</v>
      </c>
      <c r="CX118" s="62">
        <f t="shared" si="68"/>
        <v>293.33333333333479</v>
      </c>
      <c r="CY118" s="62">
        <f ca="1">AVERAGE(OFFSET($CX$3,0,0,'Données projet'!$E$13+1,1))-AVERAGE(OFFSET($H$3,0,0,'Données projet'!$E$13+1,1))</f>
        <v>315.3516976788701</v>
      </c>
      <c r="CZ118" s="62">
        <f t="shared" si="96"/>
        <v>266.32508105927997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306.23579999999947</v>
      </c>
      <c r="EL118" s="14">
        <f t="shared" si="99"/>
        <v>72.482157320026886</v>
      </c>
      <c r="EM118" s="22">
        <f t="shared" si="73"/>
        <v>659.6004423323792</v>
      </c>
      <c r="EN118" s="62">
        <f t="shared" si="74"/>
        <v>952.93377566571257</v>
      </c>
      <c r="EO118" s="62">
        <f ca="1">AVERAGE(OFFSET($EN$3,0,0,'Données projet'!$E$15+1,1))-AVERAGE(OFFSET($H$3,0,0,'Données projet'!$E$15+1,1))</f>
        <v>502.07782026233912</v>
      </c>
      <c r="EP118" s="62">
        <f t="shared" si="100"/>
        <v>285.83623046025156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2.8846153846153841</v>
      </c>
      <c r="FE118" s="13">
        <f>IF('Données projet'!$A$218&gt;35,FE117+FD118-FM117,IF(A118&lt;'Données projet'!$A$218,$FB$205^A118,IF(A118='Données projet'!$A$218,'Données projet'!$B$218,FE117+FD118-FM117)))</f>
        <v>245.19230769230754</v>
      </c>
      <c r="FF118" s="18">
        <f>FE118*VLOOKUP('Données projet'!$B$16,Paramètres!$A$1:$I$89,3,0)*VLOOKUP('Données projet'!$B$16,Paramètres!$A$1:$I$89,5,0)</f>
        <v>233.32499999999985</v>
      </c>
      <c r="FG118" s="14">
        <f t="shared" si="101"/>
        <v>57.001022602640177</v>
      </c>
      <c r="FH118" s="22">
        <f t="shared" si="76"/>
        <v>505.65115603293134</v>
      </c>
      <c r="FI118" s="62">
        <f t="shared" si="77"/>
        <v>798.9844893662646</v>
      </c>
      <c r="FJ118" s="62">
        <f ca="1">AVERAGE(OFFSET($FI$3,0,0,'Données projet'!$E$16+1,1))-AVERAGE(OFFSET($H$3,0,0,'Données projet'!$E$16+1,1))</f>
        <v>365.5904647357433</v>
      </c>
      <c r="FK118" s="62">
        <f t="shared" si="102"/>
        <v>256.56280810580841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-1.1368683772161603E-13</v>
      </c>
      <c r="GA118" s="18">
        <f>FZ118*VLOOKUP('Données projet'!$B$17,Paramètres!$A$1:$I$89,3,0)*VLOOKUP('Données projet'!$B$17,Paramètres!$A$1:$I$89,5,0)</f>
        <v>-9.2222762759774927E-14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256.19915261735281</v>
      </c>
      <c r="GF118" s="62">
        <f t="shared" si="104"/>
        <v>297.47246687305056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>
        <f>VLOOKUP(A118,'Données projet'!$A$269:$I$289,2,0)</f>
        <v>375.10769230769228</v>
      </c>
      <c r="GS118" s="13">
        <f>VLOOKUP(A118,'Données projet'!$A$269:$I$289,9,0)</f>
        <v>7.0935897435897362</v>
      </c>
      <c r="GT118" s="13">
        <f t="array" ref="GT118">INDEX(GS:GS,MIN(IF(ISNUMBER(GS118:GS314),ROW(GS118:GS314),"")))</f>
        <v>7.0935897435897362</v>
      </c>
      <c r="GU118" s="13">
        <f>IF('Données projet'!$A$270&gt;35,GU117+GT118-HC117,IF(A118&lt;'Données projet'!$A$270,$GR$205^A118,IF(A118='Données projet'!$A$270,'Données projet'!$B$270,GU117+GT118-HC117)))</f>
        <v>375.10769230769233</v>
      </c>
      <c r="GV118" s="18">
        <f>GU118*VLOOKUP('Données projet'!$B$18,Paramètres!$A$1:$I$89,3,0)*VLOOKUP('Données projet'!$B$18,Paramètres!$A$1:$I$89,5,0)</f>
        <v>175.55040000000002</v>
      </c>
      <c r="GW118" s="14">
        <f t="shared" si="105"/>
        <v>44.330794618843079</v>
      </c>
      <c r="GX118" s="22">
        <f t="shared" si="82"/>
        <v>382.95974729448511</v>
      </c>
      <c r="GY118" s="62">
        <f t="shared" si="83"/>
        <v>676.29308062781843</v>
      </c>
      <c r="GZ118" s="62">
        <f ca="1">AVERAGE(OFFSET($GY$3,0,0,'Données projet'!$E$18+1,1))-AVERAGE(OFFSET($H$3,0,0,'Données projet'!$E$18+1,1))</f>
        <v>284.704043530756</v>
      </c>
      <c r="HA118" s="62">
        <f t="shared" si="106"/>
        <v>190.4880882944471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2">
        <f t="shared" si="55"/>
        <v>857.02101155317155</v>
      </c>
      <c r="S119" s="62">
        <f ca="1">AVERAGE(OFFSET($R$3,0,0,'Données projet'!$E$9+1,1))-AVERAGE(OFFSET($H$3,0,0,'Données projet'!$E$9+1,1))</f>
        <v>428.8489304403459</v>
      </c>
      <c r="T119" s="62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274.66236526869056</v>
      </c>
      <c r="AO119" s="62">
        <f t="shared" si="90"/>
        <v>256.90876395053073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292.23479999999955</v>
      </c>
      <c r="BF119" s="14">
        <f t="shared" si="91"/>
        <v>69.546103016553644</v>
      </c>
      <c r="BG119" s="22">
        <f t="shared" si="61"/>
        <v>630.10173942049676</v>
      </c>
      <c r="BH119" s="62">
        <f t="shared" si="62"/>
        <v>923.43507275383013</v>
      </c>
      <c r="BI119" s="62">
        <f ca="1">AVERAGE(OFFSET($BH$3,0,0,'Données projet'!$E$11+1,1))-AVERAGE(OFFSET($H$3,0,0,'Données projet'!$E$11+1,1))</f>
        <v>475.47920969424894</v>
      </c>
      <c r="BJ119" s="62">
        <f t="shared" si="92"/>
        <v>271.73544012419364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2.6923076923076907</v>
      </c>
      <c r="BY119" s="13">
        <f>IF('Données projet'!$A$114&gt;35,BY118+BX119-CG118,IF(A119&lt;'Données projet'!$A$114,$BV$205^A119,IF(A119='Données projet'!$A$114,'Données projet'!$B$114,BY118+BX119-CG118)))</f>
        <v>306.53846153846172</v>
      </c>
      <c r="BZ119" s="14">
        <f>BY119*VLOOKUP('Données projet'!$B$12,Paramètres!$A$1:$I$89,3,0)*VLOOKUP('Données projet'!$B$12,Paramètres!$A$1:$I$89,5,0)</f>
        <v>320.39400000000023</v>
      </c>
      <c r="CA119" s="14">
        <f t="shared" si="93"/>
        <v>75.435327153414235</v>
      </c>
      <c r="CB119" s="22">
        <f t="shared" si="64"/>
        <v>689.40274479219681</v>
      </c>
      <c r="CC119" s="62">
        <f t="shared" si="65"/>
        <v>982.73607812553018</v>
      </c>
      <c r="CD119" s="62">
        <f ca="1">AVERAGE(OFFSET($CC$3,0,0,'Données projet'!$E$12+1,1))-AVERAGE(OFFSET($H$3,0,0,'Données projet'!$E$12+1,1))</f>
        <v>490.26236605482961</v>
      </c>
      <c r="CE119" s="62">
        <f t="shared" si="94"/>
        <v>283.40133947156238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4.9658410716801891E-14</v>
      </c>
      <c r="CV119" s="14">
        <f t="shared" si="95"/>
        <v>8.0934058173791862E-13</v>
      </c>
      <c r="CW119" s="22">
        <f t="shared" si="67"/>
        <v>1.4960899118586383E-12</v>
      </c>
      <c r="CX119" s="62">
        <f t="shared" si="68"/>
        <v>293.33333333333479</v>
      </c>
      <c r="CY119" s="62">
        <f ca="1">AVERAGE(OFFSET($CX$3,0,0,'Données projet'!$E$13+1,1))-AVERAGE(OFFSET($H$3,0,0,'Données projet'!$E$13+1,1))</f>
        <v>315.3516976788701</v>
      </c>
      <c r="CZ119" s="62">
        <f t="shared" si="96"/>
        <v>266.32508105927997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310.21847999999949</v>
      </c>
      <c r="EL119" s="14">
        <f t="shared" si="99"/>
        <v>73.314455620479848</v>
      </c>
      <c r="EM119" s="22">
        <f t="shared" si="73"/>
        <v>667.98652953900148</v>
      </c>
      <c r="EN119" s="62">
        <f t="shared" si="74"/>
        <v>961.31986287233485</v>
      </c>
      <c r="EO119" s="62">
        <f ca="1">AVERAGE(OFFSET($EN$3,0,0,'Données projet'!$E$15+1,1))-AVERAGE(OFFSET($H$3,0,0,'Données projet'!$E$15+1,1))</f>
        <v>502.07782026233912</v>
      </c>
      <c r="EP119" s="62">
        <f t="shared" si="100"/>
        <v>285.83623046025156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2.8846153846153841</v>
      </c>
      <c r="FE119" s="13">
        <f>IF('Données projet'!$A$218&gt;35,FE118+FD119-FM118,IF(A119&lt;'Données projet'!$A$218,$FB$205^A119,IF(A119='Données projet'!$A$218,'Données projet'!$B$218,FE118+FD119-FM118)))</f>
        <v>248.07692307692292</v>
      </c>
      <c r="FF119" s="18">
        <f>FE119*VLOOKUP('Données projet'!$B$16,Paramètres!$A$1:$I$89,3,0)*VLOOKUP('Données projet'!$B$16,Paramètres!$A$1:$I$89,5,0)</f>
        <v>236.06999999999985</v>
      </c>
      <c r="FG119" s="14">
        <f t="shared" si="101"/>
        <v>57.593161045607779</v>
      </c>
      <c r="FH119" s="22">
        <f t="shared" si="76"/>
        <v>511.46333882109985</v>
      </c>
      <c r="FI119" s="62">
        <f t="shared" si="77"/>
        <v>804.79667215443317</v>
      </c>
      <c r="FJ119" s="62">
        <f ca="1">AVERAGE(OFFSET($FI$3,0,0,'Données projet'!$E$16+1,1))-AVERAGE(OFFSET($H$3,0,0,'Données projet'!$E$16+1,1))</f>
        <v>365.5904647357433</v>
      </c>
      <c r="FK119" s="62">
        <f t="shared" si="102"/>
        <v>256.56280810580841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-1.1368683772161603E-13</v>
      </c>
      <c r="GA119" s="18">
        <f>FZ119*VLOOKUP('Données projet'!$B$17,Paramètres!$A$1:$I$89,3,0)*VLOOKUP('Données projet'!$B$17,Paramètres!$A$1:$I$89,5,0)</f>
        <v>-9.2222762759774927E-14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256.19915261735281</v>
      </c>
      <c r="GF119" s="62">
        <f t="shared" si="104"/>
        <v>297.47246687305056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7.083333333333333</v>
      </c>
      <c r="GU119" s="13">
        <f>IF('Données projet'!$A$270&gt;35,GU118+GT119-HC118,IF(A119&lt;'Données projet'!$A$270,$GR$205^A119,IF(A119='Données projet'!$A$270,'Données projet'!$B$270,GU118+GT119-HC118)))</f>
        <v>382.19102564102565</v>
      </c>
      <c r="GV119" s="18">
        <f>GU119*VLOOKUP('Données projet'!$B$18,Paramètres!$A$1:$I$89,3,0)*VLOOKUP('Données projet'!$B$18,Paramètres!$A$1:$I$89,5,0)</f>
        <v>178.86539999999999</v>
      </c>
      <c r="GW119" s="14">
        <f t="shared" si="105"/>
        <v>45.069665748308438</v>
      </c>
      <c r="GX119" s="22">
        <f t="shared" si="82"/>
        <v>390.02023951163716</v>
      </c>
      <c r="GY119" s="62">
        <f t="shared" si="83"/>
        <v>683.35357284497047</v>
      </c>
      <c r="GZ119" s="62">
        <f ca="1">AVERAGE(OFFSET($GY$3,0,0,'Données projet'!$E$18+1,1))-AVERAGE(OFFSET($H$3,0,0,'Données projet'!$E$18+1,1))</f>
        <v>284.704043530756</v>
      </c>
      <c r="HA119" s="62">
        <f t="shared" si="106"/>
        <v>190.4880882944471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2">
        <f t="shared" si="55"/>
        <v>864.09321134313223</v>
      </c>
      <c r="S120" s="62">
        <f ca="1">AVERAGE(OFFSET($R$3,0,0,'Données projet'!$E$9+1,1))-AVERAGE(OFFSET($H$3,0,0,'Données projet'!$E$9+1,1))</f>
        <v>428.8489304403459</v>
      </c>
      <c r="T120" s="62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274.66236526869056</v>
      </c>
      <c r="AO120" s="62">
        <f t="shared" si="90"/>
        <v>256.90876395053073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295.98659999999956</v>
      </c>
      <c r="BF120" s="14">
        <f t="shared" si="91"/>
        <v>70.334442310004661</v>
      </c>
      <c r="BG120" s="22">
        <f t="shared" si="61"/>
        <v>638.00914868992402</v>
      </c>
      <c r="BH120" s="62">
        <f t="shared" si="62"/>
        <v>931.34248202325739</v>
      </c>
      <c r="BI120" s="62">
        <f ca="1">AVERAGE(OFFSET($BH$3,0,0,'Données projet'!$E$11+1,1))-AVERAGE(OFFSET($H$3,0,0,'Données projet'!$E$11+1,1))</f>
        <v>475.47920969424894</v>
      </c>
      <c r="BJ120" s="62">
        <f t="shared" si="92"/>
        <v>271.73544012419364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2.6923076923076907</v>
      </c>
      <c r="BY120" s="13">
        <f>IF('Données projet'!$A$114&gt;35,BY119+BX120-CG119,IF(A120&lt;'Données projet'!$A$114,$BV$205^A120,IF(A120='Données projet'!$A$114,'Données projet'!$B$114,BY119+BX120-CG119)))</f>
        <v>309.2307692307694</v>
      </c>
      <c r="BZ120" s="14">
        <f>BY120*VLOOKUP('Données projet'!$B$12,Paramètres!$A$1:$I$89,3,0)*VLOOKUP('Données projet'!$B$12,Paramètres!$A$1:$I$89,5,0)</f>
        <v>323.2080000000002</v>
      </c>
      <c r="CA120" s="14">
        <f t="shared" si="93"/>
        <v>76.020452448104365</v>
      </c>
      <c r="CB120" s="22">
        <f t="shared" si="64"/>
        <v>695.32288801378218</v>
      </c>
      <c r="CC120" s="62">
        <f t="shared" si="65"/>
        <v>988.65622134711543</v>
      </c>
      <c r="CD120" s="62">
        <f ca="1">AVERAGE(OFFSET($CC$3,0,0,'Données projet'!$E$12+1,1))-AVERAGE(OFFSET($H$3,0,0,'Données projet'!$E$12+1,1))</f>
        <v>490.26236605482961</v>
      </c>
      <c r="CE120" s="62">
        <f t="shared" si="94"/>
        <v>283.40133947156238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4.9658410716801891E-14</v>
      </c>
      <c r="CV120" s="14">
        <f t="shared" si="95"/>
        <v>8.0934058173791862E-13</v>
      </c>
      <c r="CW120" s="22">
        <f t="shared" si="67"/>
        <v>1.4960899118586383E-12</v>
      </c>
      <c r="CX120" s="62">
        <f t="shared" si="68"/>
        <v>293.33333333333479</v>
      </c>
      <c r="CY120" s="62">
        <f ca="1">AVERAGE(OFFSET($CX$3,0,0,'Données projet'!$E$13+1,1))-AVERAGE(OFFSET($H$3,0,0,'Données projet'!$E$13+1,1))</f>
        <v>315.3516976788701</v>
      </c>
      <c r="CZ120" s="62">
        <f t="shared" si="96"/>
        <v>266.32508105927997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314.2011599999995</v>
      </c>
      <c r="EL120" s="14">
        <f t="shared" si="99"/>
        <v>74.145511044675771</v>
      </c>
      <c r="EM120" s="22">
        <f t="shared" si="73"/>
        <v>676.37045206947607</v>
      </c>
      <c r="EN120" s="62">
        <f t="shared" si="74"/>
        <v>969.70378540280944</v>
      </c>
      <c r="EO120" s="62">
        <f ca="1">AVERAGE(OFFSET($EN$3,0,0,'Données projet'!$E$15+1,1))-AVERAGE(OFFSET($H$3,0,0,'Données projet'!$E$15+1,1))</f>
        <v>502.07782026233912</v>
      </c>
      <c r="EP120" s="62">
        <f t="shared" si="100"/>
        <v>285.83623046025156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2.8846153846153841</v>
      </c>
      <c r="FE120" s="13">
        <f>IF('Données projet'!$A$218&gt;35,FE119+FD120-FM119,IF(A120&lt;'Données projet'!$A$218,$FB$205^A120,IF(A120='Données projet'!$A$218,'Données projet'!$B$218,FE119+FD120-FM119)))</f>
        <v>250.96153846153831</v>
      </c>
      <c r="FF120" s="18">
        <f>FE120*VLOOKUP('Données projet'!$B$16,Paramètres!$A$1:$I$89,3,0)*VLOOKUP('Données projet'!$B$16,Paramètres!$A$1:$I$89,5,0)</f>
        <v>238.81499999999986</v>
      </c>
      <c r="FG120" s="14">
        <f t="shared" si="101"/>
        <v>58.184498559125039</v>
      </c>
      <c r="FH120" s="22">
        <f t="shared" si="76"/>
        <v>517.27412665714246</v>
      </c>
      <c r="FI120" s="62">
        <f t="shared" si="77"/>
        <v>810.60745999047572</v>
      </c>
      <c r="FJ120" s="62">
        <f ca="1">AVERAGE(OFFSET($FI$3,0,0,'Données projet'!$E$16+1,1))-AVERAGE(OFFSET($H$3,0,0,'Données projet'!$E$16+1,1))</f>
        <v>365.5904647357433</v>
      </c>
      <c r="FK120" s="62">
        <f t="shared" si="102"/>
        <v>256.56280810580841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-1.1368683772161603E-13</v>
      </c>
      <c r="GA120" s="18">
        <f>FZ120*VLOOKUP('Données projet'!$B$17,Paramètres!$A$1:$I$89,3,0)*VLOOKUP('Données projet'!$B$17,Paramètres!$A$1:$I$89,5,0)</f>
        <v>-9.2222762759774927E-14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256.19915261735281</v>
      </c>
      <c r="GF120" s="62">
        <f t="shared" si="104"/>
        <v>297.47246687305056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7.083333333333333</v>
      </c>
      <c r="GU120" s="13">
        <f>IF('Données projet'!$A$270&gt;35,GU119+GT120-HC119,IF(A120&lt;'Données projet'!$A$270,$GR$205^A120,IF(A120='Données projet'!$A$270,'Données projet'!$B$270,GU119+GT120-HC119)))</f>
        <v>389.27435897435896</v>
      </c>
      <c r="GV120" s="18">
        <f>GU120*VLOOKUP('Données projet'!$B$18,Paramètres!$A$1:$I$89,3,0)*VLOOKUP('Données projet'!$B$18,Paramètres!$A$1:$I$89,5,0)</f>
        <v>182.18039999999999</v>
      </c>
      <c r="GW120" s="14">
        <f t="shared" si="105"/>
        <v>45.806944534163691</v>
      </c>
      <c r="GX120" s="22">
        <f t="shared" si="82"/>
        <v>397.07795839700174</v>
      </c>
      <c r="GY120" s="62">
        <f t="shared" si="83"/>
        <v>690.41129173033505</v>
      </c>
      <c r="GZ120" s="62">
        <f ca="1">AVERAGE(OFFSET($GY$3,0,0,'Données projet'!$E$18+1,1))-AVERAGE(OFFSET($H$3,0,0,'Données projet'!$E$18+1,1))</f>
        <v>284.704043530756</v>
      </c>
      <c r="HA120" s="62">
        <f t="shared" si="106"/>
        <v>190.4880882944471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2">
        <f t="shared" si="55"/>
        <v>871.16358065090617</v>
      </c>
      <c r="S121" s="62">
        <f ca="1">AVERAGE(OFFSET($R$3,0,0,'Données projet'!$E$9+1,1))-AVERAGE(OFFSET($H$3,0,0,'Données projet'!$E$9+1,1))</f>
        <v>428.8489304403459</v>
      </c>
      <c r="T121" s="62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274.66236526869056</v>
      </c>
      <c r="AO121" s="62">
        <f t="shared" si="90"/>
        <v>256.90876395053073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299.73839999999956</v>
      </c>
      <c r="BF121" s="14">
        <f t="shared" si="91"/>
        <v>71.121619283394352</v>
      </c>
      <c r="BG121" s="22">
        <f t="shared" si="61"/>
        <v>645.91453358524438</v>
      </c>
      <c r="BH121" s="62">
        <f t="shared" si="62"/>
        <v>939.24786691857776</v>
      </c>
      <c r="BI121" s="62">
        <f ca="1">AVERAGE(OFFSET($BH$3,0,0,'Données projet'!$E$11+1,1))-AVERAGE(OFFSET($H$3,0,0,'Données projet'!$E$11+1,1))</f>
        <v>475.47920969424894</v>
      </c>
      <c r="BJ121" s="62">
        <f t="shared" si="92"/>
        <v>271.73544012419364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2.6923076923076907</v>
      </c>
      <c r="BY121" s="13">
        <f>IF('Données projet'!$A$114&gt;35,BY120+BX121-CG120,IF(A121&lt;'Données projet'!$A$114,$BV$205^A121,IF(A121='Données projet'!$A$114,'Données projet'!$B$114,BY120+BX121-CG120)))</f>
        <v>311.92307692307708</v>
      </c>
      <c r="BZ121" s="14">
        <f>BY121*VLOOKUP('Données projet'!$B$12,Paramètres!$A$1:$I$89,3,0)*VLOOKUP('Données projet'!$B$12,Paramètres!$A$1:$I$89,5,0)</f>
        <v>326.02200000000016</v>
      </c>
      <c r="CA121" s="14">
        <f t="shared" si="93"/>
        <v>76.604985050061757</v>
      </c>
      <c r="CB121" s="22">
        <f t="shared" si="64"/>
        <v>701.24199896219113</v>
      </c>
      <c r="CC121" s="62">
        <f t="shared" si="65"/>
        <v>994.5753322955245</v>
      </c>
      <c r="CD121" s="62">
        <f ca="1">AVERAGE(OFFSET($CC$3,0,0,'Données projet'!$E$12+1,1))-AVERAGE(OFFSET($H$3,0,0,'Données projet'!$E$12+1,1))</f>
        <v>490.26236605482961</v>
      </c>
      <c r="CE121" s="62">
        <f t="shared" si="94"/>
        <v>283.40133947156238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4.9658410716801891E-14</v>
      </c>
      <c r="CV121" s="14">
        <f t="shared" si="95"/>
        <v>8.0934058173791862E-13</v>
      </c>
      <c r="CW121" s="22">
        <f t="shared" si="67"/>
        <v>1.4960899118586383E-12</v>
      </c>
      <c r="CX121" s="62">
        <f t="shared" si="68"/>
        <v>293.33333333333479</v>
      </c>
      <c r="CY121" s="62">
        <f ca="1">AVERAGE(OFFSET($CX$3,0,0,'Données projet'!$E$13+1,1))-AVERAGE(OFFSET($H$3,0,0,'Données projet'!$E$13+1,1))</f>
        <v>315.3516976788701</v>
      </c>
      <c r="CZ121" s="62">
        <f t="shared" si="96"/>
        <v>266.32508105927997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318.18383999999946</v>
      </c>
      <c r="EL121" s="14">
        <f t="shared" si="99"/>
        <v>74.975341168547786</v>
      </c>
      <c r="EM121" s="22">
        <f t="shared" si="73"/>
        <v>684.75224053521981</v>
      </c>
      <c r="EN121" s="62">
        <f t="shared" si="74"/>
        <v>978.08557386855318</v>
      </c>
      <c r="EO121" s="62">
        <f ca="1">AVERAGE(OFFSET($EN$3,0,0,'Données projet'!$E$15+1,1))-AVERAGE(OFFSET($H$3,0,0,'Données projet'!$E$15+1,1))</f>
        <v>502.07782026233912</v>
      </c>
      <c r="EP121" s="62">
        <f t="shared" si="100"/>
        <v>285.83623046025156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2.8846153846153841</v>
      </c>
      <c r="FE121" s="13">
        <f>IF('Données projet'!$A$218&gt;35,FE120+FD121-FM120,IF(A121&lt;'Données projet'!$A$218,$FB$205^A121,IF(A121='Données projet'!$A$218,'Données projet'!$B$218,FE120+FD121-FM120)))</f>
        <v>253.8461538461537</v>
      </c>
      <c r="FF121" s="18">
        <f>FE121*VLOOKUP('Données projet'!$B$16,Paramètres!$A$1:$I$89,3,0)*VLOOKUP('Données projet'!$B$16,Paramètres!$A$1:$I$89,5,0)</f>
        <v>241.55999999999986</v>
      </c>
      <c r="FG121" s="14">
        <f t="shared" si="101"/>
        <v>58.775045414448314</v>
      </c>
      <c r="FH121" s="22">
        <f t="shared" si="76"/>
        <v>523.08353743016391</v>
      </c>
      <c r="FI121" s="62">
        <f t="shared" si="77"/>
        <v>816.41687076349717</v>
      </c>
      <c r="FJ121" s="62">
        <f ca="1">AVERAGE(OFFSET($FI$3,0,0,'Données projet'!$E$16+1,1))-AVERAGE(OFFSET($H$3,0,0,'Données projet'!$E$16+1,1))</f>
        <v>365.5904647357433</v>
      </c>
      <c r="FK121" s="62">
        <f t="shared" si="102"/>
        <v>256.56280810580841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-1.1368683772161603E-13</v>
      </c>
      <c r="GA121" s="18">
        <f>FZ121*VLOOKUP('Données projet'!$B$17,Paramètres!$A$1:$I$89,3,0)*VLOOKUP('Données projet'!$B$17,Paramètres!$A$1:$I$89,5,0)</f>
        <v>-9.2222762759774927E-14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256.19915261735281</v>
      </c>
      <c r="GF121" s="62">
        <f t="shared" si="104"/>
        <v>297.47246687305056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7.083333333333333</v>
      </c>
      <c r="GU121" s="13">
        <f>IF('Données projet'!$A$270&gt;35,GU120+GT121-HC120,IF(A121&lt;'Données projet'!$A$270,$GR$205^A121,IF(A121='Données projet'!$A$270,'Données projet'!$B$270,GU120+GT121-HC120)))</f>
        <v>396.35769230769228</v>
      </c>
      <c r="GV121" s="18">
        <f>GU121*VLOOKUP('Données projet'!$B$18,Paramètres!$A$1:$I$89,3,0)*VLOOKUP('Données projet'!$B$18,Paramètres!$A$1:$I$89,5,0)</f>
        <v>185.49539999999999</v>
      </c>
      <c r="GW121" s="14">
        <f t="shared" si="105"/>
        <v>46.542663293107267</v>
      </c>
      <c r="GX121" s="22">
        <f t="shared" si="82"/>
        <v>404.13296023549515</v>
      </c>
      <c r="GY121" s="62">
        <f t="shared" si="83"/>
        <v>697.46629356882841</v>
      </c>
      <c r="GZ121" s="62">
        <f ca="1">AVERAGE(OFFSET($GY$3,0,0,'Données projet'!$E$18+1,1))-AVERAGE(OFFSET($H$3,0,0,'Données projet'!$E$18+1,1))</f>
        <v>284.704043530756</v>
      </c>
      <c r="HA121" s="62">
        <f t="shared" si="106"/>
        <v>190.4880882944471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2">
        <f t="shared" si="55"/>
        <v>878.23214503815643</v>
      </c>
      <c r="S122" s="62">
        <f ca="1">AVERAGE(OFFSET($R$3,0,0,'Données projet'!$E$9+1,1))-AVERAGE(OFFSET($H$3,0,0,'Données projet'!$E$9+1,1))</f>
        <v>428.8489304403459</v>
      </c>
      <c r="T122" s="62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274.66236526869056</v>
      </c>
      <c r="AO122" s="62">
        <f t="shared" si="90"/>
        <v>256.90876395053073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303.4901999999995</v>
      </c>
      <c r="BF122" s="14">
        <f t="shared" si="91"/>
        <v>71.907650167874138</v>
      </c>
      <c r="BG122" s="22">
        <f t="shared" si="61"/>
        <v>653.81792237571324</v>
      </c>
      <c r="BH122" s="62">
        <f t="shared" si="62"/>
        <v>947.15125570904661</v>
      </c>
      <c r="BI122" s="62">
        <f ca="1">AVERAGE(OFFSET($BH$3,0,0,'Données projet'!$E$11+1,1))-AVERAGE(OFFSET($H$3,0,0,'Données projet'!$E$11+1,1))</f>
        <v>475.47920969424894</v>
      </c>
      <c r="BJ122" s="62">
        <f t="shared" si="92"/>
        <v>271.73544012419364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2.6923076923076907</v>
      </c>
      <c r="BY122" s="13">
        <f>IF('Données projet'!$A$114&gt;35,BY121+BX122-CG121,IF(A122&lt;'Données projet'!$A$114,$BV$205^A122,IF(A122='Données projet'!$A$114,'Données projet'!$B$114,BY121+BX122-CG121)))</f>
        <v>314.61538461538476</v>
      </c>
      <c r="BZ122" s="14">
        <f>BY122*VLOOKUP('Données projet'!$B$12,Paramètres!$A$1:$I$89,3,0)*VLOOKUP('Données projet'!$B$12,Paramètres!$A$1:$I$89,5,0)</f>
        <v>328.83600000000018</v>
      </c>
      <c r="CA122" s="14">
        <f t="shared" si="93"/>
        <v>77.188930667750896</v>
      </c>
      <c r="CB122" s="22">
        <f t="shared" si="64"/>
        <v>707.16008757966631</v>
      </c>
      <c r="CC122" s="62">
        <f t="shared" si="65"/>
        <v>1000.4934209129997</v>
      </c>
      <c r="CD122" s="62">
        <f ca="1">AVERAGE(OFFSET($CC$3,0,0,'Données projet'!$E$12+1,1))-AVERAGE(OFFSET($H$3,0,0,'Données projet'!$E$12+1,1))</f>
        <v>490.26236605482961</v>
      </c>
      <c r="CE122" s="62">
        <f t="shared" si="94"/>
        <v>283.40133947156238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4.9658410716801891E-14</v>
      </c>
      <c r="CV122" s="14">
        <f t="shared" si="95"/>
        <v>8.0934058173791862E-13</v>
      </c>
      <c r="CW122" s="22">
        <f t="shared" si="67"/>
        <v>1.4960899118586383E-12</v>
      </c>
      <c r="CX122" s="62">
        <f t="shared" si="68"/>
        <v>293.33333333333479</v>
      </c>
      <c r="CY122" s="62">
        <f ca="1">AVERAGE(OFFSET($CX$3,0,0,'Données projet'!$E$13+1,1))-AVERAGE(OFFSET($H$3,0,0,'Données projet'!$E$13+1,1))</f>
        <v>315.3516976788701</v>
      </c>
      <c r="CZ122" s="62">
        <f t="shared" si="96"/>
        <v>266.32508105927997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322.16651999999942</v>
      </c>
      <c r="EL122" s="14">
        <f t="shared" si="99"/>
        <v>75.803963102731529</v>
      </c>
      <c r="EM122" s="22">
        <f t="shared" si="73"/>
        <v>693.13192473725633</v>
      </c>
      <c r="EN122" s="62">
        <f t="shared" si="74"/>
        <v>986.4652580705897</v>
      </c>
      <c r="EO122" s="62">
        <f ca="1">AVERAGE(OFFSET($EN$3,0,0,'Données projet'!$E$15+1,1))-AVERAGE(OFFSET($H$3,0,0,'Données projet'!$E$15+1,1))</f>
        <v>502.07782026233912</v>
      </c>
      <c r="EP122" s="62">
        <f t="shared" si="100"/>
        <v>285.83623046025156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2.8846153846153841</v>
      </c>
      <c r="FE122" s="13">
        <f>IF('Données projet'!$A$218&gt;35,FE121+FD122-FM121,IF(A122&lt;'Données projet'!$A$218,$FB$205^A122,IF(A122='Données projet'!$A$218,'Données projet'!$B$218,FE121+FD122-FM121)))</f>
        <v>256.73076923076906</v>
      </c>
      <c r="FF122" s="18">
        <f>FE122*VLOOKUP('Données projet'!$B$16,Paramètres!$A$1:$I$89,3,0)*VLOOKUP('Données projet'!$B$16,Paramètres!$A$1:$I$89,5,0)</f>
        <v>244.30499999999984</v>
      </c>
      <c r="FG122" s="14">
        <f t="shared" si="101"/>
        <v>59.364811635957579</v>
      </c>
      <c r="FH122" s="22">
        <f t="shared" si="76"/>
        <v>528.8915885992925</v>
      </c>
      <c r="FI122" s="62">
        <f t="shared" si="77"/>
        <v>822.22492193262588</v>
      </c>
      <c r="FJ122" s="62">
        <f ca="1">AVERAGE(OFFSET($FI$3,0,0,'Données projet'!$E$16+1,1))-AVERAGE(OFFSET($H$3,0,0,'Données projet'!$E$16+1,1))</f>
        <v>365.5904647357433</v>
      </c>
      <c r="FK122" s="62">
        <f t="shared" si="102"/>
        <v>256.56280810580841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-1.1368683772161603E-13</v>
      </c>
      <c r="GA122" s="18">
        <f>FZ122*VLOOKUP('Données projet'!$B$17,Paramètres!$A$1:$I$89,3,0)*VLOOKUP('Données projet'!$B$17,Paramètres!$A$1:$I$89,5,0)</f>
        <v>-9.2222762759774927E-14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256.19915261735281</v>
      </c>
      <c r="GF122" s="62">
        <f t="shared" si="104"/>
        <v>297.47246687305056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7.083333333333333</v>
      </c>
      <c r="GU122" s="13">
        <f>IF('Données projet'!$A$270&gt;35,GU121+GT122-HC121,IF(A122&lt;'Données projet'!$A$270,$GR$205^A122,IF(A122='Données projet'!$A$270,'Données projet'!$B$270,GU121+GT122-HC121)))</f>
        <v>403.44102564102559</v>
      </c>
      <c r="GV122" s="18">
        <f>GU122*VLOOKUP('Données projet'!$B$18,Paramètres!$A$1:$I$89,3,0)*VLOOKUP('Données projet'!$B$18,Paramètres!$A$1:$I$89,5,0)</f>
        <v>188.81039999999999</v>
      </c>
      <c r="GW122" s="14">
        <f t="shared" si="105"/>
        <v>47.276853120620757</v>
      </c>
      <c r="GX122" s="22">
        <f t="shared" si="82"/>
        <v>411.18529918508108</v>
      </c>
      <c r="GY122" s="62">
        <f t="shared" si="83"/>
        <v>704.51863251841439</v>
      </c>
      <c r="GZ122" s="62">
        <f ca="1">AVERAGE(OFFSET($GY$3,0,0,'Données projet'!$E$18+1,1))-AVERAGE(OFFSET($H$3,0,0,'Données projet'!$E$18+1,1))</f>
        <v>284.704043530756</v>
      </c>
      <c r="HA122" s="62">
        <f t="shared" si="106"/>
        <v>190.4880882944471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2">
        <f t="shared" si="55"/>
        <v>885.29892939819752</v>
      </c>
      <c r="S123" s="62">
        <f ca="1">AVERAGE(OFFSET($R$3,0,0,'Données projet'!$E$9+1,1))-AVERAGE(OFFSET($H$3,0,0,'Données projet'!$E$9+1,1))</f>
        <v>428.8489304403459</v>
      </c>
      <c r="T123" s="62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274.66236526869056</v>
      </c>
      <c r="AO123" s="62">
        <f t="shared" si="90"/>
        <v>256.90876395053073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307.24199999999951</v>
      </c>
      <c r="BF123" s="14">
        <f t="shared" si="91"/>
        <v>72.692550770207717</v>
      </c>
      <c r="BG123" s="22">
        <f t="shared" si="61"/>
        <v>661.71934259144427</v>
      </c>
      <c r="BH123" s="62">
        <f t="shared" si="62"/>
        <v>955.05267592477753</v>
      </c>
      <c r="BI123" s="62">
        <f ca="1">AVERAGE(OFFSET($BH$3,0,0,'Données projet'!$E$11+1,1))-AVERAGE(OFFSET($H$3,0,0,'Données projet'!$E$11+1,1))</f>
        <v>475.47920969424894</v>
      </c>
      <c r="BJ123" s="62">
        <f t="shared" si="92"/>
        <v>271.73544012419364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2.6923076923076907</v>
      </c>
      <c r="BY123" s="13">
        <f>IF('Données projet'!$A$114&gt;35,BY122+BX123-CG122,IF(A123&lt;'Données projet'!$A$114,$BV$205^A123,IF(A123='Données projet'!$A$114,'Données projet'!$B$114,BY122+BX123-CG122)))</f>
        <v>317.30769230769243</v>
      </c>
      <c r="BZ123" s="14">
        <f>BY123*VLOOKUP('Données projet'!$B$12,Paramètres!$A$1:$I$89,3,0)*VLOOKUP('Données projet'!$B$12,Paramètres!$A$1:$I$89,5,0)</f>
        <v>331.6500000000002</v>
      </c>
      <c r="CA123" s="14">
        <f t="shared" si="93"/>
        <v>77.772294906297716</v>
      </c>
      <c r="CB123" s="22">
        <f t="shared" si="64"/>
        <v>713.07716362846884</v>
      </c>
      <c r="CC123" s="62">
        <f t="shared" si="65"/>
        <v>1006.4104969618022</v>
      </c>
      <c r="CD123" s="62">
        <f ca="1">AVERAGE(OFFSET($CC$3,0,0,'Données projet'!$E$12+1,1))-AVERAGE(OFFSET($H$3,0,0,'Données projet'!$E$12+1,1))</f>
        <v>490.26236605482961</v>
      </c>
      <c r="CE123" s="62">
        <f t="shared" si="94"/>
        <v>283.40133947156238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4.9658410716801891E-14</v>
      </c>
      <c r="CV123" s="14">
        <f t="shared" si="95"/>
        <v>8.0934058173791862E-13</v>
      </c>
      <c r="CW123" s="22">
        <f t="shared" si="67"/>
        <v>1.4960899118586383E-12</v>
      </c>
      <c r="CX123" s="62">
        <f t="shared" si="68"/>
        <v>293.33333333333479</v>
      </c>
      <c r="CY123" s="62">
        <f ca="1">AVERAGE(OFFSET($CX$3,0,0,'Données projet'!$E$13+1,1))-AVERAGE(OFFSET($H$3,0,0,'Données projet'!$E$13+1,1))</f>
        <v>315.3516976788701</v>
      </c>
      <c r="CZ123" s="62">
        <f t="shared" si="96"/>
        <v>266.32508105927997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326.14919999999944</v>
      </c>
      <c r="EL123" s="14">
        <f t="shared" si="99"/>
        <v>76.631393510479555</v>
      </c>
      <c r="EM123" s="22">
        <f t="shared" si="73"/>
        <v>701.50953369741762</v>
      </c>
      <c r="EN123" s="62">
        <f t="shared" si="74"/>
        <v>994.84286703075099</v>
      </c>
      <c r="EO123" s="62">
        <f ca="1">AVERAGE(OFFSET($EN$3,0,0,'Données projet'!$E$15+1,1))-AVERAGE(OFFSET($H$3,0,0,'Données projet'!$E$15+1,1))</f>
        <v>502.07782026233912</v>
      </c>
      <c r="EP123" s="62">
        <f t="shared" si="100"/>
        <v>285.83623046025156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259.61538461538458</v>
      </c>
      <c r="FC123" s="13">
        <f>VLOOKUP(A123,'Données projet'!$A$217:$I$237,9,0)</f>
        <v>2.8846153846153841</v>
      </c>
      <c r="FD123" s="13">
        <f t="array" ref="FD123">INDEX(FC:FC,MIN(IF(ISNUMBER(FC123:FC319),ROW(FC123:FC319),"")))</f>
        <v>2.8846153846153841</v>
      </c>
      <c r="FE123" s="13">
        <f>IF('Données projet'!$A$218&gt;35,FE122+FD123-FM122,IF(A123&lt;'Données projet'!$A$218,$FB$205^A123,IF(A123='Données projet'!$A$218,'Données projet'!$B$218,FE122+FD123-FM122)))</f>
        <v>259.61538461538441</v>
      </c>
      <c r="FF123" s="18">
        <f>FE123*VLOOKUP('Données projet'!$B$16,Paramètres!$A$1:$I$89,3,0)*VLOOKUP('Données projet'!$B$16,Paramètres!$A$1:$I$89,5,0)</f>
        <v>247.04999999999984</v>
      </c>
      <c r="FG123" s="14">
        <f t="shared" si="101"/>
        <v>59.953807009796449</v>
      </c>
      <c r="FH123" s="22">
        <f t="shared" si="76"/>
        <v>534.69829720872849</v>
      </c>
      <c r="FI123" s="62">
        <f t="shared" si="77"/>
        <v>828.03163054206175</v>
      </c>
      <c r="FJ123" s="62">
        <f ca="1">AVERAGE(OFFSET($FI$3,0,0,'Données projet'!$E$16+1,1))-AVERAGE(OFFSET($H$3,0,0,'Données projet'!$E$16+1,1))</f>
        <v>365.5904647357433</v>
      </c>
      <c r="FK123" s="62">
        <f t="shared" si="102"/>
        <v>256.56280810580841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259.61538461538458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-1.1368683772161603E-13</v>
      </c>
      <c r="GA123" s="18">
        <f>FZ123*VLOOKUP('Données projet'!$B$17,Paramètres!$A$1:$I$89,3,0)*VLOOKUP('Données projet'!$B$17,Paramètres!$A$1:$I$89,5,0)</f>
        <v>-9.2222762759774927E-14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256.19915261735281</v>
      </c>
      <c r="GF123" s="62">
        <f t="shared" si="104"/>
        <v>297.47246687305056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7.083333333333333</v>
      </c>
      <c r="GU123" s="13">
        <f>IF('Données projet'!$A$270&gt;35,GU122+GT123-HC122,IF(A123&lt;'Données projet'!$A$270,$GR$205^A123,IF(A123='Données projet'!$A$270,'Données projet'!$B$270,GU122+GT123-HC122)))</f>
        <v>410.5243589743589</v>
      </c>
      <c r="GV123" s="18">
        <f>GU123*VLOOKUP('Données projet'!$B$18,Paramètres!$A$1:$I$89,3,0)*VLOOKUP('Données projet'!$B$18,Paramètres!$A$1:$I$89,5,0)</f>
        <v>192.12539999999996</v>
      </c>
      <c r="GW123" s="14">
        <f t="shared" si="105"/>
        <v>48.009543957734422</v>
      </c>
      <c r="GX123" s="22">
        <f t="shared" si="82"/>
        <v>418.235027393054</v>
      </c>
      <c r="GY123" s="62">
        <f t="shared" si="83"/>
        <v>711.56836072638725</v>
      </c>
      <c r="GZ123" s="62">
        <f ca="1">AVERAGE(OFFSET($GY$3,0,0,'Données projet'!$E$18+1,1))-AVERAGE(OFFSET($H$3,0,0,'Données projet'!$E$18+1,1))</f>
        <v>284.704043530756</v>
      </c>
      <c r="HA123" s="62">
        <f t="shared" si="106"/>
        <v>190.4880882944471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2">
        <f t="shared" si="55"/>
        <v>824.50283387733225</v>
      </c>
      <c r="S124" s="62">
        <f ca="1">AVERAGE(OFFSET($R$3,0,0,'Données projet'!$E$9+1,1))-AVERAGE(OFFSET($H$3,0,0,'Données projet'!$E$9+1,1))</f>
        <v>428.8489304403459</v>
      </c>
      <c r="T124" s="62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274.66236526869056</v>
      </c>
      <c r="AO124" s="62">
        <f t="shared" si="90"/>
        <v>256.90876395053073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274.9967999999995</v>
      </c>
      <c r="BF124" s="14">
        <f t="shared" si="91"/>
        <v>65.908581953881495</v>
      </c>
      <c r="BG124" s="22">
        <f t="shared" si="61"/>
        <v>593.74354023634271</v>
      </c>
      <c r="BH124" s="62">
        <f t="shared" si="62"/>
        <v>887.07687356967608</v>
      </c>
      <c r="BI124" s="62">
        <f ca="1">AVERAGE(OFFSET($BH$3,0,0,'Données projet'!$E$11+1,1))-AVERAGE(OFFSET($H$3,0,0,'Données projet'!$E$11+1,1))</f>
        <v>475.47920969424894</v>
      </c>
      <c r="BJ124" s="62">
        <f t="shared" si="92"/>
        <v>271.73544012419364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2.6923076923076907</v>
      </c>
      <c r="BY124" s="13">
        <f>IF('Données projet'!$A$114&gt;35,BY123+BX124-CG123,IF(A124&lt;'Données projet'!$A$114,$BV$205^A124,IF(A124='Données projet'!$A$114,'Données projet'!$B$114,BY123+BX124-CG123)))</f>
        <v>320.00000000000011</v>
      </c>
      <c r="BZ124" s="14">
        <f>BY124*VLOOKUP('Données projet'!$B$12,Paramètres!$A$1:$I$89,3,0)*VLOOKUP('Données projet'!$B$12,Paramètres!$A$1:$I$89,5,0)</f>
        <v>334.46400000000017</v>
      </c>
      <c r="CA124" s="14">
        <f t="shared" si="93"/>
        <v>78.355083270221414</v>
      </c>
      <c r="CB124" s="22">
        <f t="shared" si="64"/>
        <v>718.99323669563591</v>
      </c>
      <c r="CC124" s="62">
        <f t="shared" si="65"/>
        <v>1012.3265700289692</v>
      </c>
      <c r="CD124" s="62">
        <f ca="1">AVERAGE(OFFSET($CC$3,0,0,'Données projet'!$E$12+1,1))-AVERAGE(OFFSET($H$3,0,0,'Données projet'!$E$12+1,1))</f>
        <v>490.26236605482961</v>
      </c>
      <c r="CE124" s="62">
        <f t="shared" si="94"/>
        <v>283.40133947156238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4.9658410716801891E-14</v>
      </c>
      <c r="CV124" s="14">
        <f t="shared" si="95"/>
        <v>8.0934058173791862E-13</v>
      </c>
      <c r="CW124" s="22">
        <f t="shared" si="67"/>
        <v>1.4960899118586383E-12</v>
      </c>
      <c r="CX124" s="62">
        <f t="shared" si="68"/>
        <v>293.33333333333479</v>
      </c>
      <c r="CY124" s="62">
        <f ca="1">AVERAGE(OFFSET($CX$3,0,0,'Données projet'!$E$13+1,1))-AVERAGE(OFFSET($H$3,0,0,'Données projet'!$E$13+1,1))</f>
        <v>315.3516976788701</v>
      </c>
      <c r="CZ124" s="62">
        <f t="shared" si="96"/>
        <v>266.32508105927997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291.9196799999994</v>
      </c>
      <c r="EL124" s="14">
        <f t="shared" si="99"/>
        <v>69.47983563531173</v>
      </c>
      <c r="EM124" s="22">
        <f t="shared" si="73"/>
        <v>629.43748973150025</v>
      </c>
      <c r="EN124" s="62">
        <f t="shared" si="74"/>
        <v>922.77082306483362</v>
      </c>
      <c r="EO124" s="62">
        <f ca="1">AVERAGE(OFFSET($EN$3,0,0,'Données projet'!$E$15+1,1))-AVERAGE(OFFSET($H$3,0,0,'Données projet'!$E$15+1,1))</f>
        <v>502.07782026233912</v>
      </c>
      <c r="EP124" s="62">
        <f t="shared" si="100"/>
        <v>285.83623046025156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-1.7053025658242404E-13</v>
      </c>
      <c r="FF124" s="18">
        <f>FE124*VLOOKUP('Données projet'!$B$16,Paramètres!$A$1:$I$89,3,0)*VLOOKUP('Données projet'!$B$16,Paramètres!$A$1:$I$89,5,0)</f>
        <v>-1.6227659216383472E-13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365.5904647357433</v>
      </c>
      <c r="FK124" s="62">
        <f t="shared" si="102"/>
        <v>256.56280810580841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-1.1368683772161603E-13</v>
      </c>
      <c r="GA124" s="18">
        <f>FZ124*VLOOKUP('Données projet'!$B$17,Paramètres!$A$1:$I$89,3,0)*VLOOKUP('Données projet'!$B$17,Paramètres!$A$1:$I$89,5,0)</f>
        <v>-9.2222762759774927E-14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256.19915261735281</v>
      </c>
      <c r="GF124" s="62">
        <f t="shared" si="104"/>
        <v>297.47246687305056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>
        <f>VLOOKUP(A124,'Données projet'!$A$269:$I$289,2,0)</f>
        <v>417.60769230769228</v>
      </c>
      <c r="GS124" s="13">
        <f>VLOOKUP(A124,'Données projet'!$A$269:$I$289,9,0)</f>
        <v>7.083333333333333</v>
      </c>
      <c r="GT124" s="13">
        <f t="array" ref="GT124">INDEX(GS:GS,MIN(IF(ISNUMBER(GS124:GS320),ROW(GS124:GS320),"")))</f>
        <v>7.083333333333333</v>
      </c>
      <c r="GU124" s="13">
        <f>IF('Données projet'!$A$270&gt;35,GU123+GT124-HC123,IF(A124&lt;'Données projet'!$A$270,$GR$205^A124,IF(A124='Données projet'!$A$270,'Données projet'!$B$270,GU123+GT124-HC123)))</f>
        <v>417.60769230769222</v>
      </c>
      <c r="GV124" s="18">
        <f>GU124*VLOOKUP('Données projet'!$B$18,Paramètres!$A$1:$I$89,3,0)*VLOOKUP('Données projet'!$B$18,Paramètres!$A$1:$I$89,5,0)</f>
        <v>195.44039999999998</v>
      </c>
      <c r="GW124" s="14">
        <f t="shared" si="105"/>
        <v>48.740764653053269</v>
      </c>
      <c r="GX124" s="22">
        <f t="shared" si="82"/>
        <v>425.28219510406774</v>
      </c>
      <c r="GY124" s="62">
        <f t="shared" si="83"/>
        <v>718.61552843740105</v>
      </c>
      <c r="GZ124" s="62">
        <f ca="1">AVERAGE(OFFSET($GY$3,0,0,'Données projet'!$E$18+1,1))-AVERAGE(OFFSET($H$3,0,0,'Données projet'!$E$18+1,1))</f>
        <v>284.704043530756</v>
      </c>
      <c r="HA124" s="62">
        <f t="shared" si="106"/>
        <v>190.4880882944471</v>
      </c>
      <c r="HB124" s="16">
        <f>IF(ISNA(VLOOKUP(A124,'Données projet'!$A$269:$I$289,3,0)),0,VLOOKUP(A124,'Données projet'!$A$269:$I$289,3,0))</f>
        <v>7</v>
      </c>
      <c r="HC124" s="16">
        <f>IF(ISNA(VLOOKUP(A124,'Données projet'!$A$269:$I$289,4,0)),0,VLOOKUP(A124,'Données projet'!$A$269:$I$289,4,0))</f>
        <v>207.07692307692307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2">
        <f t="shared" si="55"/>
        <v>830.62702157178478</v>
      </c>
      <c r="S125" s="62">
        <f ca="1">AVERAGE(OFFSET($R$3,0,0,'Données projet'!$E$9+1,1))-AVERAGE(OFFSET($H$3,0,0,'Données projet'!$E$9+1,1))</f>
        <v>428.8489304403459</v>
      </c>
      <c r="T125" s="62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274.66236526869056</v>
      </c>
      <c r="AO125" s="62">
        <f t="shared" si="90"/>
        <v>256.90876395053073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278.24159999999949</v>
      </c>
      <c r="BF125" s="14">
        <f t="shared" si="91"/>
        <v>66.595272276139681</v>
      </c>
      <c r="BG125" s="22">
        <f t="shared" si="61"/>
        <v>600.59088588094244</v>
      </c>
      <c r="BH125" s="62">
        <f t="shared" si="62"/>
        <v>893.92421921427581</v>
      </c>
      <c r="BI125" s="62">
        <f ca="1">AVERAGE(OFFSET($BH$3,0,0,'Données projet'!$E$11+1,1))-AVERAGE(OFFSET($H$3,0,0,'Données projet'!$E$11+1,1))</f>
        <v>475.47920969424894</v>
      </c>
      <c r="BJ125" s="62">
        <f t="shared" si="92"/>
        <v>271.73544012419364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2.6923076923076907</v>
      </c>
      <c r="BY125" s="13">
        <f>IF('Données projet'!$A$114&gt;35,BY124+BX125-CG124,IF(A125&lt;'Données projet'!$A$114,$BV$205^A125,IF(A125='Données projet'!$A$114,'Données projet'!$B$114,BY124+BX125-CG124)))</f>
        <v>322.69230769230779</v>
      </c>
      <c r="BZ125" s="14">
        <f>BY125*VLOOKUP('Données projet'!$B$12,Paramètres!$A$1:$I$89,3,0)*VLOOKUP('Données projet'!$B$12,Paramètres!$A$1:$I$89,5,0)</f>
        <v>337.27800000000013</v>
      </c>
      <c r="CA125" s="14">
        <f t="shared" si="93"/>
        <v>78.937301166070753</v>
      </c>
      <c r="CB125" s="22">
        <f t="shared" si="64"/>
        <v>724.90831619757353</v>
      </c>
      <c r="CC125" s="62">
        <f t="shared" si="65"/>
        <v>1018.2416495309069</v>
      </c>
      <c r="CD125" s="62">
        <f ca="1">AVERAGE(OFFSET($CC$3,0,0,'Données projet'!$E$12+1,1))-AVERAGE(OFFSET($H$3,0,0,'Données projet'!$E$12+1,1))</f>
        <v>490.26236605482961</v>
      </c>
      <c r="CE125" s="62">
        <f t="shared" si="94"/>
        <v>283.40133947156238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4.9658410716801891E-14</v>
      </c>
      <c r="CV125" s="14">
        <f t="shared" si="95"/>
        <v>8.0934058173791862E-13</v>
      </c>
      <c r="CW125" s="22">
        <f t="shared" si="67"/>
        <v>1.4960899118586383E-12</v>
      </c>
      <c r="CX125" s="62">
        <f t="shared" si="68"/>
        <v>293.33333333333479</v>
      </c>
      <c r="CY125" s="62">
        <f ca="1">AVERAGE(OFFSET($CX$3,0,0,'Données projet'!$E$13+1,1))-AVERAGE(OFFSET($H$3,0,0,'Données projet'!$E$13+1,1))</f>
        <v>315.3516976788701</v>
      </c>
      <c r="CZ125" s="62">
        <f t="shared" si="96"/>
        <v>266.32508105927997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295.3641599999994</v>
      </c>
      <c r="EL125" s="14">
        <f t="shared" si="99"/>
        <v>70.203734243178047</v>
      </c>
      <c r="EM125" s="22">
        <f t="shared" si="73"/>
        <v>636.6974158068673</v>
      </c>
      <c r="EN125" s="62">
        <f t="shared" si="74"/>
        <v>930.03074914020067</v>
      </c>
      <c r="EO125" s="62">
        <f ca="1">AVERAGE(OFFSET($EN$3,0,0,'Données projet'!$E$15+1,1))-AVERAGE(OFFSET($H$3,0,0,'Données projet'!$E$15+1,1))</f>
        <v>502.07782026233912</v>
      </c>
      <c r="EP125" s="62">
        <f t="shared" si="100"/>
        <v>285.83623046025156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-1.7053025658242404E-13</v>
      </c>
      <c r="FF125" s="18">
        <f>FE125*VLOOKUP('Données projet'!$B$16,Paramètres!$A$1:$I$89,3,0)*VLOOKUP('Données projet'!$B$16,Paramètres!$A$1:$I$89,5,0)</f>
        <v>-1.6227659216383472E-13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365.5904647357433</v>
      </c>
      <c r="FK125" s="62">
        <f t="shared" si="102"/>
        <v>256.56280810580841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-1.1368683772161603E-13</v>
      </c>
      <c r="GA125" s="18">
        <f>FZ125*VLOOKUP('Données projet'!$B$17,Paramètres!$A$1:$I$89,3,0)*VLOOKUP('Données projet'!$B$17,Paramètres!$A$1:$I$89,5,0)</f>
        <v>-9.2222762759774927E-14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256.19915261735281</v>
      </c>
      <c r="GF125" s="62">
        <f t="shared" si="104"/>
        <v>297.47246687305056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5.1538461538461551</v>
      </c>
      <c r="GU125" s="13">
        <f>IF('Données projet'!$A$270&gt;35,GU124+GT125-HC124,IF(A125&lt;'Données projet'!$A$270,$GR$205^A125,IF(A125='Données projet'!$A$270,'Données projet'!$B$270,GU124+GT125-HC124)))</f>
        <v>215.68461538461528</v>
      </c>
      <c r="GV125" s="18">
        <f>GU125*VLOOKUP('Données projet'!$B$18,Paramètres!$A$1:$I$89,3,0)*VLOOKUP('Données projet'!$B$18,Paramètres!$A$1:$I$89,5,0)</f>
        <v>100.94039999999994</v>
      </c>
      <c r="GW125" s="14">
        <f t="shared" si="105"/>
        <v>27.185912689038414</v>
      </c>
      <c r="GX125" s="22">
        <f t="shared" si="82"/>
        <v>223.15332793340841</v>
      </c>
      <c r="GY125" s="62">
        <f t="shared" si="83"/>
        <v>516.48666126674175</v>
      </c>
      <c r="GZ125" s="62">
        <f ca="1">AVERAGE(OFFSET($GY$3,0,0,'Données projet'!$E$18+1,1))-AVERAGE(OFFSET($H$3,0,0,'Données projet'!$E$18+1,1))</f>
        <v>284.704043530756</v>
      </c>
      <c r="HA125" s="62">
        <f t="shared" si="106"/>
        <v>190.4880882944471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2">
        <f t="shared" si="55"/>
        <v>836.74974224894845</v>
      </c>
      <c r="S126" s="62">
        <f ca="1">AVERAGE(OFFSET($R$3,0,0,'Données projet'!$E$9+1,1))-AVERAGE(OFFSET($H$3,0,0,'Données projet'!$E$9+1,1))</f>
        <v>428.8489304403459</v>
      </c>
      <c r="T126" s="62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274.66236526869056</v>
      </c>
      <c r="AO126" s="62">
        <f t="shared" si="90"/>
        <v>256.90876395053073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281.48639999999949</v>
      </c>
      <c r="BF126" s="14">
        <f t="shared" si="91"/>
        <v>67.281031071373235</v>
      </c>
      <c r="BG126" s="22">
        <f t="shared" si="61"/>
        <v>607.43660911597419</v>
      </c>
      <c r="BH126" s="62">
        <f t="shared" si="62"/>
        <v>900.76994244930756</v>
      </c>
      <c r="BI126" s="62">
        <f ca="1">AVERAGE(OFFSET($BH$3,0,0,'Données projet'!$E$11+1,1))-AVERAGE(OFFSET($H$3,0,0,'Données projet'!$E$11+1,1))</f>
        <v>475.47920969424894</v>
      </c>
      <c r="BJ126" s="62">
        <f t="shared" si="92"/>
        <v>271.73544012419364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2.6923076923076907</v>
      </c>
      <c r="BY126" s="13">
        <f>IF('Données projet'!$A$114&gt;35,BY125+BX126-CG125,IF(A126&lt;'Données projet'!$A$114,$BV$205^A126,IF(A126='Données projet'!$A$114,'Données projet'!$B$114,BY125+BX126-CG125)))</f>
        <v>325.38461538461547</v>
      </c>
      <c r="BZ126" s="14">
        <f>BY126*VLOOKUP('Données projet'!$B$12,Paramètres!$A$1:$I$89,3,0)*VLOOKUP('Données projet'!$B$12,Paramètres!$A$1:$I$89,5,0)</f>
        <v>340.0920000000001</v>
      </c>
      <c r="CA126" s="14">
        <f t="shared" si="93"/>
        <v>79.51895390497053</v>
      </c>
      <c r="CB126" s="22">
        <f t="shared" si="64"/>
        <v>730.82241138449047</v>
      </c>
      <c r="CC126" s="62">
        <f t="shared" si="65"/>
        <v>1024.1557447178238</v>
      </c>
      <c r="CD126" s="62">
        <f ca="1">AVERAGE(OFFSET($CC$3,0,0,'Données projet'!$E$12+1,1))-AVERAGE(OFFSET($H$3,0,0,'Données projet'!$E$12+1,1))</f>
        <v>490.26236605482961</v>
      </c>
      <c r="CE126" s="62">
        <f t="shared" si="94"/>
        <v>283.40133947156238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4.9658410716801891E-14</v>
      </c>
      <c r="CV126" s="14">
        <f t="shared" si="95"/>
        <v>8.0934058173791862E-13</v>
      </c>
      <c r="CW126" s="22">
        <f t="shared" si="67"/>
        <v>1.4960899118586383E-12</v>
      </c>
      <c r="CX126" s="62">
        <f t="shared" si="68"/>
        <v>293.33333333333479</v>
      </c>
      <c r="CY126" s="62">
        <f ca="1">AVERAGE(OFFSET($CX$3,0,0,'Données projet'!$E$13+1,1))-AVERAGE(OFFSET($H$3,0,0,'Données projet'!$E$13+1,1))</f>
        <v>315.3516976788701</v>
      </c>
      <c r="CZ126" s="62">
        <f t="shared" si="96"/>
        <v>266.32508105927997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298.8086399999994</v>
      </c>
      <c r="EL126" s="14">
        <f t="shared" si="99"/>
        <v>70.926650849267929</v>
      </c>
      <c r="EM126" s="22">
        <f t="shared" si="73"/>
        <v>643.95563156247397</v>
      </c>
      <c r="EN126" s="62">
        <f t="shared" si="74"/>
        <v>937.28896489580734</v>
      </c>
      <c r="EO126" s="62">
        <f ca="1">AVERAGE(OFFSET($EN$3,0,0,'Données projet'!$E$15+1,1))-AVERAGE(OFFSET($H$3,0,0,'Données projet'!$E$15+1,1))</f>
        <v>502.07782026233912</v>
      </c>
      <c r="EP126" s="62">
        <f t="shared" si="100"/>
        <v>285.83623046025156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-1.7053025658242404E-13</v>
      </c>
      <c r="FF126" s="18">
        <f>FE126*VLOOKUP('Données projet'!$B$16,Paramètres!$A$1:$I$89,3,0)*VLOOKUP('Données projet'!$B$16,Paramètres!$A$1:$I$89,5,0)</f>
        <v>-1.6227659216383472E-13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365.5904647357433</v>
      </c>
      <c r="FK126" s="62">
        <f t="shared" si="102"/>
        <v>256.56280810580841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-1.1368683772161603E-13</v>
      </c>
      <c r="GA126" s="18">
        <f>FZ126*VLOOKUP('Données projet'!$B$17,Paramètres!$A$1:$I$89,3,0)*VLOOKUP('Données projet'!$B$17,Paramètres!$A$1:$I$89,5,0)</f>
        <v>-9.2222762759774927E-14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256.19915261735281</v>
      </c>
      <c r="GF126" s="62">
        <f t="shared" si="104"/>
        <v>297.47246687305056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5.1538461538461551</v>
      </c>
      <c r="GU126" s="13">
        <f>IF('Données projet'!$A$270&gt;35,GU125+GT126-HC125,IF(A126&lt;'Données projet'!$A$270,$GR$205^A126,IF(A126='Données projet'!$A$270,'Données projet'!$B$270,GU125+GT126-HC125)))</f>
        <v>220.83846153846144</v>
      </c>
      <c r="GV126" s="18">
        <f>GU126*VLOOKUP('Données projet'!$B$18,Paramètres!$A$1:$I$89,3,0)*VLOOKUP('Données projet'!$B$18,Paramètres!$A$1:$I$89,5,0)</f>
        <v>103.35239999999996</v>
      </c>
      <c r="GW126" s="14">
        <f t="shared" si="105"/>
        <v>27.759121453172455</v>
      </c>
      <c r="GX126" s="22">
        <f t="shared" si="82"/>
        <v>228.35256653094197</v>
      </c>
      <c r="GY126" s="62">
        <f t="shared" si="83"/>
        <v>521.68589986427526</v>
      </c>
      <c r="GZ126" s="62">
        <f ca="1">AVERAGE(OFFSET($GY$3,0,0,'Données projet'!$E$18+1,1))-AVERAGE(OFFSET($H$3,0,0,'Données projet'!$E$18+1,1))</f>
        <v>284.704043530756</v>
      </c>
      <c r="HA126" s="62">
        <f t="shared" si="106"/>
        <v>190.4880882944471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2">
        <f t="shared" si="55"/>
        <v>842.87101477628971</v>
      </c>
      <c r="S127" s="62">
        <f ca="1">AVERAGE(OFFSET($R$3,0,0,'Données projet'!$E$9+1,1))-AVERAGE(OFFSET($H$3,0,0,'Données projet'!$E$9+1,1))</f>
        <v>428.8489304403459</v>
      </c>
      <c r="T127" s="62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274.66236526869056</v>
      </c>
      <c r="AO127" s="62">
        <f t="shared" si="90"/>
        <v>256.90876395053073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284.73119999999943</v>
      </c>
      <c r="BF127" s="14">
        <f t="shared" si="91"/>
        <v>67.965870320050826</v>
      </c>
      <c r="BG127" s="22">
        <f t="shared" si="61"/>
        <v>614.28073080742081</v>
      </c>
      <c r="BH127" s="62">
        <f t="shared" si="62"/>
        <v>907.61406414075418</v>
      </c>
      <c r="BI127" s="62">
        <f ca="1">AVERAGE(OFFSET($BH$3,0,0,'Données projet'!$E$11+1,1))-AVERAGE(OFFSET($H$3,0,0,'Données projet'!$E$11+1,1))</f>
        <v>475.47920969424894</v>
      </c>
      <c r="BJ127" s="62">
        <f t="shared" si="92"/>
        <v>271.73544012419364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2.6923076923076907</v>
      </c>
      <c r="BY127" s="13">
        <f>IF('Données projet'!$A$114&gt;35,BY126+BX127-CG126,IF(A127&lt;'Données projet'!$A$114,$BV$205^A127,IF(A127='Données projet'!$A$114,'Données projet'!$B$114,BY126+BX127-CG126)))</f>
        <v>328.07692307692315</v>
      </c>
      <c r="BZ127" s="14">
        <f>BY127*VLOOKUP('Données projet'!$B$12,Paramètres!$A$1:$I$89,3,0)*VLOOKUP('Données projet'!$B$12,Paramètres!$A$1:$I$89,5,0)</f>
        <v>342.90600000000012</v>
      </c>
      <c r="CA127" s="14">
        <f t="shared" si="93"/>
        <v>80.100046705080928</v>
      </c>
      <c r="CB127" s="22">
        <f t="shared" si="64"/>
        <v>736.73553134468284</v>
      </c>
      <c r="CC127" s="62">
        <f t="shared" si="65"/>
        <v>1030.0688646780161</v>
      </c>
      <c r="CD127" s="62">
        <f ca="1">AVERAGE(OFFSET($CC$3,0,0,'Données projet'!$E$12+1,1))-AVERAGE(OFFSET($H$3,0,0,'Données projet'!$E$12+1,1))</f>
        <v>490.26236605482961</v>
      </c>
      <c r="CE127" s="62">
        <f t="shared" si="94"/>
        <v>283.40133947156238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4.9658410716801891E-14</v>
      </c>
      <c r="CV127" s="14">
        <f t="shared" si="95"/>
        <v>8.0934058173791862E-13</v>
      </c>
      <c r="CW127" s="22">
        <f t="shared" si="67"/>
        <v>1.4960899118586383E-12</v>
      </c>
      <c r="CX127" s="62">
        <f t="shared" si="68"/>
        <v>293.33333333333479</v>
      </c>
      <c r="CY127" s="62">
        <f ca="1">AVERAGE(OFFSET($CX$3,0,0,'Données projet'!$E$13+1,1))-AVERAGE(OFFSET($H$3,0,0,'Données projet'!$E$13+1,1))</f>
        <v>315.3516976788701</v>
      </c>
      <c r="CZ127" s="62">
        <f t="shared" si="96"/>
        <v>266.32508105927997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302.2531199999994</v>
      </c>
      <c r="EL127" s="14">
        <f t="shared" si="99"/>
        <v>71.648598083211283</v>
      </c>
      <c r="EM127" s="22">
        <f t="shared" si="73"/>
        <v>651.21215899492529</v>
      </c>
      <c r="EN127" s="62">
        <f t="shared" si="74"/>
        <v>944.54549232825866</v>
      </c>
      <c r="EO127" s="62">
        <f ca="1">AVERAGE(OFFSET($EN$3,0,0,'Données projet'!$E$15+1,1))-AVERAGE(OFFSET($H$3,0,0,'Données projet'!$E$15+1,1))</f>
        <v>502.07782026233912</v>
      </c>
      <c r="EP127" s="62">
        <f t="shared" si="100"/>
        <v>285.83623046025156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-1.7053025658242404E-13</v>
      </c>
      <c r="FF127" s="18">
        <f>FE127*VLOOKUP('Données projet'!$B$16,Paramètres!$A$1:$I$89,3,0)*VLOOKUP('Données projet'!$B$16,Paramètres!$A$1:$I$89,5,0)</f>
        <v>-1.6227659216383472E-13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365.5904647357433</v>
      </c>
      <c r="FK127" s="62">
        <f t="shared" si="102"/>
        <v>256.56280810580841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-1.1368683772161603E-13</v>
      </c>
      <c r="GA127" s="18">
        <f>FZ127*VLOOKUP('Données projet'!$B$17,Paramètres!$A$1:$I$89,3,0)*VLOOKUP('Données projet'!$B$17,Paramètres!$A$1:$I$89,5,0)</f>
        <v>-9.2222762759774927E-14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256.19915261735281</v>
      </c>
      <c r="GF127" s="62">
        <f t="shared" si="104"/>
        <v>297.47246687305056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5.1538461538461551</v>
      </c>
      <c r="GU127" s="13">
        <f>IF('Données projet'!$A$270&gt;35,GU126+GT127-HC126,IF(A127&lt;'Données projet'!$A$270,$GR$205^A127,IF(A127='Données projet'!$A$270,'Données projet'!$B$270,GU126+GT127-HC126)))</f>
        <v>225.99230769230761</v>
      </c>
      <c r="GV127" s="18">
        <f>GU127*VLOOKUP('Données projet'!$B$18,Paramètres!$A$1:$I$89,3,0)*VLOOKUP('Données projet'!$B$18,Paramètres!$A$1:$I$89,5,0)</f>
        <v>105.76439999999997</v>
      </c>
      <c r="GW127" s="14">
        <f t="shared" si="105"/>
        <v>28.330775059514437</v>
      </c>
      <c r="GX127" s="22">
        <f t="shared" si="82"/>
        <v>233.54909656198762</v>
      </c>
      <c r="GY127" s="62">
        <f t="shared" si="83"/>
        <v>526.88242989532091</v>
      </c>
      <c r="GZ127" s="62">
        <f ca="1">AVERAGE(OFFSET($GY$3,0,0,'Données projet'!$E$18+1,1))-AVERAGE(OFFSET($H$3,0,0,'Données projet'!$E$18+1,1))</f>
        <v>284.704043530756</v>
      </c>
      <c r="HA127" s="62">
        <f t="shared" si="106"/>
        <v>190.4880882944471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2">
        <f t="shared" si="55"/>
        <v>848.99085756649174</v>
      </c>
      <c r="S128" s="62">
        <f ca="1">AVERAGE(OFFSET($R$3,0,0,'Données projet'!$E$9+1,1))-AVERAGE(OFFSET($H$3,0,0,'Données projet'!$E$9+1,1))</f>
        <v>428.8489304403459</v>
      </c>
      <c r="T128" s="62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274.66236526869056</v>
      </c>
      <c r="AO128" s="62">
        <f t="shared" si="90"/>
        <v>256.90876395053073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287.97599999999943</v>
      </c>
      <c r="BF128" s="14">
        <f t="shared" si="91"/>
        <v>68.649801713863027</v>
      </c>
      <c r="BG128" s="22">
        <f t="shared" si="61"/>
        <v>621.12327131831046</v>
      </c>
      <c r="BH128" s="62">
        <f t="shared" si="62"/>
        <v>914.45660465164383</v>
      </c>
      <c r="BI128" s="62">
        <f ca="1">AVERAGE(OFFSET($BH$3,0,0,'Données projet'!$E$11+1,1))-AVERAGE(OFFSET($H$3,0,0,'Données projet'!$E$11+1,1))</f>
        <v>475.47920969424894</v>
      </c>
      <c r="BJ128" s="62">
        <f t="shared" si="92"/>
        <v>271.73544012419364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2.6923076923076907</v>
      </c>
      <c r="BY128" s="13">
        <f>IF('Données projet'!$A$114&gt;35,BY127+BX128-CG127,IF(A128&lt;'Données projet'!$A$114,$BV$205^A128,IF(A128='Données projet'!$A$114,'Données projet'!$B$114,BY127+BX128-CG127)))</f>
        <v>330.76923076923083</v>
      </c>
      <c r="BZ128" s="14">
        <f>BY128*VLOOKUP('Données projet'!$B$12,Paramètres!$A$1:$I$89,3,0)*VLOOKUP('Données projet'!$B$12,Paramètres!$A$1:$I$89,5,0)</f>
        <v>345.72000000000008</v>
      </c>
      <c r="CA128" s="14">
        <f t="shared" si="93"/>
        <v>80.680584693973742</v>
      </c>
      <c r="CB128" s="22">
        <f t="shared" si="64"/>
        <v>742.64768500867103</v>
      </c>
      <c r="CC128" s="62">
        <f t="shared" si="65"/>
        <v>1035.9810183420043</v>
      </c>
      <c r="CD128" s="62">
        <f ca="1">AVERAGE(OFFSET($CC$3,0,0,'Données projet'!$E$12+1,1))-AVERAGE(OFFSET($H$3,0,0,'Données projet'!$E$12+1,1))</f>
        <v>490.26236605482961</v>
      </c>
      <c r="CE128" s="62">
        <f t="shared" si="94"/>
        <v>283.40133947156238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4.9658410716801891E-14</v>
      </c>
      <c r="CV128" s="14">
        <f t="shared" si="95"/>
        <v>8.0934058173791862E-13</v>
      </c>
      <c r="CW128" s="22">
        <f t="shared" si="67"/>
        <v>1.4960899118586383E-12</v>
      </c>
      <c r="CX128" s="62">
        <f t="shared" si="68"/>
        <v>293.33333333333479</v>
      </c>
      <c r="CY128" s="62">
        <f ca="1">AVERAGE(OFFSET($CX$3,0,0,'Données projet'!$E$13+1,1))-AVERAGE(OFFSET($H$3,0,0,'Données projet'!$E$13+1,1))</f>
        <v>315.3516976788701</v>
      </c>
      <c r="CZ128" s="62">
        <f t="shared" si="96"/>
        <v>266.32508105927997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305.69759999999934</v>
      </c>
      <c r="EL128" s="14">
        <f t="shared" si="99"/>
        <v>72.369588270212233</v>
      </c>
      <c r="EM128" s="22">
        <f t="shared" si="73"/>
        <v>658.46701957061839</v>
      </c>
      <c r="EN128" s="62">
        <f t="shared" si="74"/>
        <v>951.80035290395176</v>
      </c>
      <c r="EO128" s="62">
        <f ca="1">AVERAGE(OFFSET($EN$3,0,0,'Données projet'!$E$15+1,1))-AVERAGE(OFFSET($H$3,0,0,'Données projet'!$E$15+1,1))</f>
        <v>502.07782026233912</v>
      </c>
      <c r="EP128" s="62">
        <f t="shared" si="100"/>
        <v>285.83623046025156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-1.7053025658242404E-13</v>
      </c>
      <c r="FF128" s="18">
        <f>FE128*VLOOKUP('Données projet'!$B$16,Paramètres!$A$1:$I$89,3,0)*VLOOKUP('Données projet'!$B$16,Paramètres!$A$1:$I$89,5,0)</f>
        <v>-1.6227659216383472E-13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365.5904647357433</v>
      </c>
      <c r="FK128" s="62">
        <f t="shared" si="102"/>
        <v>256.56280810580841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-1.1368683772161603E-13</v>
      </c>
      <c r="GA128" s="18">
        <f>FZ128*VLOOKUP('Données projet'!$B$17,Paramètres!$A$1:$I$89,3,0)*VLOOKUP('Données projet'!$B$17,Paramètres!$A$1:$I$89,5,0)</f>
        <v>-9.2222762759774927E-14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256.19915261735281</v>
      </c>
      <c r="GF128" s="62">
        <f t="shared" si="104"/>
        <v>297.47246687305056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5.1538461538461551</v>
      </c>
      <c r="GU128" s="13">
        <f>IF('Données projet'!$A$270&gt;35,GU127+GT128-HC127,IF(A128&lt;'Données projet'!$A$270,$GR$205^A128,IF(A128='Données projet'!$A$270,'Données projet'!$B$270,GU127+GT128-HC127)))</f>
        <v>231.14615384615377</v>
      </c>
      <c r="GV128" s="18">
        <f>GU128*VLOOKUP('Données projet'!$B$18,Paramètres!$A$1:$I$89,3,0)*VLOOKUP('Données projet'!$B$18,Paramètres!$A$1:$I$89,5,0)</f>
        <v>108.17639999999996</v>
      </c>
      <c r="GW128" s="14">
        <f t="shared" si="105"/>
        <v>28.900913056732801</v>
      </c>
      <c r="GX128" s="22">
        <f t="shared" si="82"/>
        <v>238.74298690714286</v>
      </c>
      <c r="GY128" s="62">
        <f t="shared" si="83"/>
        <v>532.07632024047621</v>
      </c>
      <c r="GZ128" s="62">
        <f ca="1">AVERAGE(OFFSET($GY$3,0,0,'Données projet'!$E$18+1,1))-AVERAGE(OFFSET($H$3,0,0,'Données projet'!$E$18+1,1))</f>
        <v>284.704043530756</v>
      </c>
      <c r="HA128" s="62">
        <f t="shared" si="106"/>
        <v>190.4880882944471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2">
        <f t="shared" si="55"/>
        <v>855.10928859341493</v>
      </c>
      <c r="S129" s="62">
        <f ca="1">AVERAGE(OFFSET($R$3,0,0,'Données projet'!$E$9+1,1))-AVERAGE(OFFSET($H$3,0,0,'Données projet'!$E$9+1,1))</f>
        <v>428.8489304403459</v>
      </c>
      <c r="T129" s="62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274.66236526869056</v>
      </c>
      <c r="AO129" s="62">
        <f t="shared" si="90"/>
        <v>256.90876395053073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291.22079999999943</v>
      </c>
      <c r="BF129" s="14">
        <f t="shared" si="91"/>
        <v>69.33283666585649</v>
      </c>
      <c r="BG129" s="22">
        <f t="shared" si="61"/>
        <v>627.96425052636573</v>
      </c>
      <c r="BH129" s="62">
        <f t="shared" si="62"/>
        <v>921.29758385969899</v>
      </c>
      <c r="BI129" s="62">
        <f ca="1">AVERAGE(OFFSET($BH$3,0,0,'Données projet'!$E$11+1,1))-AVERAGE(OFFSET($H$3,0,0,'Données projet'!$E$11+1,1))</f>
        <v>475.47920969424894</v>
      </c>
      <c r="BJ129" s="62">
        <f t="shared" si="92"/>
        <v>271.73544012419364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2.6923076923076907</v>
      </c>
      <c r="BY129" s="13">
        <f>IF('Données projet'!$A$114&gt;35,BY128+BX129-CG128,IF(A129&lt;'Données projet'!$A$114,$BV$205^A129,IF(A129='Données projet'!$A$114,'Données projet'!$B$114,BY128+BX129-CG128)))</f>
        <v>333.46153846153851</v>
      </c>
      <c r="BZ129" s="14">
        <f>BY129*VLOOKUP('Données projet'!$B$12,Paramètres!$A$1:$I$89,3,0)*VLOOKUP('Données projet'!$B$12,Paramètres!$A$1:$I$89,5,0)</f>
        <v>348.53400000000005</v>
      </c>
      <c r="CA129" s="14">
        <f t="shared" si="93"/>
        <v>81.260572910929909</v>
      </c>
      <c r="CB129" s="22">
        <f t="shared" si="64"/>
        <v>748.55888115320295</v>
      </c>
      <c r="CC129" s="62">
        <f t="shared" si="65"/>
        <v>1041.8922144865362</v>
      </c>
      <c r="CD129" s="62">
        <f ca="1">AVERAGE(OFFSET($CC$3,0,0,'Données projet'!$E$12+1,1))-AVERAGE(OFFSET($H$3,0,0,'Données projet'!$E$12+1,1))</f>
        <v>490.26236605482961</v>
      </c>
      <c r="CE129" s="62">
        <f t="shared" si="94"/>
        <v>283.40133947156238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4.9658410716801891E-14</v>
      </c>
      <c r="CV129" s="14">
        <f t="shared" si="95"/>
        <v>8.0934058173791862E-13</v>
      </c>
      <c r="CW129" s="22">
        <f t="shared" si="67"/>
        <v>1.4960899118586383E-12</v>
      </c>
      <c r="CX129" s="62">
        <f t="shared" si="68"/>
        <v>293.33333333333479</v>
      </c>
      <c r="CY129" s="62">
        <f ca="1">AVERAGE(OFFSET($CX$3,0,0,'Données projet'!$E$13+1,1))-AVERAGE(OFFSET($H$3,0,0,'Données projet'!$E$13+1,1))</f>
        <v>315.3516976788701</v>
      </c>
      <c r="CZ129" s="62">
        <f t="shared" si="96"/>
        <v>266.32508105927997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309.14207999999934</v>
      </c>
      <c r="EL129" s="14">
        <f t="shared" si="99"/>
        <v>73.089633441733085</v>
      </c>
      <c r="EM129" s="22">
        <f t="shared" si="73"/>
        <v>665.72023424435065</v>
      </c>
      <c r="EN129" s="62">
        <f t="shared" si="74"/>
        <v>959.05356757768391</v>
      </c>
      <c r="EO129" s="62">
        <f ca="1">AVERAGE(OFFSET($EN$3,0,0,'Données projet'!$E$15+1,1))-AVERAGE(OFFSET($H$3,0,0,'Données projet'!$E$15+1,1))</f>
        <v>502.07782026233912</v>
      </c>
      <c r="EP129" s="62">
        <f t="shared" si="100"/>
        <v>285.83623046025156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-1.7053025658242404E-13</v>
      </c>
      <c r="FF129" s="18">
        <f>FE129*VLOOKUP('Données projet'!$B$16,Paramètres!$A$1:$I$89,3,0)*VLOOKUP('Données projet'!$B$16,Paramètres!$A$1:$I$89,5,0)</f>
        <v>-1.6227659216383472E-13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365.5904647357433</v>
      </c>
      <c r="FK129" s="62">
        <f t="shared" si="102"/>
        <v>256.56280810580841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-1.1368683772161603E-13</v>
      </c>
      <c r="GA129" s="18">
        <f>FZ129*VLOOKUP('Données projet'!$B$17,Paramètres!$A$1:$I$89,3,0)*VLOOKUP('Données projet'!$B$17,Paramètres!$A$1:$I$89,5,0)</f>
        <v>-9.2222762759774927E-14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256.19915261735281</v>
      </c>
      <c r="GF129" s="62">
        <f t="shared" si="104"/>
        <v>297.47246687305056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>
        <f>VLOOKUP(A129,'Données projet'!$A$269:$I$289,2,0)</f>
        <v>236.29999999999998</v>
      </c>
      <c r="GS129" s="13">
        <f>VLOOKUP(A129,'Données projet'!$A$269:$I$289,9,0)</f>
        <v>5.1538461538461551</v>
      </c>
      <c r="GT129" s="13">
        <f t="array" ref="GT129">INDEX(GS:GS,MIN(IF(ISNUMBER(GS129:GS325),ROW(GS129:GS325),"")))</f>
        <v>5.1538461538461551</v>
      </c>
      <c r="GU129" s="13">
        <f>IF('Données projet'!$A$270&gt;35,GU128+GT129-HC128,IF(A129&lt;'Données projet'!$A$270,$GR$205^A129,IF(A129='Données projet'!$A$270,'Données projet'!$B$270,GU128+GT129-HC128)))</f>
        <v>236.29999999999993</v>
      </c>
      <c r="GV129" s="18">
        <f>GU129*VLOOKUP('Données projet'!$B$18,Paramètres!$A$1:$I$89,3,0)*VLOOKUP('Données projet'!$B$18,Paramètres!$A$1:$I$89,5,0)</f>
        <v>110.58839999999996</v>
      </c>
      <c r="GW129" s="14">
        <f t="shared" si="105"/>
        <v>29.469573129181644</v>
      </c>
      <c r="GX129" s="22">
        <f t="shared" si="82"/>
        <v>243.93430319999132</v>
      </c>
      <c r="GY129" s="62">
        <f t="shared" si="83"/>
        <v>537.26763653332466</v>
      </c>
      <c r="GZ129" s="62">
        <f ca="1">AVERAGE(OFFSET($GY$3,0,0,'Données projet'!$E$18+1,1))-AVERAGE(OFFSET($H$3,0,0,'Données projet'!$E$18+1,1))</f>
        <v>284.704043530756</v>
      </c>
      <c r="HA129" s="62">
        <f t="shared" si="106"/>
        <v>190.4880882944471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2">
        <f t="shared" si="55"/>
        <v>861.22632540732639</v>
      </c>
      <c r="S130" s="62">
        <f ca="1">AVERAGE(OFFSET($R$3,0,0,'Données projet'!$E$9+1,1))-AVERAGE(OFFSET($H$3,0,0,'Données projet'!$E$9+1,1))</f>
        <v>428.8489304403459</v>
      </c>
      <c r="T130" s="62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274.66236526869056</v>
      </c>
      <c r="AO130" s="62">
        <f t="shared" si="90"/>
        <v>256.90876395053073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294.46559999999943</v>
      </c>
      <c r="BF130" s="14">
        <f t="shared" si="91"/>
        <v>70.0149863201041</v>
      </c>
      <c r="BG130" s="22">
        <f t="shared" si="61"/>
        <v>634.80368784084692</v>
      </c>
      <c r="BH130" s="62">
        <f t="shared" si="62"/>
        <v>928.13702117418029</v>
      </c>
      <c r="BI130" s="62">
        <f ca="1">AVERAGE(OFFSET($BH$3,0,0,'Données projet'!$E$11+1,1))-AVERAGE(OFFSET($H$3,0,0,'Données projet'!$E$11+1,1))</f>
        <v>475.47920969424894</v>
      </c>
      <c r="BJ130" s="62">
        <f t="shared" si="92"/>
        <v>271.73544012419364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2.6923076923076907</v>
      </c>
      <c r="BY130" s="13">
        <f>IF('Données projet'!$A$114&gt;35,BY129+BX130-CG129,IF(A130&lt;'Données projet'!$A$114,$BV$205^A130,IF(A130='Données projet'!$A$114,'Données projet'!$B$114,BY129+BX130-CG129)))</f>
        <v>336.15384615384619</v>
      </c>
      <c r="BZ130" s="14">
        <f>BY130*VLOOKUP('Données projet'!$B$12,Paramètres!$A$1:$I$89,3,0)*VLOOKUP('Données projet'!$B$12,Paramètres!$A$1:$I$89,5,0)</f>
        <v>351.34800000000007</v>
      </c>
      <c r="CA130" s="14">
        <f t="shared" si="93"/>
        <v>81.840016309159537</v>
      </c>
      <c r="CB130" s="22">
        <f t="shared" si="64"/>
        <v>754.46912840511959</v>
      </c>
      <c r="CC130" s="62">
        <f t="shared" si="65"/>
        <v>1047.8024617384528</v>
      </c>
      <c r="CD130" s="62">
        <f ca="1">AVERAGE(OFFSET($CC$3,0,0,'Données projet'!$E$12+1,1))-AVERAGE(OFFSET($H$3,0,0,'Données projet'!$E$12+1,1))</f>
        <v>490.26236605482961</v>
      </c>
      <c r="CE130" s="62">
        <f t="shared" si="94"/>
        <v>283.40133947156238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4.9658410716801891E-14</v>
      </c>
      <c r="CV130" s="14">
        <f t="shared" si="95"/>
        <v>8.0934058173791862E-13</v>
      </c>
      <c r="CW130" s="22">
        <f t="shared" si="67"/>
        <v>1.4960899118586383E-12</v>
      </c>
      <c r="CX130" s="62">
        <f t="shared" si="68"/>
        <v>293.33333333333479</v>
      </c>
      <c r="CY130" s="62">
        <f ca="1">AVERAGE(OFFSET($CX$3,0,0,'Données projet'!$E$13+1,1))-AVERAGE(OFFSET($H$3,0,0,'Données projet'!$E$13+1,1))</f>
        <v>315.3516976788701</v>
      </c>
      <c r="CZ130" s="62">
        <f t="shared" si="96"/>
        <v>266.32508105927997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312.58655999999934</v>
      </c>
      <c r="EL130" s="14">
        <f t="shared" si="99"/>
        <v>73.808745345687839</v>
      </c>
      <c r="EM130" s="22">
        <f t="shared" si="73"/>
        <v>672.97182347707178</v>
      </c>
      <c r="EN130" s="62">
        <f t="shared" si="74"/>
        <v>966.30515681040515</v>
      </c>
      <c r="EO130" s="62">
        <f ca="1">AVERAGE(OFFSET($EN$3,0,0,'Données projet'!$E$15+1,1))-AVERAGE(OFFSET($H$3,0,0,'Données projet'!$E$15+1,1))</f>
        <v>502.07782026233912</v>
      </c>
      <c r="EP130" s="62">
        <f t="shared" si="100"/>
        <v>285.83623046025156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-1.7053025658242404E-13</v>
      </c>
      <c r="FF130" s="18">
        <f>FE130*VLOOKUP('Données projet'!$B$16,Paramètres!$A$1:$I$89,3,0)*VLOOKUP('Données projet'!$B$16,Paramètres!$A$1:$I$89,5,0)</f>
        <v>-1.6227659216383472E-13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365.5904647357433</v>
      </c>
      <c r="FK130" s="62">
        <f t="shared" si="102"/>
        <v>256.56280810580841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-1.1368683772161603E-13</v>
      </c>
      <c r="GA130" s="18">
        <f>FZ130*VLOOKUP('Données projet'!$B$17,Paramètres!$A$1:$I$89,3,0)*VLOOKUP('Données projet'!$B$17,Paramètres!$A$1:$I$89,5,0)</f>
        <v>-9.2222762759774927E-14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256.19915261735281</v>
      </c>
      <c r="GF130" s="62">
        <f t="shared" si="104"/>
        <v>297.47246687305056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4.66307692307692</v>
      </c>
      <c r="GU130" s="13">
        <f>IF('Données projet'!$A$270&gt;35,GU129+GT130-HC129,IF(A130&lt;'Données projet'!$A$270,$GR$205^A130,IF(A130='Données projet'!$A$270,'Données projet'!$B$270,GU129+GT130-HC129)))</f>
        <v>240.96307692307684</v>
      </c>
      <c r="GV130" s="18">
        <f>GU130*VLOOKUP('Données projet'!$B$18,Paramètres!$A$1:$I$89,3,0)*VLOOKUP('Données projet'!$B$18,Paramètres!$A$1:$I$89,5,0)</f>
        <v>112.77071999999997</v>
      </c>
      <c r="GW130" s="14">
        <f t="shared" si="105"/>
        <v>29.982839682662075</v>
      </c>
      <c r="GX130" s="22">
        <f t="shared" si="82"/>
        <v>248.62911644730306</v>
      </c>
      <c r="GY130" s="62">
        <f t="shared" si="83"/>
        <v>541.96244978063635</v>
      </c>
      <c r="GZ130" s="62">
        <f ca="1">AVERAGE(OFFSET($GY$3,0,0,'Données projet'!$E$18+1,1))-AVERAGE(OFFSET($H$3,0,0,'Données projet'!$E$18+1,1))</f>
        <v>284.704043530756</v>
      </c>
      <c r="HA130" s="62">
        <f t="shared" si="106"/>
        <v>190.4880882944471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2">
        <f t="shared" ref="R131:R194" si="109">Q131+(I131+J131)*44/12</f>
        <v>867.3419851494366</v>
      </c>
      <c r="S131" s="62">
        <f ca="1">AVERAGE(OFFSET($R$3,0,0,'Données projet'!$E$9+1,1))-AVERAGE(OFFSET($H$3,0,0,'Données projet'!$E$9+1,1))</f>
        <v>428.8489304403459</v>
      </c>
      <c r="T131" s="62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274.66236526869056</v>
      </c>
      <c r="AO131" s="62">
        <f t="shared" si="90"/>
        <v>256.90876395053073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297.71039999999937</v>
      </c>
      <c r="BF131" s="14">
        <f t="shared" si="91"/>
        <v>70.696261560936534</v>
      </c>
      <c r="BG131" s="22">
        <f t="shared" si="61"/>
        <v>641.64160221862994</v>
      </c>
      <c r="BH131" s="62">
        <f t="shared" si="62"/>
        <v>934.9749355519632</v>
      </c>
      <c r="BI131" s="62">
        <f ca="1">AVERAGE(OFFSET($BH$3,0,0,'Données projet'!$E$11+1,1))-AVERAGE(OFFSET($H$3,0,0,'Données projet'!$E$11+1,1))</f>
        <v>475.47920969424894</v>
      </c>
      <c r="BJ131" s="62">
        <f t="shared" si="92"/>
        <v>271.73544012419364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2.6923076923076907</v>
      </c>
      <c r="BY131" s="13">
        <f>IF('Données projet'!$A$114&gt;35,BY130+BX131-CG130,IF(A131&lt;'Données projet'!$A$114,$BV$205^A131,IF(A131='Données projet'!$A$114,'Données projet'!$B$114,BY130+BX131-CG130)))</f>
        <v>338.84615384615387</v>
      </c>
      <c r="BZ131" s="14">
        <f>BY131*VLOOKUP('Données projet'!$B$12,Paramètres!$A$1:$I$89,3,0)*VLOOKUP('Données projet'!$B$12,Paramètres!$A$1:$I$89,5,0)</f>
        <v>354.16200000000009</v>
      </c>
      <c r="CA131" s="14">
        <f t="shared" si="93"/>
        <v>82.418919757949524</v>
      </c>
      <c r="CB131" s="22">
        <f t="shared" si="64"/>
        <v>760.3784352450956</v>
      </c>
      <c r="CC131" s="62">
        <f t="shared" si="65"/>
        <v>1053.711768578429</v>
      </c>
      <c r="CD131" s="62">
        <f ca="1">AVERAGE(OFFSET($CC$3,0,0,'Données projet'!$E$12+1,1))-AVERAGE(OFFSET($H$3,0,0,'Données projet'!$E$12+1,1))</f>
        <v>490.26236605482961</v>
      </c>
      <c r="CE131" s="62">
        <f t="shared" si="94"/>
        <v>283.40133947156238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4.9658410716801891E-14</v>
      </c>
      <c r="CV131" s="14">
        <f t="shared" si="95"/>
        <v>8.0934058173791862E-13</v>
      </c>
      <c r="CW131" s="22">
        <f t="shared" si="67"/>
        <v>1.4960899118586383E-12</v>
      </c>
      <c r="CX131" s="62">
        <f t="shared" si="68"/>
        <v>293.33333333333479</v>
      </c>
      <c r="CY131" s="62">
        <f ca="1">AVERAGE(OFFSET($CX$3,0,0,'Données projet'!$E$13+1,1))-AVERAGE(OFFSET($H$3,0,0,'Données projet'!$E$13+1,1))</f>
        <v>315.3516976788701</v>
      </c>
      <c r="CZ131" s="62">
        <f t="shared" si="96"/>
        <v>266.32508105927997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316.03103999999934</v>
      </c>
      <c r="EL131" s="14">
        <f t="shared" si="99"/>
        <v>74.526935456174002</v>
      </c>
      <c r="EM131" s="22">
        <f t="shared" si="73"/>
        <v>680.22180725283522</v>
      </c>
      <c r="EN131" s="62">
        <f t="shared" si="74"/>
        <v>973.55514058616859</v>
      </c>
      <c r="EO131" s="62">
        <f ca="1">AVERAGE(OFFSET($EN$3,0,0,'Données projet'!$E$15+1,1))-AVERAGE(OFFSET($H$3,0,0,'Données projet'!$E$15+1,1))</f>
        <v>502.07782026233912</v>
      </c>
      <c r="EP131" s="62">
        <f t="shared" si="100"/>
        <v>285.83623046025156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-1.7053025658242404E-13</v>
      </c>
      <c r="FF131" s="18">
        <f>FE131*VLOOKUP('Données projet'!$B$16,Paramètres!$A$1:$I$89,3,0)*VLOOKUP('Données projet'!$B$16,Paramètres!$A$1:$I$89,5,0)</f>
        <v>-1.6227659216383472E-13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365.5904647357433</v>
      </c>
      <c r="FK131" s="62">
        <f t="shared" si="102"/>
        <v>256.56280810580841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-1.1368683772161603E-13</v>
      </c>
      <c r="GA131" s="18">
        <f>FZ131*VLOOKUP('Données projet'!$B$17,Paramètres!$A$1:$I$89,3,0)*VLOOKUP('Données projet'!$B$17,Paramètres!$A$1:$I$89,5,0)</f>
        <v>-9.2222762759774927E-14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256.19915261735281</v>
      </c>
      <c r="GF131" s="62">
        <f t="shared" si="104"/>
        <v>297.47246687305056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4.66307692307692</v>
      </c>
      <c r="GU131" s="13">
        <f>IF('Données projet'!$A$270&gt;35,GU130+GT131-HC130,IF(A131&lt;'Données projet'!$A$270,$GR$205^A131,IF(A131='Données projet'!$A$270,'Données projet'!$B$270,GU130+GT131-HC130)))</f>
        <v>245.62615384615376</v>
      </c>
      <c r="GV131" s="18">
        <f>GU131*VLOOKUP('Données projet'!$B$18,Paramètres!$A$1:$I$89,3,0)*VLOOKUP('Données projet'!$B$18,Paramètres!$A$1:$I$89,5,0)</f>
        <v>114.95303999999996</v>
      </c>
      <c r="GW131" s="14">
        <f t="shared" si="105"/>
        <v>30.494951300893501</v>
      </c>
      <c r="GX131" s="22">
        <f t="shared" si="82"/>
        <v>253.3219181823894</v>
      </c>
      <c r="GY131" s="62">
        <f t="shared" si="83"/>
        <v>546.65525151572274</v>
      </c>
      <c r="GZ131" s="62">
        <f ca="1">AVERAGE(OFFSET($GY$3,0,0,'Données projet'!$E$18+1,1))-AVERAGE(OFFSET($H$3,0,0,'Données projet'!$E$18+1,1))</f>
        <v>284.704043530756</v>
      </c>
      <c r="HA131" s="62">
        <f t="shared" si="106"/>
        <v>190.4880882944471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2">
        <f t="shared" si="109"/>
        <v>873.4562845657872</v>
      </c>
      <c r="S132" s="62">
        <f ca="1">AVERAGE(OFFSET($R$3,0,0,'Données projet'!$E$9+1,1))-AVERAGE(OFFSET($H$3,0,0,'Données projet'!$E$9+1,1))</f>
        <v>428.8489304403459</v>
      </c>
      <c r="T132" s="62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274.66236526869056</v>
      </c>
      <c r="AO132" s="62">
        <f t="shared" si="90"/>
        <v>256.90876395053073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300.95519999999942</v>
      </c>
      <c r="BF132" s="14">
        <f t="shared" si="91"/>
        <v>71.376673021759657</v>
      </c>
      <c r="BG132" s="22">
        <f t="shared" ref="BG132:BG153" si="115">(BE132+BF132)*0.475*44/12</f>
        <v>648.47801217956373</v>
      </c>
      <c r="BH132" s="62">
        <f t="shared" ref="BH132:BH195" si="116">BG132+(AY132+AZ132)*44/12</f>
        <v>941.81134551289711</v>
      </c>
      <c r="BI132" s="62">
        <f ca="1">AVERAGE(OFFSET($BH$3,0,0,'Données projet'!$E$11+1,1))-AVERAGE(OFFSET($H$3,0,0,'Données projet'!$E$11+1,1))</f>
        <v>475.47920969424894</v>
      </c>
      <c r="BJ132" s="62">
        <f t="shared" si="92"/>
        <v>271.73544012419364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2.6923076923076907</v>
      </c>
      <c r="BY132" s="13">
        <f>IF('Données projet'!$A$114&gt;35,BY131+BX132-CG131,IF(A132&lt;'Données projet'!$A$114,$BV$205^A132,IF(A132='Données projet'!$A$114,'Données projet'!$B$114,BY131+BX132-CG131)))</f>
        <v>341.53846153846155</v>
      </c>
      <c r="BZ132" s="14">
        <f>BY132*VLOOKUP('Données projet'!$B$12,Paramètres!$A$1:$I$89,3,0)*VLOOKUP('Données projet'!$B$12,Paramètres!$A$1:$I$89,5,0)</f>
        <v>356.97600000000006</v>
      </c>
      <c r="CA132" s="14">
        <f t="shared" si="93"/>
        <v>82.997288044740444</v>
      </c>
      <c r="CB132" s="22">
        <f t="shared" ref="CB132:CB153" si="118">(BZ132+CA132)*0.475*44/12</f>
        <v>766.28681001125631</v>
      </c>
      <c r="CC132" s="62">
        <f t="shared" ref="CC132:CC195" si="119">CB132+(BT132+BU132)*44/12</f>
        <v>1059.6201433445897</v>
      </c>
      <c r="CD132" s="62">
        <f ca="1">AVERAGE(OFFSET($CC$3,0,0,'Données projet'!$E$12+1,1))-AVERAGE(OFFSET($H$3,0,0,'Données projet'!$E$12+1,1))</f>
        <v>490.26236605482961</v>
      </c>
      <c r="CE132" s="62">
        <f t="shared" si="94"/>
        <v>283.40133947156238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4.9658410716801891E-14</v>
      </c>
      <c r="CV132" s="14">
        <f t="shared" si="95"/>
        <v>8.0934058173791862E-13</v>
      </c>
      <c r="CW132" s="22">
        <f t="shared" ref="CW132:CW153" si="121">(CU132+CV132)*0.475*44/12</f>
        <v>1.4960899118586383E-12</v>
      </c>
      <c r="CX132" s="62">
        <f t="shared" ref="CX132:CX195" si="122">CW132+(CO132+CP132)*44/12</f>
        <v>293.33333333333479</v>
      </c>
      <c r="CY132" s="62">
        <f ca="1">AVERAGE(OFFSET($CX$3,0,0,'Données projet'!$E$13+1,1))-AVERAGE(OFFSET($H$3,0,0,'Données projet'!$E$13+1,1))</f>
        <v>315.3516976788701</v>
      </c>
      <c r="CZ132" s="62">
        <f t="shared" si="96"/>
        <v>266.32508105927997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319.47551999999928</v>
      </c>
      <c r="EL132" s="14">
        <f t="shared" si="99"/>
        <v>75.244214982768113</v>
      </c>
      <c r="EM132" s="22">
        <f t="shared" ref="EM132:EM153" si="127">(EK132+EL132)*0.475*44/12</f>
        <v>687.47020509498645</v>
      </c>
      <c r="EN132" s="62">
        <f t="shared" ref="EN132:EN195" si="128">EM132+(EE132+EF132)*44/12</f>
        <v>980.80353842831983</v>
      </c>
      <c r="EO132" s="62">
        <f ca="1">AVERAGE(OFFSET($EN$3,0,0,'Données projet'!$E$15+1,1))-AVERAGE(OFFSET($H$3,0,0,'Données projet'!$E$15+1,1))</f>
        <v>502.07782026233912</v>
      </c>
      <c r="EP132" s="62">
        <f t="shared" si="100"/>
        <v>285.83623046025156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-1.7053025658242404E-13</v>
      </c>
      <c r="FF132" s="18">
        <f>FE132*VLOOKUP('Données projet'!$B$16,Paramètres!$A$1:$I$89,3,0)*VLOOKUP('Données projet'!$B$16,Paramètres!$A$1:$I$89,5,0)</f>
        <v>-1.6227659216383472E-13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365.5904647357433</v>
      </c>
      <c r="FK132" s="62">
        <f t="shared" si="102"/>
        <v>256.56280810580841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-1.1368683772161603E-13</v>
      </c>
      <c r="GA132" s="18">
        <f>FZ132*VLOOKUP('Données projet'!$B$17,Paramètres!$A$1:$I$89,3,0)*VLOOKUP('Données projet'!$B$17,Paramètres!$A$1:$I$89,5,0)</f>
        <v>-9.2222762759774927E-14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256.19915261735281</v>
      </c>
      <c r="GF132" s="62">
        <f t="shared" si="104"/>
        <v>297.47246687305056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4.66307692307692</v>
      </c>
      <c r="GU132" s="13">
        <f>IF('Données projet'!$A$270&gt;35,GU131+GT132-HC131,IF(A132&lt;'Données projet'!$A$270,$GR$205^A132,IF(A132='Données projet'!$A$270,'Données projet'!$B$270,GU131+GT132-HC131)))</f>
        <v>250.28923076923067</v>
      </c>
      <c r="GV132" s="18">
        <f>GU132*VLOOKUP('Données projet'!$B$18,Paramètres!$A$1:$I$89,3,0)*VLOOKUP('Données projet'!$B$18,Paramètres!$A$1:$I$89,5,0)</f>
        <v>117.13535999999995</v>
      </c>
      <c r="GW132" s="14">
        <f t="shared" si="105"/>
        <v>31.005932437785589</v>
      </c>
      <c r="GX132" s="22">
        <f t="shared" ref="GX132:GX153" si="136">(GV132+GW132)*0.475*44/12</f>
        <v>258.01275099580977</v>
      </c>
      <c r="GY132" s="62">
        <f t="shared" ref="GY132:GY195" si="137">GX132+(GP132+GQ132)*44/12</f>
        <v>551.34608432914308</v>
      </c>
      <c r="GZ132" s="62">
        <f ca="1">AVERAGE(OFFSET($GY$3,0,0,'Données projet'!$E$18+1,1))-AVERAGE(OFFSET($H$3,0,0,'Données projet'!$E$18+1,1))</f>
        <v>284.704043530756</v>
      </c>
      <c r="HA132" s="62">
        <f t="shared" si="106"/>
        <v>190.4880882944471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2">
        <f t="shared" si="109"/>
        <v>879.56924002052051</v>
      </c>
      <c r="S133" s="62">
        <f ca="1">AVERAGE(OFFSET($R$3,0,0,'Données projet'!$E$9+1,1))-AVERAGE(OFFSET($H$3,0,0,'Données projet'!$E$9+1,1))</f>
        <v>428.8489304403459</v>
      </c>
      <c r="T133" s="62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274.66236526869056</v>
      </c>
      <c r="AO133" s="62">
        <f t="shared" ref="AO133:AO196" si="144">$AO$3</f>
        <v>256.90876395053073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304.19999999999936</v>
      </c>
      <c r="BF133" s="14">
        <f t="shared" ref="BF133:BF153" si="145">EXP(-1.0587+0.8836*LN(BE133)+0.284)</f>
        <v>72.056231093480946</v>
      </c>
      <c r="BG133" s="22">
        <f t="shared" si="115"/>
        <v>655.31293582114483</v>
      </c>
      <c r="BH133" s="62">
        <f t="shared" si="116"/>
        <v>948.6462691544782</v>
      </c>
      <c r="BI133" s="62">
        <f ca="1">AVERAGE(OFFSET($BH$3,0,0,'Données projet'!$E$11+1,1))-AVERAGE(OFFSET($H$3,0,0,'Données projet'!$E$11+1,1))</f>
        <v>475.47920969424894</v>
      </c>
      <c r="BJ133" s="62">
        <f t="shared" ref="BJ133:BJ196" si="146">$BJ$3</f>
        <v>271.73544012419364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348.07692307692304</v>
      </c>
      <c r="BW133" s="13">
        <f>VLOOKUP(A133,'Données projet'!$A$113:$I$133,9,0)</f>
        <v>2.6923076923076907</v>
      </c>
      <c r="BX133" s="13">
        <f t="array" ref="BX133">INDEX(BW:BW,MIN(IF(ISNUMBER(BW133:BW329),ROW(BW133:BW329),"")))</f>
        <v>2.6923076923076907</v>
      </c>
      <c r="BY133" s="13">
        <f>IF('Données projet'!$A$114&gt;35,BY132+BX133-CG132,IF(A133&lt;'Données projet'!$A$114,$BV$205^A133,IF(A133='Données projet'!$A$114,'Données projet'!$B$114,BY132+BX133-CG132)))</f>
        <v>344.23076923076923</v>
      </c>
      <c r="BZ133" s="14">
        <f>BY133*VLOOKUP('Données projet'!$B$12,Paramètres!$A$1:$I$89,3,0)*VLOOKUP('Données projet'!$B$12,Paramètres!$A$1:$I$89,5,0)</f>
        <v>359.79</v>
      </c>
      <c r="CA133" s="14">
        <f t="shared" ref="CA133:CA153" si="147">EXP(-1.0587+0.8836*LN(BZ133)+0.284)</f>
        <v>83.575125877136898</v>
      </c>
      <c r="CB133" s="22">
        <f t="shared" si="118"/>
        <v>772.19426090268007</v>
      </c>
      <c r="CC133" s="62">
        <f t="shared" si="119"/>
        <v>1065.5275942360133</v>
      </c>
      <c r="CD133" s="62">
        <f ca="1">AVERAGE(OFFSET($CC$3,0,0,'Données projet'!$E$12+1,1))-AVERAGE(OFFSET($H$3,0,0,'Données projet'!$E$12+1,1))</f>
        <v>490.26236605482961</v>
      </c>
      <c r="CE133" s="62">
        <f t="shared" ref="CE133:CE196" si="148">$CE$3</f>
        <v>283.40133947156238</v>
      </c>
      <c r="CF133" s="16">
        <f>IF(ISNA(VLOOKUP(A133,'Données projet'!$A$113:$I$133,3,0)),0,VLOOKUP(A133,'Données projet'!$A$113:$I$133,3,0))</f>
        <v>10</v>
      </c>
      <c r="CG133" s="16">
        <f>IF(ISNA(VLOOKUP(A133,'Données projet'!$A$113:$I$133,4,0)),0,VLOOKUP(A133,'Données projet'!$A$113:$I$133,4,0))</f>
        <v>348.07692307692304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4.9658410716801891E-14</v>
      </c>
      <c r="CV133" s="14">
        <f t="shared" ref="CV133:CV153" si="149">EXP(-1.0587+0.8836*LN(CU133)+0.284)</f>
        <v>8.0934058173791862E-13</v>
      </c>
      <c r="CW133" s="22">
        <f t="shared" si="121"/>
        <v>1.4960899118586383E-12</v>
      </c>
      <c r="CX133" s="62">
        <f t="shared" si="122"/>
        <v>293.33333333333479</v>
      </c>
      <c r="CY133" s="62">
        <f ca="1">AVERAGE(OFFSET($CX$3,0,0,'Données projet'!$E$13+1,1))-AVERAGE(OFFSET($H$3,0,0,'Données projet'!$E$13+1,1))</f>
        <v>315.3516976788701</v>
      </c>
      <c r="CZ133" s="62">
        <f t="shared" ref="CZ133:CZ196" si="150">$CZ$3</f>
        <v>266.32508105927997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322.91999999999928</v>
      </c>
      <c r="EL133" s="14">
        <f t="shared" ref="EL133:EL153" si="153">EXP(-1.0587+0.8836*LN(EK133)+0.284)</f>
        <v>75.960594879408617</v>
      </c>
      <c r="EM133" s="22">
        <f t="shared" si="127"/>
        <v>694.71703608163534</v>
      </c>
      <c r="EN133" s="62">
        <f t="shared" si="128"/>
        <v>988.0503694149686</v>
      </c>
      <c r="EO133" s="62">
        <f ca="1">AVERAGE(OFFSET($EN$3,0,0,'Données projet'!$E$15+1,1))-AVERAGE(OFFSET($H$3,0,0,'Données projet'!$E$15+1,1))</f>
        <v>502.07782026233912</v>
      </c>
      <c r="EP133" s="62">
        <f t="shared" ref="EP133:EP196" si="154">$EP$3</f>
        <v>285.83623046025156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-1.7053025658242404E-13</v>
      </c>
      <c r="FF133" s="18">
        <f>FE133*VLOOKUP('Données projet'!$B$16,Paramètres!$A$1:$I$89,3,0)*VLOOKUP('Données projet'!$B$16,Paramètres!$A$1:$I$89,5,0)</f>
        <v>-1.6227659216383472E-13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365.5904647357433</v>
      </c>
      <c r="FK133" s="62">
        <f t="shared" ref="FK133:FK196" si="156">$FK$3</f>
        <v>256.56280810580841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-1.1368683772161603E-13</v>
      </c>
      <c r="GA133" s="18">
        <f>FZ133*VLOOKUP('Données projet'!$B$17,Paramètres!$A$1:$I$89,3,0)*VLOOKUP('Données projet'!$B$17,Paramètres!$A$1:$I$89,5,0)</f>
        <v>-9.2222762759774927E-14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256.19915261735281</v>
      </c>
      <c r="GF133" s="62">
        <f t="shared" ref="GF133:GF196" si="158">$GF$3</f>
        <v>297.47246687305056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4.66307692307692</v>
      </c>
      <c r="GU133" s="13">
        <f>IF('Données projet'!$A$270&gt;35,GU132+GT133-HC132,IF(A133&lt;'Données projet'!$A$270,$GR$205^A133,IF(A133='Données projet'!$A$270,'Données projet'!$B$270,GU132+GT133-HC132)))</f>
        <v>254.95230769230758</v>
      </c>
      <c r="GV133" s="18">
        <f>GU133*VLOOKUP('Données projet'!$B$18,Paramètres!$A$1:$I$89,3,0)*VLOOKUP('Données projet'!$B$18,Paramètres!$A$1:$I$89,5,0)</f>
        <v>119.31767999999995</v>
      </c>
      <c r="GW133" s="14">
        <f t="shared" ref="GW133:GW153" si="159">EXP(-1.0587+0.8836*LN(GV133)+0.284)</f>
        <v>31.515806583905047</v>
      </c>
      <c r="GX133" s="22">
        <f t="shared" si="136"/>
        <v>262.70165580030124</v>
      </c>
      <c r="GY133" s="62">
        <f t="shared" si="137"/>
        <v>556.03498913363455</v>
      </c>
      <c r="GZ133" s="62">
        <f ca="1">AVERAGE(OFFSET($GY$3,0,0,'Données projet'!$E$18+1,1))-AVERAGE(OFFSET($H$3,0,0,'Données projet'!$E$18+1,1))</f>
        <v>284.704043530756</v>
      </c>
      <c r="HA133" s="62">
        <f t="shared" ref="HA133:HA196" si="160">$HA$3</f>
        <v>190.4880882944471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2">
        <f t="shared" si="109"/>
        <v>825.45983568521592</v>
      </c>
      <c r="S134" s="62">
        <f ca="1">AVERAGE(OFFSET($R$3,0,0,'Données projet'!$E$9+1,1))-AVERAGE(OFFSET($H$3,0,0,'Données projet'!$E$9+1,1))</f>
        <v>428.8489304403459</v>
      </c>
      <c r="T134" s="62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274.66236526869056</v>
      </c>
      <c r="AO134" s="62">
        <f t="shared" si="144"/>
        <v>256.90876395053073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275.50379999999939</v>
      </c>
      <c r="BF134" s="14">
        <f t="shared" si="145"/>
        <v>66.015939215007748</v>
      </c>
      <c r="BG134" s="22">
        <f t="shared" si="115"/>
        <v>594.81354579947072</v>
      </c>
      <c r="BH134" s="62">
        <f t="shared" si="116"/>
        <v>888.14687913280409</v>
      </c>
      <c r="BI134" s="62">
        <f ca="1">AVERAGE(OFFSET($BH$3,0,0,'Données projet'!$E$11+1,1))-AVERAGE(OFFSET($H$3,0,0,'Données projet'!$E$11+1,1))</f>
        <v>475.47920969424894</v>
      </c>
      <c r="BJ134" s="62">
        <f t="shared" si="146"/>
        <v>271.73544012419364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-3.8461538461538112</v>
      </c>
      <c r="BZ134" s="14">
        <f>BY134*VLOOKUP('Données projet'!$B$12,Paramètres!$A$1:$I$89,3,0)*VLOOKUP('Données projet'!$B$12,Paramètres!$A$1:$I$89,5,0)</f>
        <v>-4.019999999999964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490.26236605482961</v>
      </c>
      <c r="CE134" s="62">
        <f t="shared" si="148"/>
        <v>283.40133947156238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4.9658410716801891E-14</v>
      </c>
      <c r="CV134" s="14">
        <f t="shared" si="149"/>
        <v>8.0934058173791862E-13</v>
      </c>
      <c r="CW134" s="22">
        <f t="shared" si="121"/>
        <v>1.4960899118586383E-12</v>
      </c>
      <c r="CX134" s="62">
        <f t="shared" si="122"/>
        <v>293.33333333333479</v>
      </c>
      <c r="CY134" s="62">
        <f ca="1">AVERAGE(OFFSET($CX$3,0,0,'Données projet'!$E$13+1,1))-AVERAGE(OFFSET($H$3,0,0,'Données projet'!$E$13+1,1))</f>
        <v>315.3516976788701</v>
      </c>
      <c r="CZ134" s="62">
        <f t="shared" si="150"/>
        <v>266.32508105927997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292.45787999999931</v>
      </c>
      <c r="EL134" s="14">
        <f t="shared" si="153"/>
        <v>69.59301004501954</v>
      </c>
      <c r="EM134" s="22">
        <f t="shared" si="127"/>
        <v>630.57196682840777</v>
      </c>
      <c r="EN134" s="62">
        <f t="shared" si="128"/>
        <v>923.90530016174102</v>
      </c>
      <c r="EO134" s="62">
        <f ca="1">AVERAGE(OFFSET($EN$3,0,0,'Données projet'!$E$15+1,1))-AVERAGE(OFFSET($H$3,0,0,'Données projet'!$E$15+1,1))</f>
        <v>502.07782026233912</v>
      </c>
      <c r="EP134" s="62">
        <f t="shared" si="154"/>
        <v>285.83623046025156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-1.7053025658242404E-13</v>
      </c>
      <c r="FF134" s="18">
        <f>FE134*VLOOKUP('Données projet'!$B$16,Paramètres!$A$1:$I$89,3,0)*VLOOKUP('Données projet'!$B$16,Paramètres!$A$1:$I$89,5,0)</f>
        <v>-1.6227659216383472E-13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365.5904647357433</v>
      </c>
      <c r="FK134" s="62">
        <f t="shared" si="156"/>
        <v>256.56280810580841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-1.1368683772161603E-13</v>
      </c>
      <c r="GA134" s="18">
        <f>FZ134*VLOOKUP('Données projet'!$B$17,Paramètres!$A$1:$I$89,3,0)*VLOOKUP('Données projet'!$B$17,Paramètres!$A$1:$I$89,5,0)</f>
        <v>-9.2222762759774927E-14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256.19915261735281</v>
      </c>
      <c r="GF134" s="62">
        <f t="shared" si="158"/>
        <v>297.47246687305056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>
        <f>VLOOKUP(A134,'Données projet'!$A$269:$I$289,2,0)</f>
        <v>259.61538461538458</v>
      </c>
      <c r="GS134" s="13">
        <f>VLOOKUP(A134,'Données projet'!$A$269:$I$289,9,0)</f>
        <v>4.66307692307692</v>
      </c>
      <c r="GT134" s="13">
        <f t="array" ref="GT134">INDEX(GS:GS,MIN(IF(ISNUMBER(GS134:GS330),ROW(GS134:GS330),"")))</f>
        <v>4.66307692307692</v>
      </c>
      <c r="GU134" s="13">
        <f>IF('Données projet'!$A$270&gt;35,GU133+GT134-HC133,IF(A134&lt;'Données projet'!$A$270,$GR$205^A134,IF(A134='Données projet'!$A$270,'Données projet'!$B$270,GU133+GT134-HC133)))</f>
        <v>259.61538461538453</v>
      </c>
      <c r="GV134" s="18">
        <f>GU134*VLOOKUP('Données projet'!$B$18,Paramètres!$A$1:$I$89,3,0)*VLOOKUP('Données projet'!$B$18,Paramètres!$A$1:$I$89,5,0)</f>
        <v>121.49999999999996</v>
      </c>
      <c r="GW134" s="14">
        <f t="shared" si="159"/>
        <v>32.024596321339054</v>
      </c>
      <c r="GX134" s="22">
        <f t="shared" si="136"/>
        <v>267.38867192633211</v>
      </c>
      <c r="GY134" s="62">
        <f t="shared" si="137"/>
        <v>560.72200525966537</v>
      </c>
      <c r="GZ134" s="62">
        <f ca="1">AVERAGE(OFFSET($GY$3,0,0,'Données projet'!$E$18+1,1))-AVERAGE(OFFSET($H$3,0,0,'Données projet'!$E$18+1,1))</f>
        <v>284.704043530756</v>
      </c>
      <c r="HA134" s="62">
        <f t="shared" si="160"/>
        <v>190.4880882944471</v>
      </c>
      <c r="HB134" s="16">
        <f>IF(ISNA(VLOOKUP(A134,'Données projet'!$A$269:$I$289,3,0)),0,VLOOKUP(A134,'Données projet'!$A$269:$I$289,3,0))</f>
        <v>8</v>
      </c>
      <c r="HC134" s="16">
        <f>IF(ISNA(VLOOKUP(A134,'Données projet'!$A$269:$I$289,4,0)),0,VLOOKUP(A134,'Données projet'!$A$269:$I$289,4,0))</f>
        <v>259.61538461538458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2">
        <f t="shared" si="109"/>
        <v>830.62702157178455</v>
      </c>
      <c r="S135" s="62">
        <f ca="1">AVERAGE(OFFSET($R$3,0,0,'Données projet'!$E$9+1,1))-AVERAGE(OFFSET($H$3,0,0,'Données projet'!$E$9+1,1))</f>
        <v>428.8489304403459</v>
      </c>
      <c r="T135" s="62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274.66236526869056</v>
      </c>
      <c r="AO135" s="62">
        <f t="shared" si="144"/>
        <v>256.90876395053073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278.24159999999938</v>
      </c>
      <c r="BF135" s="14">
        <f t="shared" si="145"/>
        <v>66.595272276139625</v>
      </c>
      <c r="BG135" s="22">
        <f t="shared" si="115"/>
        <v>600.59088588094198</v>
      </c>
      <c r="BH135" s="62">
        <f t="shared" si="116"/>
        <v>893.92421921427535</v>
      </c>
      <c r="BI135" s="62">
        <f ca="1">AVERAGE(OFFSET($BH$3,0,0,'Données projet'!$E$11+1,1))-AVERAGE(OFFSET($H$3,0,0,'Données projet'!$E$11+1,1))</f>
        <v>475.47920969424894</v>
      </c>
      <c r="BJ135" s="62">
        <f t="shared" si="146"/>
        <v>271.73544012419364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-3.8461538461538112</v>
      </c>
      <c r="BZ135" s="14">
        <f>BY135*VLOOKUP('Données projet'!$B$12,Paramètres!$A$1:$I$89,3,0)*VLOOKUP('Données projet'!$B$12,Paramètres!$A$1:$I$89,5,0)</f>
        <v>-4.019999999999964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490.26236605482961</v>
      </c>
      <c r="CE135" s="62">
        <f t="shared" si="148"/>
        <v>283.40133947156238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4.9658410716801891E-14</v>
      </c>
      <c r="CV135" s="14">
        <f t="shared" si="149"/>
        <v>8.0934058173791862E-13</v>
      </c>
      <c r="CW135" s="22">
        <f t="shared" si="121"/>
        <v>1.4960899118586383E-12</v>
      </c>
      <c r="CX135" s="62">
        <f t="shared" si="122"/>
        <v>293.33333333333479</v>
      </c>
      <c r="CY135" s="62">
        <f ca="1">AVERAGE(OFFSET($CX$3,0,0,'Données projet'!$E$13+1,1))-AVERAGE(OFFSET($H$3,0,0,'Données projet'!$E$13+1,1))</f>
        <v>315.3516976788701</v>
      </c>
      <c r="CZ135" s="62">
        <f t="shared" si="150"/>
        <v>266.32508105927997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295.36415999999929</v>
      </c>
      <c r="EL135" s="14">
        <f t="shared" si="153"/>
        <v>70.203734243177976</v>
      </c>
      <c r="EM135" s="22">
        <f t="shared" si="127"/>
        <v>636.69741580686696</v>
      </c>
      <c r="EN135" s="62">
        <f t="shared" si="128"/>
        <v>930.03074914020021</v>
      </c>
      <c r="EO135" s="62">
        <f ca="1">AVERAGE(OFFSET($EN$3,0,0,'Données projet'!$E$15+1,1))-AVERAGE(OFFSET($H$3,0,0,'Données projet'!$E$15+1,1))</f>
        <v>502.07782026233912</v>
      </c>
      <c r="EP135" s="62">
        <f t="shared" si="154"/>
        <v>285.83623046025156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-1.7053025658242404E-13</v>
      </c>
      <c r="FF135" s="18">
        <f>FE135*VLOOKUP('Données projet'!$B$16,Paramètres!$A$1:$I$89,3,0)*VLOOKUP('Données projet'!$B$16,Paramètres!$A$1:$I$89,5,0)</f>
        <v>-1.6227659216383472E-13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365.5904647357433</v>
      </c>
      <c r="FK135" s="62">
        <f t="shared" si="156"/>
        <v>256.56280810580841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-1.1368683772161603E-13</v>
      </c>
      <c r="GA135" s="18">
        <f>FZ135*VLOOKUP('Données projet'!$B$17,Paramètres!$A$1:$I$89,3,0)*VLOOKUP('Données projet'!$B$17,Paramètres!$A$1:$I$89,5,0)</f>
        <v>-9.2222762759774927E-14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256.19915261735281</v>
      </c>
      <c r="GF135" s="62">
        <f t="shared" si="158"/>
        <v>297.47246687305056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-5.6843418860808015E-14</v>
      </c>
      <c r="GV135" s="18">
        <f>GU135*VLOOKUP('Données projet'!$B$18,Paramètres!$A$1:$I$89,3,0)*VLOOKUP('Données projet'!$B$18,Paramètres!$A$1:$I$89,5,0)</f>
        <v>-2.6602720026858149E-14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284.704043530756</v>
      </c>
      <c r="HA135" s="62">
        <f t="shared" si="160"/>
        <v>190.4880882944471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2">
        <f t="shared" si="109"/>
        <v>835.7931630761725</v>
      </c>
      <c r="S136" s="62">
        <f ca="1">AVERAGE(OFFSET($R$3,0,0,'Données projet'!$E$9+1,1))-AVERAGE(OFFSET($H$3,0,0,'Données projet'!$E$9+1,1))</f>
        <v>428.8489304403459</v>
      </c>
      <c r="T136" s="62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274.66236526869056</v>
      </c>
      <c r="AO136" s="62">
        <f t="shared" si="144"/>
        <v>256.90876395053073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280.97939999999937</v>
      </c>
      <c r="BF136" s="14">
        <f t="shared" si="145"/>
        <v>67.173942175199301</v>
      </c>
      <c r="BG136" s="22">
        <f t="shared" si="115"/>
        <v>606.36707095513759</v>
      </c>
      <c r="BH136" s="62">
        <f t="shared" si="116"/>
        <v>899.70040428847096</v>
      </c>
      <c r="BI136" s="62">
        <f ca="1">AVERAGE(OFFSET($BH$3,0,0,'Données projet'!$E$11+1,1))-AVERAGE(OFFSET($H$3,0,0,'Données projet'!$E$11+1,1))</f>
        <v>475.47920969424894</v>
      </c>
      <c r="BJ136" s="62">
        <f t="shared" si="146"/>
        <v>271.73544012419364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-3.8461538461538112</v>
      </c>
      <c r="BZ136" s="14">
        <f>BY136*VLOOKUP('Données projet'!$B$12,Paramètres!$A$1:$I$89,3,0)*VLOOKUP('Données projet'!$B$12,Paramètres!$A$1:$I$89,5,0)</f>
        <v>-4.019999999999964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490.26236605482961</v>
      </c>
      <c r="CE136" s="62">
        <f t="shared" si="148"/>
        <v>283.40133947156238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4.9658410716801891E-14</v>
      </c>
      <c r="CV136" s="14">
        <f t="shared" si="149"/>
        <v>8.0934058173791862E-13</v>
      </c>
      <c r="CW136" s="22">
        <f t="shared" si="121"/>
        <v>1.4960899118586383E-12</v>
      </c>
      <c r="CX136" s="62">
        <f t="shared" si="122"/>
        <v>293.33333333333479</v>
      </c>
      <c r="CY136" s="62">
        <f ca="1">AVERAGE(OFFSET($CX$3,0,0,'Données projet'!$E$13+1,1))-AVERAGE(OFFSET($H$3,0,0,'Données projet'!$E$13+1,1))</f>
        <v>315.3516976788701</v>
      </c>
      <c r="CZ136" s="62">
        <f t="shared" si="150"/>
        <v>266.32508105927997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298.27043999999927</v>
      </c>
      <c r="EL136" s="14">
        <f t="shared" si="153"/>
        <v>70.813759345855843</v>
      </c>
      <c r="EM136" s="22">
        <f t="shared" si="127"/>
        <v>642.8216471940309</v>
      </c>
      <c r="EN136" s="62">
        <f t="shared" si="128"/>
        <v>936.15498052736416</v>
      </c>
      <c r="EO136" s="62">
        <f ca="1">AVERAGE(OFFSET($EN$3,0,0,'Données projet'!$E$15+1,1))-AVERAGE(OFFSET($H$3,0,0,'Données projet'!$E$15+1,1))</f>
        <v>502.07782026233912</v>
      </c>
      <c r="EP136" s="62">
        <f t="shared" si="154"/>
        <v>285.83623046025156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-1.7053025658242404E-13</v>
      </c>
      <c r="FF136" s="18">
        <f>FE136*VLOOKUP('Données projet'!$B$16,Paramètres!$A$1:$I$89,3,0)*VLOOKUP('Données projet'!$B$16,Paramètres!$A$1:$I$89,5,0)</f>
        <v>-1.6227659216383472E-13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365.5904647357433</v>
      </c>
      <c r="FK136" s="62">
        <f t="shared" si="156"/>
        <v>256.56280810580841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-1.1368683772161603E-13</v>
      </c>
      <c r="GA136" s="18">
        <f>FZ136*VLOOKUP('Données projet'!$B$17,Paramètres!$A$1:$I$89,3,0)*VLOOKUP('Données projet'!$B$17,Paramètres!$A$1:$I$89,5,0)</f>
        <v>-9.2222762759774927E-14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256.19915261735281</v>
      </c>
      <c r="GF136" s="62">
        <f t="shared" si="158"/>
        <v>297.47246687305056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-5.6843418860808015E-14</v>
      </c>
      <c r="GV136" s="18">
        <f>GU136*VLOOKUP('Données projet'!$B$18,Paramètres!$A$1:$I$89,3,0)*VLOOKUP('Données projet'!$B$18,Paramètres!$A$1:$I$89,5,0)</f>
        <v>-2.6602720026858149E-14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284.704043530756</v>
      </c>
      <c r="HA136" s="62">
        <f t="shared" si="160"/>
        <v>190.4880882944471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2">
        <f t="shared" si="109"/>
        <v>840.958271553038</v>
      </c>
      <c r="S137" s="62">
        <f ca="1">AVERAGE(OFFSET($R$3,0,0,'Données projet'!$E$9+1,1))-AVERAGE(OFFSET($H$3,0,0,'Données projet'!$E$9+1,1))</f>
        <v>428.8489304403459</v>
      </c>
      <c r="T137" s="62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274.66236526869056</v>
      </c>
      <c r="AO137" s="62">
        <f t="shared" si="144"/>
        <v>256.90876395053073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283.71719999999937</v>
      </c>
      <c r="BF137" s="14">
        <f t="shared" si="145"/>
        <v>67.751956122170526</v>
      </c>
      <c r="BG137" s="22">
        <f t="shared" si="115"/>
        <v>612.14211357944589</v>
      </c>
      <c r="BH137" s="62">
        <f t="shared" si="116"/>
        <v>905.47544691277926</v>
      </c>
      <c r="BI137" s="62">
        <f ca="1">AVERAGE(OFFSET($BH$3,0,0,'Données projet'!$E$11+1,1))-AVERAGE(OFFSET($H$3,0,0,'Données projet'!$E$11+1,1))</f>
        <v>475.47920969424894</v>
      </c>
      <c r="BJ137" s="62">
        <f t="shared" si="146"/>
        <v>271.73544012419364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-3.8461538461538112</v>
      </c>
      <c r="BZ137" s="14">
        <f>BY137*VLOOKUP('Données projet'!$B$12,Paramètres!$A$1:$I$89,3,0)*VLOOKUP('Données projet'!$B$12,Paramètres!$A$1:$I$89,5,0)</f>
        <v>-4.019999999999964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490.26236605482961</v>
      </c>
      <c r="CE137" s="62">
        <f t="shared" si="148"/>
        <v>283.40133947156238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4.9658410716801891E-14</v>
      </c>
      <c r="CV137" s="14">
        <f t="shared" si="149"/>
        <v>8.0934058173791862E-13</v>
      </c>
      <c r="CW137" s="22">
        <f t="shared" si="121"/>
        <v>1.4960899118586383E-12</v>
      </c>
      <c r="CX137" s="62">
        <f t="shared" si="122"/>
        <v>293.33333333333479</v>
      </c>
      <c r="CY137" s="62">
        <f ca="1">AVERAGE(OFFSET($CX$3,0,0,'Données projet'!$E$13+1,1))-AVERAGE(OFFSET($H$3,0,0,'Données projet'!$E$13+1,1))</f>
        <v>315.3516976788701</v>
      </c>
      <c r="CZ137" s="62">
        <f t="shared" si="150"/>
        <v>266.32508105927997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301.17671999999925</v>
      </c>
      <c r="EL137" s="14">
        <f t="shared" si="153"/>
        <v>71.423092953709514</v>
      </c>
      <c r="EM137" s="22">
        <f t="shared" si="127"/>
        <v>648.94467422770936</v>
      </c>
      <c r="EN137" s="62">
        <f t="shared" si="128"/>
        <v>942.27800756104261</v>
      </c>
      <c r="EO137" s="62">
        <f ca="1">AVERAGE(OFFSET($EN$3,0,0,'Données projet'!$E$15+1,1))-AVERAGE(OFFSET($H$3,0,0,'Données projet'!$E$15+1,1))</f>
        <v>502.07782026233912</v>
      </c>
      <c r="EP137" s="62">
        <f t="shared" si="154"/>
        <v>285.83623046025156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-1.7053025658242404E-13</v>
      </c>
      <c r="FF137" s="18">
        <f>FE137*VLOOKUP('Données projet'!$B$16,Paramètres!$A$1:$I$89,3,0)*VLOOKUP('Données projet'!$B$16,Paramètres!$A$1:$I$89,5,0)</f>
        <v>-1.6227659216383472E-13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365.5904647357433</v>
      </c>
      <c r="FK137" s="62">
        <f t="shared" si="156"/>
        <v>256.56280810580841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-1.1368683772161603E-13</v>
      </c>
      <c r="GA137" s="18">
        <f>FZ137*VLOOKUP('Données projet'!$B$17,Paramètres!$A$1:$I$89,3,0)*VLOOKUP('Données projet'!$B$17,Paramètres!$A$1:$I$89,5,0)</f>
        <v>-9.2222762759774927E-14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256.19915261735281</v>
      </c>
      <c r="GF137" s="62">
        <f t="shared" si="158"/>
        <v>297.47246687305056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-5.6843418860808015E-14</v>
      </c>
      <c r="GV137" s="18">
        <f>GU137*VLOOKUP('Données projet'!$B$18,Paramètres!$A$1:$I$89,3,0)*VLOOKUP('Données projet'!$B$18,Paramètres!$A$1:$I$89,5,0)</f>
        <v>-2.6602720026858149E-14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284.704043530756</v>
      </c>
      <c r="HA137" s="62">
        <f t="shared" si="160"/>
        <v>190.4880882944471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2">
        <f t="shared" si="109"/>
        <v>846.12235812526569</v>
      </c>
      <c r="S138" s="62">
        <f ca="1">AVERAGE(OFFSET($R$3,0,0,'Données projet'!$E$9+1,1))-AVERAGE(OFFSET($H$3,0,0,'Données projet'!$E$9+1,1))</f>
        <v>428.8489304403459</v>
      </c>
      <c r="T138" s="62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274.66236526869056</v>
      </c>
      <c r="AO138" s="62">
        <f t="shared" si="144"/>
        <v>256.90876395053073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286.45499999999936</v>
      </c>
      <c r="BF138" s="14">
        <f t="shared" si="145"/>
        <v>68.329321179865531</v>
      </c>
      <c r="BG138" s="22">
        <f t="shared" si="115"/>
        <v>617.91602605493142</v>
      </c>
      <c r="BH138" s="62">
        <f t="shared" si="116"/>
        <v>911.24935938826479</v>
      </c>
      <c r="BI138" s="62">
        <f ca="1">AVERAGE(OFFSET($BH$3,0,0,'Données projet'!$E$11+1,1))-AVERAGE(OFFSET($H$3,0,0,'Données projet'!$E$11+1,1))</f>
        <v>475.47920969424894</v>
      </c>
      <c r="BJ138" s="62">
        <f t="shared" si="146"/>
        <v>271.73544012419364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-3.8461538461538112</v>
      </c>
      <c r="BZ138" s="14">
        <f>BY138*VLOOKUP('Données projet'!$B$12,Paramètres!$A$1:$I$89,3,0)*VLOOKUP('Données projet'!$B$12,Paramètres!$A$1:$I$89,5,0)</f>
        <v>-4.019999999999964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490.26236605482961</v>
      </c>
      <c r="CE138" s="62">
        <f t="shared" si="148"/>
        <v>283.40133947156238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4.9658410716801891E-14</v>
      </c>
      <c r="CV138" s="14">
        <f t="shared" si="149"/>
        <v>8.0934058173791862E-13</v>
      </c>
      <c r="CW138" s="22">
        <f t="shared" si="121"/>
        <v>1.4960899118586383E-12</v>
      </c>
      <c r="CX138" s="62">
        <f t="shared" si="122"/>
        <v>293.33333333333479</v>
      </c>
      <c r="CY138" s="62">
        <f ca="1">AVERAGE(OFFSET($CX$3,0,0,'Données projet'!$E$13+1,1))-AVERAGE(OFFSET($H$3,0,0,'Données projet'!$E$13+1,1))</f>
        <v>315.3516976788701</v>
      </c>
      <c r="CZ138" s="62">
        <f t="shared" si="150"/>
        <v>266.32508105927997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304.08299999999929</v>
      </c>
      <c r="EL138" s="14">
        <f t="shared" si="153"/>
        <v>72.031742512249494</v>
      </c>
      <c r="EM138" s="22">
        <f t="shared" si="127"/>
        <v>655.06650987549995</v>
      </c>
      <c r="EN138" s="62">
        <f t="shared" si="128"/>
        <v>948.39984320883332</v>
      </c>
      <c r="EO138" s="62">
        <f ca="1">AVERAGE(OFFSET($EN$3,0,0,'Données projet'!$E$15+1,1))-AVERAGE(OFFSET($H$3,0,0,'Données projet'!$E$15+1,1))</f>
        <v>502.07782026233912</v>
      </c>
      <c r="EP138" s="62">
        <f t="shared" si="154"/>
        <v>285.83623046025156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-1.7053025658242404E-13</v>
      </c>
      <c r="FF138" s="18">
        <f>FE138*VLOOKUP('Données projet'!$B$16,Paramètres!$A$1:$I$89,3,0)*VLOOKUP('Données projet'!$B$16,Paramètres!$A$1:$I$89,5,0)</f>
        <v>-1.6227659216383472E-13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365.5904647357433</v>
      </c>
      <c r="FK138" s="62">
        <f t="shared" si="156"/>
        <v>256.56280810580841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-1.1368683772161603E-13</v>
      </c>
      <c r="GA138" s="18">
        <f>FZ138*VLOOKUP('Données projet'!$B$17,Paramètres!$A$1:$I$89,3,0)*VLOOKUP('Données projet'!$B$17,Paramètres!$A$1:$I$89,5,0)</f>
        <v>-9.2222762759774927E-14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256.19915261735281</v>
      </c>
      <c r="GF138" s="62">
        <f t="shared" si="158"/>
        <v>297.47246687305056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-5.6843418860808015E-14</v>
      </c>
      <c r="GV138" s="18">
        <f>GU138*VLOOKUP('Données projet'!$B$18,Paramètres!$A$1:$I$89,3,0)*VLOOKUP('Données projet'!$B$18,Paramètres!$A$1:$I$89,5,0)</f>
        <v>-2.6602720026858149E-14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284.704043530756</v>
      </c>
      <c r="HA138" s="62">
        <f t="shared" si="160"/>
        <v>190.4880882944471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2">
        <f t="shared" si="109"/>
        <v>851.28543369086674</v>
      </c>
      <c r="S139" s="62">
        <f ca="1">AVERAGE(OFFSET($R$3,0,0,'Données projet'!$E$9+1,1))-AVERAGE(OFFSET($H$3,0,0,'Données projet'!$E$9+1,1))</f>
        <v>428.8489304403459</v>
      </c>
      <c r="T139" s="62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274.66236526869056</v>
      </c>
      <c r="AO139" s="62">
        <f t="shared" si="144"/>
        <v>256.90876395053073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289.19279999999935</v>
      </c>
      <c r="BF139" s="14">
        <f t="shared" si="145"/>
        <v>68.906044268306161</v>
      </c>
      <c r="BG139" s="22">
        <f t="shared" si="115"/>
        <v>623.68882043396547</v>
      </c>
      <c r="BH139" s="62">
        <f t="shared" si="116"/>
        <v>917.02215376729873</v>
      </c>
      <c r="BI139" s="62">
        <f ca="1">AVERAGE(OFFSET($BH$3,0,0,'Données projet'!$E$11+1,1))-AVERAGE(OFFSET($H$3,0,0,'Données projet'!$E$11+1,1))</f>
        <v>475.47920969424894</v>
      </c>
      <c r="BJ139" s="62">
        <f t="shared" si="146"/>
        <v>271.73544012419364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-3.8461538461538112</v>
      </c>
      <c r="BZ139" s="14">
        <f>BY139*VLOOKUP('Données projet'!$B$12,Paramètres!$A$1:$I$89,3,0)*VLOOKUP('Données projet'!$B$12,Paramètres!$A$1:$I$89,5,0)</f>
        <v>-4.019999999999964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490.26236605482961</v>
      </c>
      <c r="CE139" s="62">
        <f t="shared" si="148"/>
        <v>283.40133947156238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4.9658410716801891E-14</v>
      </c>
      <c r="CV139" s="14">
        <f t="shared" si="149"/>
        <v>8.0934058173791862E-13</v>
      </c>
      <c r="CW139" s="22">
        <f t="shared" si="121"/>
        <v>1.4960899118586383E-12</v>
      </c>
      <c r="CX139" s="62">
        <f t="shared" si="122"/>
        <v>293.33333333333479</v>
      </c>
      <c r="CY139" s="62">
        <f ca="1">AVERAGE(OFFSET($CX$3,0,0,'Données projet'!$E$13+1,1))-AVERAGE(OFFSET($H$3,0,0,'Données projet'!$E$13+1,1))</f>
        <v>315.3516976788701</v>
      </c>
      <c r="CZ139" s="62">
        <f t="shared" si="150"/>
        <v>266.32508105927997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306.98927999999921</v>
      </c>
      <c r="EL139" s="14">
        <f t="shared" si="153"/>
        <v>72.639715316458506</v>
      </c>
      <c r="EM139" s="22">
        <f t="shared" si="127"/>
        <v>661.18716684283038</v>
      </c>
      <c r="EN139" s="62">
        <f t="shared" si="128"/>
        <v>954.52050017616375</v>
      </c>
      <c r="EO139" s="62">
        <f ca="1">AVERAGE(OFFSET($EN$3,0,0,'Données projet'!$E$15+1,1))-AVERAGE(OFFSET($H$3,0,0,'Données projet'!$E$15+1,1))</f>
        <v>502.07782026233912</v>
      </c>
      <c r="EP139" s="62">
        <f t="shared" si="154"/>
        <v>285.83623046025156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-1.7053025658242404E-13</v>
      </c>
      <c r="FF139" s="18">
        <f>FE139*VLOOKUP('Données projet'!$B$16,Paramètres!$A$1:$I$89,3,0)*VLOOKUP('Données projet'!$B$16,Paramètres!$A$1:$I$89,5,0)</f>
        <v>-1.6227659216383472E-13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365.5904647357433</v>
      </c>
      <c r="FK139" s="62">
        <f t="shared" si="156"/>
        <v>256.56280810580841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-1.1368683772161603E-13</v>
      </c>
      <c r="GA139" s="18">
        <f>FZ139*VLOOKUP('Données projet'!$B$17,Paramètres!$A$1:$I$89,3,0)*VLOOKUP('Données projet'!$B$17,Paramètres!$A$1:$I$89,5,0)</f>
        <v>-9.2222762759774927E-14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256.19915261735281</v>
      </c>
      <c r="GF139" s="62">
        <f t="shared" si="158"/>
        <v>297.47246687305056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-5.6843418860808015E-14</v>
      </c>
      <c r="GV139" s="18">
        <f>GU139*VLOOKUP('Données projet'!$B$18,Paramètres!$A$1:$I$89,3,0)*VLOOKUP('Données projet'!$B$18,Paramètres!$A$1:$I$89,5,0)</f>
        <v>-2.6602720026858149E-14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284.704043530756</v>
      </c>
      <c r="HA139" s="62">
        <f t="shared" si="160"/>
        <v>190.4880882944471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2">
        <f t="shared" si="109"/>
        <v>856.44750892960883</v>
      </c>
      <c r="S140" s="62">
        <f ca="1">AVERAGE(OFFSET($R$3,0,0,'Données projet'!$E$9+1,1))-AVERAGE(OFFSET($H$3,0,0,'Données projet'!$E$9+1,1))</f>
        <v>428.8489304403459</v>
      </c>
      <c r="T140" s="62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274.66236526869056</v>
      </c>
      <c r="AO140" s="62">
        <f t="shared" si="144"/>
        <v>256.90876395053073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291.93059999999929</v>
      </c>
      <c r="BF140" s="14">
        <f t="shared" si="145"/>
        <v>69.482132168934584</v>
      </c>
      <c r="BG140" s="22">
        <f t="shared" si="115"/>
        <v>629.4605085275598</v>
      </c>
      <c r="BH140" s="62">
        <f t="shared" si="116"/>
        <v>922.79384186089305</v>
      </c>
      <c r="BI140" s="62">
        <f ca="1">AVERAGE(OFFSET($BH$3,0,0,'Données projet'!$E$11+1,1))-AVERAGE(OFFSET($H$3,0,0,'Données projet'!$E$11+1,1))</f>
        <v>475.47920969424894</v>
      </c>
      <c r="BJ140" s="62">
        <f t="shared" si="146"/>
        <v>271.73544012419364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-3.8461538461538112</v>
      </c>
      <c r="BZ140" s="14">
        <f>BY140*VLOOKUP('Données projet'!$B$12,Paramètres!$A$1:$I$89,3,0)*VLOOKUP('Données projet'!$B$12,Paramètres!$A$1:$I$89,5,0)</f>
        <v>-4.019999999999964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490.26236605482961</v>
      </c>
      <c r="CE140" s="62">
        <f t="shared" si="148"/>
        <v>283.40133947156238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4.9658410716801891E-14</v>
      </c>
      <c r="CV140" s="14">
        <f t="shared" si="149"/>
        <v>8.0934058173791862E-13</v>
      </c>
      <c r="CW140" s="22">
        <f t="shared" si="121"/>
        <v>1.4960899118586383E-12</v>
      </c>
      <c r="CX140" s="62">
        <f t="shared" si="122"/>
        <v>293.33333333333479</v>
      </c>
      <c r="CY140" s="62">
        <f ca="1">AVERAGE(OFFSET($CX$3,0,0,'Données projet'!$E$13+1,1))-AVERAGE(OFFSET($H$3,0,0,'Données projet'!$E$13+1,1))</f>
        <v>315.3516976788701</v>
      </c>
      <c r="CZ140" s="62">
        <f t="shared" si="150"/>
        <v>266.32508105927997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309.89555999999925</v>
      </c>
      <c r="EL140" s="14">
        <f t="shared" si="153"/>
        <v>73.247018515231034</v>
      </c>
      <c r="EM140" s="22">
        <f t="shared" si="127"/>
        <v>667.30665758069279</v>
      </c>
      <c r="EN140" s="62">
        <f t="shared" si="128"/>
        <v>960.63999091402616</v>
      </c>
      <c r="EO140" s="62">
        <f ca="1">AVERAGE(OFFSET($EN$3,0,0,'Données projet'!$E$15+1,1))-AVERAGE(OFFSET($H$3,0,0,'Données projet'!$E$15+1,1))</f>
        <v>502.07782026233912</v>
      </c>
      <c r="EP140" s="62">
        <f t="shared" si="154"/>
        <v>285.83623046025156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-1.7053025658242404E-13</v>
      </c>
      <c r="FF140" s="18">
        <f>FE140*VLOOKUP('Données projet'!$B$16,Paramètres!$A$1:$I$89,3,0)*VLOOKUP('Données projet'!$B$16,Paramètres!$A$1:$I$89,5,0)</f>
        <v>-1.6227659216383472E-13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365.5904647357433</v>
      </c>
      <c r="FK140" s="62">
        <f t="shared" si="156"/>
        <v>256.56280810580841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-1.1368683772161603E-13</v>
      </c>
      <c r="GA140" s="18">
        <f>FZ140*VLOOKUP('Données projet'!$B$17,Paramètres!$A$1:$I$89,3,0)*VLOOKUP('Données projet'!$B$17,Paramètres!$A$1:$I$89,5,0)</f>
        <v>-9.2222762759774927E-14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256.19915261735281</v>
      </c>
      <c r="GF140" s="62">
        <f t="shared" si="158"/>
        <v>297.47246687305056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-5.6843418860808015E-14</v>
      </c>
      <c r="GV140" s="18">
        <f>GU140*VLOOKUP('Données projet'!$B$18,Paramètres!$A$1:$I$89,3,0)*VLOOKUP('Données projet'!$B$18,Paramètres!$A$1:$I$89,5,0)</f>
        <v>-2.6602720026858149E-14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284.704043530756</v>
      </c>
      <c r="HA140" s="62">
        <f t="shared" si="160"/>
        <v>190.4880882944471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2">
        <f t="shared" si="109"/>
        <v>861.60859430939399</v>
      </c>
      <c r="S141" s="62">
        <f ca="1">AVERAGE(OFFSET($R$3,0,0,'Données projet'!$E$9+1,1))-AVERAGE(OFFSET($H$3,0,0,'Données projet'!$E$9+1,1))</f>
        <v>428.8489304403459</v>
      </c>
      <c r="T141" s="62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274.66236526869056</v>
      </c>
      <c r="AO141" s="62">
        <f t="shared" si="144"/>
        <v>256.90876395053073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294.66839999999928</v>
      </c>
      <c r="BF141" s="14">
        <f t="shared" si="145"/>
        <v>70.057591528661433</v>
      </c>
      <c r="BG141" s="22">
        <f t="shared" si="115"/>
        <v>635.23110191241733</v>
      </c>
      <c r="BH141" s="62">
        <f t="shared" si="116"/>
        <v>928.5644352457507</v>
      </c>
      <c r="BI141" s="62">
        <f ca="1">AVERAGE(OFFSET($BH$3,0,0,'Données projet'!$E$11+1,1))-AVERAGE(OFFSET($H$3,0,0,'Données projet'!$E$11+1,1))</f>
        <v>475.47920969424894</v>
      </c>
      <c r="BJ141" s="62">
        <f t="shared" si="146"/>
        <v>271.73544012419364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-3.8461538461538112</v>
      </c>
      <c r="BZ141" s="14">
        <f>BY141*VLOOKUP('Données projet'!$B$12,Paramètres!$A$1:$I$89,3,0)*VLOOKUP('Données projet'!$B$12,Paramètres!$A$1:$I$89,5,0)</f>
        <v>-4.019999999999964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490.26236605482961</v>
      </c>
      <c r="CE141" s="62">
        <f t="shared" si="148"/>
        <v>283.40133947156238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4.9658410716801891E-14</v>
      </c>
      <c r="CV141" s="14">
        <f t="shared" si="149"/>
        <v>8.0934058173791862E-13</v>
      </c>
      <c r="CW141" s="22">
        <f t="shared" si="121"/>
        <v>1.4960899118586383E-12</v>
      </c>
      <c r="CX141" s="62">
        <f t="shared" si="122"/>
        <v>293.33333333333479</v>
      </c>
      <c r="CY141" s="62">
        <f ca="1">AVERAGE(OFFSET($CX$3,0,0,'Données projet'!$E$13+1,1))-AVERAGE(OFFSET($H$3,0,0,'Données projet'!$E$13+1,1))</f>
        <v>315.3516976788701</v>
      </c>
      <c r="CZ141" s="62">
        <f t="shared" si="150"/>
        <v>266.32508105927997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312.80183999999923</v>
      </c>
      <c r="EL141" s="14">
        <f t="shared" si="153"/>
        <v>73.853659115640255</v>
      </c>
      <c r="EM141" s="22">
        <f t="shared" si="127"/>
        <v>673.42499429307202</v>
      </c>
      <c r="EN141" s="62">
        <f t="shared" si="128"/>
        <v>966.75832762640539</v>
      </c>
      <c r="EO141" s="62">
        <f ca="1">AVERAGE(OFFSET($EN$3,0,0,'Données projet'!$E$15+1,1))-AVERAGE(OFFSET($H$3,0,0,'Données projet'!$E$15+1,1))</f>
        <v>502.07782026233912</v>
      </c>
      <c r="EP141" s="62">
        <f t="shared" si="154"/>
        <v>285.83623046025156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-1.7053025658242404E-13</v>
      </c>
      <c r="FF141" s="18">
        <f>FE141*VLOOKUP('Données projet'!$B$16,Paramètres!$A$1:$I$89,3,0)*VLOOKUP('Données projet'!$B$16,Paramètres!$A$1:$I$89,5,0)</f>
        <v>-1.6227659216383472E-13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365.5904647357433</v>
      </c>
      <c r="FK141" s="62">
        <f t="shared" si="156"/>
        <v>256.56280810580841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-1.1368683772161603E-13</v>
      </c>
      <c r="GA141" s="18">
        <f>FZ141*VLOOKUP('Données projet'!$B$17,Paramètres!$A$1:$I$89,3,0)*VLOOKUP('Données projet'!$B$17,Paramètres!$A$1:$I$89,5,0)</f>
        <v>-9.2222762759774927E-14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256.19915261735281</v>
      </c>
      <c r="GF141" s="62">
        <f t="shared" si="158"/>
        <v>297.47246687305056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-5.6843418860808015E-14</v>
      </c>
      <c r="GV141" s="18">
        <f>GU141*VLOOKUP('Données projet'!$B$18,Paramètres!$A$1:$I$89,3,0)*VLOOKUP('Données projet'!$B$18,Paramètres!$A$1:$I$89,5,0)</f>
        <v>-2.6602720026858149E-14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284.704043530756</v>
      </c>
      <c r="HA141" s="62">
        <f t="shared" si="160"/>
        <v>190.4880882944471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2">
        <f t="shared" si="109"/>
        <v>866.76870009238769</v>
      </c>
      <c r="S142" s="62">
        <f ca="1">AVERAGE(OFFSET($R$3,0,0,'Données projet'!$E$9+1,1))-AVERAGE(OFFSET($H$3,0,0,'Données projet'!$E$9+1,1))</f>
        <v>428.8489304403459</v>
      </c>
      <c r="T142" s="62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274.66236526869056</v>
      </c>
      <c r="AO142" s="62">
        <f t="shared" si="144"/>
        <v>256.90876395053073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297.40619999999927</v>
      </c>
      <c r="BF142" s="14">
        <f t="shared" si="145"/>
        <v>70.632428863759543</v>
      </c>
      <c r="BG142" s="22">
        <f t="shared" si="115"/>
        <v>641.0006119377133</v>
      </c>
      <c r="BH142" s="62">
        <f t="shared" si="116"/>
        <v>934.33394527104656</v>
      </c>
      <c r="BI142" s="62">
        <f ca="1">AVERAGE(OFFSET($BH$3,0,0,'Données projet'!$E$11+1,1))-AVERAGE(OFFSET($H$3,0,0,'Données projet'!$E$11+1,1))</f>
        <v>475.47920969424894</v>
      </c>
      <c r="BJ142" s="62">
        <f t="shared" si="146"/>
        <v>271.73544012419364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-3.8461538461538112</v>
      </c>
      <c r="BZ142" s="14">
        <f>BY142*VLOOKUP('Données projet'!$B$12,Paramètres!$A$1:$I$89,3,0)*VLOOKUP('Données projet'!$B$12,Paramètres!$A$1:$I$89,5,0)</f>
        <v>-4.019999999999964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490.26236605482961</v>
      </c>
      <c r="CE142" s="62">
        <f t="shared" si="148"/>
        <v>283.40133947156238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4.9658410716801891E-14</v>
      </c>
      <c r="CV142" s="14">
        <f t="shared" si="149"/>
        <v>8.0934058173791862E-13</v>
      </c>
      <c r="CW142" s="22">
        <f t="shared" si="121"/>
        <v>1.4960899118586383E-12</v>
      </c>
      <c r="CX142" s="62">
        <f t="shared" si="122"/>
        <v>293.33333333333479</v>
      </c>
      <c r="CY142" s="62">
        <f ca="1">AVERAGE(OFFSET($CX$3,0,0,'Données projet'!$E$13+1,1))-AVERAGE(OFFSET($H$3,0,0,'Données projet'!$E$13+1,1))</f>
        <v>315.3516976788701</v>
      </c>
      <c r="CZ142" s="62">
        <f t="shared" si="150"/>
        <v>266.32508105927997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315.70811999999916</v>
      </c>
      <c r="EL142" s="14">
        <f t="shared" si="153"/>
        <v>74.459643987042966</v>
      </c>
      <c r="EM142" s="22">
        <f t="shared" si="127"/>
        <v>679.54218894409837</v>
      </c>
      <c r="EN142" s="62">
        <f t="shared" si="128"/>
        <v>972.87552227743163</v>
      </c>
      <c r="EO142" s="62">
        <f ca="1">AVERAGE(OFFSET($EN$3,0,0,'Données projet'!$E$15+1,1))-AVERAGE(OFFSET($H$3,0,0,'Données projet'!$E$15+1,1))</f>
        <v>502.07782026233912</v>
      </c>
      <c r="EP142" s="62">
        <f t="shared" si="154"/>
        <v>285.83623046025156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-1.7053025658242404E-13</v>
      </c>
      <c r="FF142" s="18">
        <f>FE142*VLOOKUP('Données projet'!$B$16,Paramètres!$A$1:$I$89,3,0)*VLOOKUP('Données projet'!$B$16,Paramètres!$A$1:$I$89,5,0)</f>
        <v>-1.6227659216383472E-13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365.5904647357433</v>
      </c>
      <c r="FK142" s="62">
        <f t="shared" si="156"/>
        <v>256.56280810580841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-1.1368683772161603E-13</v>
      </c>
      <c r="GA142" s="18">
        <f>FZ142*VLOOKUP('Données projet'!$B$17,Paramètres!$A$1:$I$89,3,0)*VLOOKUP('Données projet'!$B$17,Paramètres!$A$1:$I$89,5,0)</f>
        <v>-9.2222762759774927E-14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256.19915261735281</v>
      </c>
      <c r="GF142" s="62">
        <f t="shared" si="158"/>
        <v>297.47246687305056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-5.6843418860808015E-14</v>
      </c>
      <c r="GV142" s="18">
        <f>GU142*VLOOKUP('Données projet'!$B$18,Paramètres!$A$1:$I$89,3,0)*VLOOKUP('Données projet'!$B$18,Paramètres!$A$1:$I$89,5,0)</f>
        <v>-2.6602720026858149E-14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284.704043530756</v>
      </c>
      <c r="HA142" s="62">
        <f t="shared" si="160"/>
        <v>190.4880882944471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2">
        <f t="shared" si="109"/>
        <v>871.92783634091984</v>
      </c>
      <c r="S143" s="62">
        <f ca="1">AVERAGE(OFFSET($R$3,0,0,'Données projet'!$E$9+1,1))-AVERAGE(OFFSET($H$3,0,0,'Données projet'!$E$9+1,1))</f>
        <v>428.8489304403459</v>
      </c>
      <c r="T143" s="62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274.66236526869056</v>
      </c>
      <c r="AO143" s="62">
        <f t="shared" si="144"/>
        <v>256.90876395053073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300.14399999999927</v>
      </c>
      <c r="BF143" s="14">
        <f t="shared" si="145"/>
        <v>71.206650563609728</v>
      </c>
      <c r="BG143" s="22">
        <f t="shared" si="115"/>
        <v>646.76904973161891</v>
      </c>
      <c r="BH143" s="62">
        <f t="shared" si="116"/>
        <v>940.10238306495216</v>
      </c>
      <c r="BI143" s="62">
        <f ca="1">AVERAGE(OFFSET($BH$3,0,0,'Données projet'!$E$11+1,1))-AVERAGE(OFFSET($H$3,0,0,'Données projet'!$E$11+1,1))</f>
        <v>475.47920969424894</v>
      </c>
      <c r="BJ143" s="62">
        <f t="shared" si="146"/>
        <v>271.73544012419364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-3.8461538461538112</v>
      </c>
      <c r="BZ143" s="14">
        <f>BY143*VLOOKUP('Données projet'!$B$12,Paramètres!$A$1:$I$89,3,0)*VLOOKUP('Données projet'!$B$12,Paramètres!$A$1:$I$89,5,0)</f>
        <v>-4.019999999999964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490.26236605482961</v>
      </c>
      <c r="CE143" s="62">
        <f t="shared" si="148"/>
        <v>283.40133947156238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4.9658410716801891E-14</v>
      </c>
      <c r="CV143" s="14">
        <f t="shared" si="149"/>
        <v>8.0934058173791862E-13</v>
      </c>
      <c r="CW143" s="22">
        <f t="shared" si="121"/>
        <v>1.4960899118586383E-12</v>
      </c>
      <c r="CX143" s="62">
        <f t="shared" si="122"/>
        <v>293.33333333333479</v>
      </c>
      <c r="CY143" s="62">
        <f ca="1">AVERAGE(OFFSET($CX$3,0,0,'Données projet'!$E$13+1,1))-AVERAGE(OFFSET($H$3,0,0,'Données projet'!$E$13+1,1))</f>
        <v>315.3516976788701</v>
      </c>
      <c r="CZ143" s="62">
        <f t="shared" si="150"/>
        <v>266.32508105927997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318.61439999999919</v>
      </c>
      <c r="EL143" s="14">
        <f t="shared" si="153"/>
        <v>75.064979865028292</v>
      </c>
      <c r="EM143" s="22">
        <f t="shared" si="127"/>
        <v>685.65825326492302</v>
      </c>
      <c r="EN143" s="62">
        <f t="shared" si="128"/>
        <v>978.99158659825639</v>
      </c>
      <c r="EO143" s="62">
        <f ca="1">AVERAGE(OFFSET($EN$3,0,0,'Données projet'!$E$15+1,1))-AVERAGE(OFFSET($H$3,0,0,'Données projet'!$E$15+1,1))</f>
        <v>502.07782026233912</v>
      </c>
      <c r="EP143" s="62">
        <f t="shared" si="154"/>
        <v>285.83623046025156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-1.7053025658242404E-13</v>
      </c>
      <c r="FF143" s="18">
        <f>FE143*VLOOKUP('Données projet'!$B$16,Paramètres!$A$1:$I$89,3,0)*VLOOKUP('Données projet'!$B$16,Paramètres!$A$1:$I$89,5,0)</f>
        <v>-1.6227659216383472E-13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365.5904647357433</v>
      </c>
      <c r="FK143" s="62">
        <f t="shared" si="156"/>
        <v>256.56280810580841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-1.1368683772161603E-13</v>
      </c>
      <c r="GA143" s="18">
        <f>FZ143*VLOOKUP('Données projet'!$B$17,Paramètres!$A$1:$I$89,3,0)*VLOOKUP('Données projet'!$B$17,Paramètres!$A$1:$I$89,5,0)</f>
        <v>-9.2222762759774927E-14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256.19915261735281</v>
      </c>
      <c r="GF143" s="62">
        <f t="shared" si="158"/>
        <v>297.47246687305056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-5.6843418860808015E-14</v>
      </c>
      <c r="GV143" s="18">
        <f>GU143*VLOOKUP('Données projet'!$B$18,Paramètres!$A$1:$I$89,3,0)*VLOOKUP('Données projet'!$B$18,Paramètres!$A$1:$I$89,5,0)</f>
        <v>-2.6602720026858149E-14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284.704043530756</v>
      </c>
      <c r="HA143" s="62">
        <f t="shared" si="160"/>
        <v>190.4880882944471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2">
        <f t="shared" si="109"/>
        <v>824.88563895074731</v>
      </c>
      <c r="S144" s="62">
        <f ca="1">AVERAGE(OFFSET($R$3,0,0,'Données projet'!$E$9+1,1))-AVERAGE(OFFSET($H$3,0,0,'Données projet'!$E$9+1,1))</f>
        <v>428.8489304403459</v>
      </c>
      <c r="T144" s="62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274.66236526869056</v>
      </c>
      <c r="AO144" s="62">
        <f t="shared" si="144"/>
        <v>256.90876395053073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275.19959999999924</v>
      </c>
      <c r="BF144" s="14">
        <f t="shared" si="145"/>
        <v>65.951527620662489</v>
      </c>
      <c r="BG144" s="22">
        <f t="shared" si="115"/>
        <v>594.17154727265245</v>
      </c>
      <c r="BH144" s="62">
        <f t="shared" si="116"/>
        <v>887.50488060598582</v>
      </c>
      <c r="BI144" s="62">
        <f ca="1">AVERAGE(OFFSET($BH$3,0,0,'Données projet'!$E$11+1,1))-AVERAGE(OFFSET($H$3,0,0,'Données projet'!$E$11+1,1))</f>
        <v>475.47920969424894</v>
      </c>
      <c r="BJ144" s="62">
        <f t="shared" si="146"/>
        <v>271.73544012419364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-3.8461538461538112</v>
      </c>
      <c r="BZ144" s="14">
        <f>BY144*VLOOKUP('Données projet'!$B$12,Paramètres!$A$1:$I$89,3,0)*VLOOKUP('Données projet'!$B$12,Paramètres!$A$1:$I$89,5,0)</f>
        <v>-4.019999999999964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490.26236605482961</v>
      </c>
      <c r="CE144" s="62">
        <f t="shared" si="148"/>
        <v>283.40133947156238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4.9658410716801891E-14</v>
      </c>
      <c r="CV144" s="14">
        <f t="shared" si="149"/>
        <v>8.0934058173791862E-13</v>
      </c>
      <c r="CW144" s="22">
        <f t="shared" si="121"/>
        <v>1.4960899118586383E-12</v>
      </c>
      <c r="CX144" s="62">
        <f t="shared" si="122"/>
        <v>293.33333333333479</v>
      </c>
      <c r="CY144" s="62">
        <f ca="1">AVERAGE(OFFSET($CX$3,0,0,'Données projet'!$E$13+1,1))-AVERAGE(OFFSET($H$3,0,0,'Données projet'!$E$13+1,1))</f>
        <v>315.3516976788701</v>
      </c>
      <c r="CZ144" s="62">
        <f t="shared" si="150"/>
        <v>266.32508105927997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292.13495999999913</v>
      </c>
      <c r="EL144" s="14">
        <f t="shared" si="153"/>
        <v>69.525108311202104</v>
      </c>
      <c r="EM144" s="22">
        <f t="shared" si="127"/>
        <v>629.89128564200882</v>
      </c>
      <c r="EN144" s="62">
        <f t="shared" si="128"/>
        <v>923.22461897534208</v>
      </c>
      <c r="EO144" s="62">
        <f ca="1">AVERAGE(OFFSET($EN$3,0,0,'Données projet'!$E$15+1,1))-AVERAGE(OFFSET($H$3,0,0,'Données projet'!$E$15+1,1))</f>
        <v>502.07782026233912</v>
      </c>
      <c r="EP144" s="62">
        <f t="shared" si="154"/>
        <v>285.83623046025156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-1.7053025658242404E-13</v>
      </c>
      <c r="FF144" s="18">
        <f>FE144*VLOOKUP('Données projet'!$B$16,Paramètres!$A$1:$I$89,3,0)*VLOOKUP('Données projet'!$B$16,Paramètres!$A$1:$I$89,5,0)</f>
        <v>-1.6227659216383472E-13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365.5904647357433</v>
      </c>
      <c r="FK144" s="62">
        <f t="shared" si="156"/>
        <v>256.56280810580841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-1.1368683772161603E-13</v>
      </c>
      <c r="GA144" s="18">
        <f>FZ144*VLOOKUP('Données projet'!$B$17,Paramètres!$A$1:$I$89,3,0)*VLOOKUP('Données projet'!$B$17,Paramètres!$A$1:$I$89,5,0)</f>
        <v>-9.2222762759774927E-14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256.19915261735281</v>
      </c>
      <c r="GF144" s="62">
        <f t="shared" si="158"/>
        <v>297.47246687305056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-5.6843418860808015E-14</v>
      </c>
      <c r="GV144" s="18">
        <f>GU144*VLOOKUP('Données projet'!$B$18,Paramètres!$A$1:$I$89,3,0)*VLOOKUP('Données projet'!$B$18,Paramètres!$A$1:$I$89,5,0)</f>
        <v>-2.6602720026858149E-14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284.704043530756</v>
      </c>
      <c r="HA144" s="62">
        <f t="shared" si="160"/>
        <v>190.4880882944471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2">
        <f t="shared" si="109"/>
        <v>829.47884870108419</v>
      </c>
      <c r="S145" s="62">
        <f ca="1">AVERAGE(OFFSET($R$3,0,0,'Données projet'!$E$9+1,1))-AVERAGE(OFFSET($H$3,0,0,'Données projet'!$E$9+1,1))</f>
        <v>428.8489304403459</v>
      </c>
      <c r="T145" s="62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274.66236526869056</v>
      </c>
      <c r="AO145" s="62">
        <f t="shared" si="144"/>
        <v>256.90876395053073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277.63319999999919</v>
      </c>
      <c r="BF145" s="14">
        <f t="shared" si="145"/>
        <v>66.466589162975524</v>
      </c>
      <c r="BG145" s="22">
        <f t="shared" si="115"/>
        <v>599.30713279218094</v>
      </c>
      <c r="BH145" s="62">
        <f t="shared" si="116"/>
        <v>892.64046612551419</v>
      </c>
      <c r="BI145" s="62">
        <f ca="1">AVERAGE(OFFSET($BH$3,0,0,'Données projet'!$E$11+1,1))-AVERAGE(OFFSET($H$3,0,0,'Données projet'!$E$11+1,1))</f>
        <v>475.47920969424894</v>
      </c>
      <c r="BJ145" s="62">
        <f t="shared" si="146"/>
        <v>271.73544012419364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-3.8461538461538112</v>
      </c>
      <c r="BZ145" s="14">
        <f>BY145*VLOOKUP('Données projet'!$B$12,Paramètres!$A$1:$I$89,3,0)*VLOOKUP('Données projet'!$B$12,Paramètres!$A$1:$I$89,5,0)</f>
        <v>-4.019999999999964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490.26236605482961</v>
      </c>
      <c r="CE145" s="62">
        <f t="shared" si="148"/>
        <v>283.40133947156238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4.9658410716801891E-14</v>
      </c>
      <c r="CV145" s="14">
        <f t="shared" si="149"/>
        <v>8.0934058173791862E-13</v>
      </c>
      <c r="CW145" s="22">
        <f t="shared" si="121"/>
        <v>1.4960899118586383E-12</v>
      </c>
      <c r="CX145" s="62">
        <f t="shared" si="122"/>
        <v>293.33333333333479</v>
      </c>
      <c r="CY145" s="62">
        <f ca="1">AVERAGE(OFFSET($CX$3,0,0,'Données projet'!$E$13+1,1))-AVERAGE(OFFSET($H$3,0,0,'Données projet'!$E$13+1,1))</f>
        <v>315.3516976788701</v>
      </c>
      <c r="CZ145" s="62">
        <f t="shared" si="150"/>
        <v>266.32508105927997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294.71831999999915</v>
      </c>
      <c r="EL145" s="14">
        <f t="shared" si="153"/>
        <v>70.068078441055917</v>
      </c>
      <c r="EM145" s="22">
        <f t="shared" si="127"/>
        <v>635.33631061817096</v>
      </c>
      <c r="EN145" s="62">
        <f t="shared" si="128"/>
        <v>928.66964395150421</v>
      </c>
      <c r="EO145" s="62">
        <f ca="1">AVERAGE(OFFSET($EN$3,0,0,'Données projet'!$E$15+1,1))-AVERAGE(OFFSET($H$3,0,0,'Données projet'!$E$15+1,1))</f>
        <v>502.07782026233912</v>
      </c>
      <c r="EP145" s="62">
        <f t="shared" si="154"/>
        <v>285.83623046025156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-1.7053025658242404E-13</v>
      </c>
      <c r="FF145" s="18">
        <f>FE145*VLOOKUP('Données projet'!$B$16,Paramètres!$A$1:$I$89,3,0)*VLOOKUP('Données projet'!$B$16,Paramètres!$A$1:$I$89,5,0)</f>
        <v>-1.6227659216383472E-13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365.5904647357433</v>
      </c>
      <c r="FK145" s="62">
        <f t="shared" si="156"/>
        <v>256.56280810580841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-1.1368683772161603E-13</v>
      </c>
      <c r="GA145" s="18">
        <f>FZ145*VLOOKUP('Données projet'!$B$17,Paramètres!$A$1:$I$89,3,0)*VLOOKUP('Données projet'!$B$17,Paramètres!$A$1:$I$89,5,0)</f>
        <v>-9.2222762759774927E-14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256.19915261735281</v>
      </c>
      <c r="GF145" s="62">
        <f t="shared" si="158"/>
        <v>297.47246687305056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-5.6843418860808015E-14</v>
      </c>
      <c r="GV145" s="18">
        <f>GU145*VLOOKUP('Données projet'!$B$18,Paramètres!$A$1:$I$89,3,0)*VLOOKUP('Données projet'!$B$18,Paramètres!$A$1:$I$89,5,0)</f>
        <v>-2.6602720026858149E-14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284.704043530756</v>
      </c>
      <c r="HA145" s="62">
        <f t="shared" si="160"/>
        <v>190.4880882944471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2">
        <f t="shared" si="109"/>
        <v>834.07123124476584</v>
      </c>
      <c r="S146" s="62">
        <f ca="1">AVERAGE(OFFSET($R$3,0,0,'Données projet'!$E$9+1,1))-AVERAGE(OFFSET($H$3,0,0,'Données projet'!$E$9+1,1))</f>
        <v>428.8489304403459</v>
      </c>
      <c r="T146" s="62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274.66236526869056</v>
      </c>
      <c r="AO146" s="62">
        <f t="shared" si="144"/>
        <v>256.90876395053073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280.0667999999992</v>
      </c>
      <c r="BF146" s="14">
        <f t="shared" si="145"/>
        <v>66.981125445388756</v>
      </c>
      <c r="BG146" s="22">
        <f t="shared" si="115"/>
        <v>604.44180348405064</v>
      </c>
      <c r="BH146" s="62">
        <f t="shared" si="116"/>
        <v>897.77513681738401</v>
      </c>
      <c r="BI146" s="62">
        <f ca="1">AVERAGE(OFFSET($BH$3,0,0,'Données projet'!$E$11+1,1))-AVERAGE(OFFSET($H$3,0,0,'Données projet'!$E$11+1,1))</f>
        <v>475.47920969424894</v>
      </c>
      <c r="BJ146" s="62">
        <f t="shared" si="146"/>
        <v>271.73544012419364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-3.8461538461538112</v>
      </c>
      <c r="BZ146" s="14">
        <f>BY146*VLOOKUP('Données projet'!$B$12,Paramètres!$A$1:$I$89,3,0)*VLOOKUP('Données projet'!$B$12,Paramètres!$A$1:$I$89,5,0)</f>
        <v>-4.019999999999964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490.26236605482961</v>
      </c>
      <c r="CE146" s="62">
        <f t="shared" si="148"/>
        <v>283.40133947156238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4.9658410716801891E-14</v>
      </c>
      <c r="CV146" s="14">
        <f t="shared" si="149"/>
        <v>8.0934058173791862E-13</v>
      </c>
      <c r="CW146" s="22">
        <f t="shared" si="121"/>
        <v>1.4960899118586383E-12</v>
      </c>
      <c r="CX146" s="62">
        <f t="shared" si="122"/>
        <v>293.33333333333479</v>
      </c>
      <c r="CY146" s="62">
        <f ca="1">AVERAGE(OFFSET($CX$3,0,0,'Données projet'!$E$13+1,1))-AVERAGE(OFFSET($H$3,0,0,'Données projet'!$E$13+1,1))</f>
        <v>315.3516976788701</v>
      </c>
      <c r="CZ146" s="62">
        <f t="shared" si="150"/>
        <v>266.32508105927997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297.30167999999912</v>
      </c>
      <c r="EL146" s="14">
        <f t="shared" si="153"/>
        <v>70.610494849824818</v>
      </c>
      <c r="EM146" s="22">
        <f t="shared" si="127"/>
        <v>640.78037119677663</v>
      </c>
      <c r="EN146" s="62">
        <f t="shared" si="128"/>
        <v>934.11370453011</v>
      </c>
      <c r="EO146" s="62">
        <f ca="1">AVERAGE(OFFSET($EN$3,0,0,'Données projet'!$E$15+1,1))-AVERAGE(OFFSET($H$3,0,0,'Données projet'!$E$15+1,1))</f>
        <v>502.07782026233912</v>
      </c>
      <c r="EP146" s="62">
        <f t="shared" si="154"/>
        <v>285.83623046025156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-1.7053025658242404E-13</v>
      </c>
      <c r="FF146" s="18">
        <f>FE146*VLOOKUP('Données projet'!$B$16,Paramètres!$A$1:$I$89,3,0)*VLOOKUP('Données projet'!$B$16,Paramètres!$A$1:$I$89,5,0)</f>
        <v>-1.6227659216383472E-13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365.5904647357433</v>
      </c>
      <c r="FK146" s="62">
        <f t="shared" si="156"/>
        <v>256.56280810580841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-1.1368683772161603E-13</v>
      </c>
      <c r="GA146" s="18">
        <f>FZ146*VLOOKUP('Données projet'!$B$17,Paramètres!$A$1:$I$89,3,0)*VLOOKUP('Données projet'!$B$17,Paramètres!$A$1:$I$89,5,0)</f>
        <v>-9.2222762759774927E-14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256.19915261735281</v>
      </c>
      <c r="GF146" s="62">
        <f t="shared" si="158"/>
        <v>297.47246687305056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-5.6843418860808015E-14</v>
      </c>
      <c r="GV146" s="18">
        <f>GU146*VLOOKUP('Données projet'!$B$18,Paramètres!$A$1:$I$89,3,0)*VLOOKUP('Données projet'!$B$18,Paramètres!$A$1:$I$89,5,0)</f>
        <v>-2.6602720026858149E-14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284.704043530756</v>
      </c>
      <c r="HA146" s="62">
        <f t="shared" si="160"/>
        <v>190.4880882944471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2">
        <f t="shared" si="109"/>
        <v>838.66279460250166</v>
      </c>
      <c r="S147" s="62">
        <f ca="1">AVERAGE(OFFSET($R$3,0,0,'Données projet'!$E$9+1,1))-AVERAGE(OFFSET($H$3,0,0,'Données projet'!$E$9+1,1))</f>
        <v>428.8489304403459</v>
      </c>
      <c r="T147" s="62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274.66236526869056</v>
      </c>
      <c r="AO147" s="62">
        <f t="shared" si="144"/>
        <v>256.90876395053073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282.50039999999916</v>
      </c>
      <c r="BF147" s="14">
        <f t="shared" si="145"/>
        <v>67.495141560894254</v>
      </c>
      <c r="BG147" s="22">
        <f t="shared" si="115"/>
        <v>609.57556821855599</v>
      </c>
      <c r="BH147" s="62">
        <f t="shared" si="116"/>
        <v>902.90890155188936</v>
      </c>
      <c r="BI147" s="62">
        <f ca="1">AVERAGE(OFFSET($BH$3,0,0,'Données projet'!$E$11+1,1))-AVERAGE(OFFSET($H$3,0,0,'Données projet'!$E$11+1,1))</f>
        <v>475.47920969424894</v>
      </c>
      <c r="BJ147" s="62">
        <f t="shared" si="146"/>
        <v>271.73544012419364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-3.8461538461538112</v>
      </c>
      <c r="BZ147" s="14">
        <f>BY147*VLOOKUP('Données projet'!$B$12,Paramètres!$A$1:$I$89,3,0)*VLOOKUP('Données projet'!$B$12,Paramètres!$A$1:$I$89,5,0)</f>
        <v>-4.019999999999964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490.26236605482961</v>
      </c>
      <c r="CE147" s="62">
        <f t="shared" si="148"/>
        <v>283.40133947156238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4.9658410716801891E-14</v>
      </c>
      <c r="CV147" s="14">
        <f t="shared" si="149"/>
        <v>8.0934058173791862E-13</v>
      </c>
      <c r="CW147" s="22">
        <f t="shared" si="121"/>
        <v>1.4960899118586383E-12</v>
      </c>
      <c r="CX147" s="62">
        <f t="shared" si="122"/>
        <v>293.33333333333479</v>
      </c>
      <c r="CY147" s="62">
        <f ca="1">AVERAGE(OFFSET($CX$3,0,0,'Données projet'!$E$13+1,1))-AVERAGE(OFFSET($H$3,0,0,'Données projet'!$E$13+1,1))</f>
        <v>315.3516976788701</v>
      </c>
      <c r="CZ147" s="62">
        <f t="shared" si="150"/>
        <v>266.32508105927997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299.88503999999909</v>
      </c>
      <c r="EL147" s="14">
        <f t="shared" si="153"/>
        <v>71.152362906464447</v>
      </c>
      <c r="EM147" s="22">
        <f t="shared" si="127"/>
        <v>646.2234767287573</v>
      </c>
      <c r="EN147" s="62">
        <f t="shared" si="128"/>
        <v>939.55681006209056</v>
      </c>
      <c r="EO147" s="62">
        <f ca="1">AVERAGE(OFFSET($EN$3,0,0,'Données projet'!$E$15+1,1))-AVERAGE(OFFSET($H$3,0,0,'Données projet'!$E$15+1,1))</f>
        <v>502.07782026233912</v>
      </c>
      <c r="EP147" s="62">
        <f t="shared" si="154"/>
        <v>285.83623046025156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-1.7053025658242404E-13</v>
      </c>
      <c r="FF147" s="18">
        <f>FE147*VLOOKUP('Données projet'!$B$16,Paramètres!$A$1:$I$89,3,0)*VLOOKUP('Données projet'!$B$16,Paramètres!$A$1:$I$89,5,0)</f>
        <v>-1.6227659216383472E-13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365.5904647357433</v>
      </c>
      <c r="FK147" s="62">
        <f t="shared" si="156"/>
        <v>256.56280810580841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-1.1368683772161603E-13</v>
      </c>
      <c r="GA147" s="18">
        <f>FZ147*VLOOKUP('Données projet'!$B$17,Paramètres!$A$1:$I$89,3,0)*VLOOKUP('Données projet'!$B$17,Paramètres!$A$1:$I$89,5,0)</f>
        <v>-9.2222762759774927E-14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256.19915261735281</v>
      </c>
      <c r="GF147" s="62">
        <f t="shared" si="158"/>
        <v>297.47246687305056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-5.6843418860808015E-14</v>
      </c>
      <c r="GV147" s="18">
        <f>GU147*VLOOKUP('Données projet'!$B$18,Paramètres!$A$1:$I$89,3,0)*VLOOKUP('Données projet'!$B$18,Paramètres!$A$1:$I$89,5,0)</f>
        <v>-2.6602720026858149E-14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284.704043530756</v>
      </c>
      <c r="HA147" s="62">
        <f t="shared" si="160"/>
        <v>190.4880882944471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2">
        <f t="shared" si="109"/>
        <v>843.25354664883753</v>
      </c>
      <c r="S148" s="62">
        <f ca="1">AVERAGE(OFFSET($R$3,0,0,'Données projet'!$E$9+1,1))-AVERAGE(OFFSET($H$3,0,0,'Données projet'!$E$9+1,1))</f>
        <v>428.8489304403459</v>
      </c>
      <c r="T148" s="62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274.66236526869056</v>
      </c>
      <c r="AO148" s="62">
        <f t="shared" si="144"/>
        <v>256.90876395053073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284.93399999999917</v>
      </c>
      <c r="BF148" s="14">
        <f t="shared" si="145"/>
        <v>68.008642509673109</v>
      </c>
      <c r="BG148" s="22">
        <f t="shared" si="115"/>
        <v>614.7084357043459</v>
      </c>
      <c r="BH148" s="62">
        <f t="shared" si="116"/>
        <v>908.04176903767916</v>
      </c>
      <c r="BI148" s="62">
        <f ca="1">AVERAGE(OFFSET($BH$3,0,0,'Données projet'!$E$11+1,1))-AVERAGE(OFFSET($H$3,0,0,'Données projet'!$E$11+1,1))</f>
        <v>475.47920969424894</v>
      </c>
      <c r="BJ148" s="62">
        <f t="shared" si="146"/>
        <v>271.73544012419364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-3.8461538461538112</v>
      </c>
      <c r="BZ148" s="14">
        <f>BY148*VLOOKUP('Données projet'!$B$12,Paramètres!$A$1:$I$89,3,0)*VLOOKUP('Données projet'!$B$12,Paramètres!$A$1:$I$89,5,0)</f>
        <v>-4.019999999999964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490.26236605482961</v>
      </c>
      <c r="CE148" s="62">
        <f t="shared" si="148"/>
        <v>283.40133947156238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4.9658410716801891E-14</v>
      </c>
      <c r="CV148" s="14">
        <f t="shared" si="149"/>
        <v>8.0934058173791862E-13</v>
      </c>
      <c r="CW148" s="22">
        <f t="shared" si="121"/>
        <v>1.4960899118586383E-12</v>
      </c>
      <c r="CX148" s="62">
        <f t="shared" si="122"/>
        <v>293.33333333333479</v>
      </c>
      <c r="CY148" s="62">
        <f ca="1">AVERAGE(OFFSET($CX$3,0,0,'Données projet'!$E$13+1,1))-AVERAGE(OFFSET($H$3,0,0,'Données projet'!$E$13+1,1))</f>
        <v>315.3516976788701</v>
      </c>
      <c r="CZ148" s="62">
        <f t="shared" si="150"/>
        <v>266.32508105927997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302.46839999999906</v>
      </c>
      <c r="EL148" s="14">
        <f t="shared" si="153"/>
        <v>71.693687882090543</v>
      </c>
      <c r="EM148" s="22">
        <f t="shared" si="127"/>
        <v>651.66563639463936</v>
      </c>
      <c r="EN148" s="62">
        <f t="shared" si="128"/>
        <v>944.99896972797274</v>
      </c>
      <c r="EO148" s="62">
        <f ca="1">AVERAGE(OFFSET($EN$3,0,0,'Données projet'!$E$15+1,1))-AVERAGE(OFFSET($H$3,0,0,'Données projet'!$E$15+1,1))</f>
        <v>502.07782026233912</v>
      </c>
      <c r="EP148" s="62">
        <f t="shared" si="154"/>
        <v>285.83623046025156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-1.7053025658242404E-13</v>
      </c>
      <c r="FF148" s="18">
        <f>FE148*VLOOKUP('Données projet'!$B$16,Paramètres!$A$1:$I$89,3,0)*VLOOKUP('Données projet'!$B$16,Paramètres!$A$1:$I$89,5,0)</f>
        <v>-1.6227659216383472E-13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365.5904647357433</v>
      </c>
      <c r="FK148" s="62">
        <f t="shared" si="156"/>
        <v>256.56280810580841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-1.1368683772161603E-13</v>
      </c>
      <c r="GA148" s="18">
        <f>FZ148*VLOOKUP('Données projet'!$B$17,Paramètres!$A$1:$I$89,3,0)*VLOOKUP('Données projet'!$B$17,Paramètres!$A$1:$I$89,5,0)</f>
        <v>-9.2222762759774927E-14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256.19915261735281</v>
      </c>
      <c r="GF148" s="62">
        <f t="shared" si="158"/>
        <v>297.47246687305056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-5.6843418860808015E-14</v>
      </c>
      <c r="GV148" s="18">
        <f>GU148*VLOOKUP('Données projet'!$B$18,Paramètres!$A$1:$I$89,3,0)*VLOOKUP('Données projet'!$B$18,Paramètres!$A$1:$I$89,5,0)</f>
        <v>-2.6602720026858149E-14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284.704043530756</v>
      </c>
      <c r="HA148" s="62">
        <f t="shared" si="160"/>
        <v>190.4880882944471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2">
        <f t="shared" si="109"/>
        <v>847.84349511604432</v>
      </c>
      <c r="S149" s="62">
        <f ca="1">AVERAGE(OFFSET($R$3,0,0,'Données projet'!$E$9+1,1))-AVERAGE(OFFSET($H$3,0,0,'Données projet'!$E$9+1,1))</f>
        <v>428.8489304403459</v>
      </c>
      <c r="T149" s="62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274.66236526869056</v>
      </c>
      <c r="AO149" s="62">
        <f t="shared" si="144"/>
        <v>256.90876395053073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287.36759999999913</v>
      </c>
      <c r="BF149" s="14">
        <f t="shared" si="145"/>
        <v>68.521633201564995</v>
      </c>
      <c r="BG149" s="22">
        <f t="shared" si="115"/>
        <v>619.84041449272411</v>
      </c>
      <c r="BH149" s="62">
        <f t="shared" si="116"/>
        <v>913.17374782605748</v>
      </c>
      <c r="BI149" s="62">
        <f ca="1">AVERAGE(OFFSET($BH$3,0,0,'Données projet'!$E$11+1,1))-AVERAGE(OFFSET($H$3,0,0,'Données projet'!$E$11+1,1))</f>
        <v>475.47920969424894</v>
      </c>
      <c r="BJ149" s="62">
        <f t="shared" si="146"/>
        <v>271.73544012419364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-3.8461538461538112</v>
      </c>
      <c r="BZ149" s="14">
        <f>BY149*VLOOKUP('Données projet'!$B$12,Paramètres!$A$1:$I$89,3,0)*VLOOKUP('Données projet'!$B$12,Paramètres!$A$1:$I$89,5,0)</f>
        <v>-4.019999999999964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490.26236605482961</v>
      </c>
      <c r="CE149" s="62">
        <f t="shared" si="148"/>
        <v>283.40133947156238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4.9658410716801891E-14</v>
      </c>
      <c r="CV149" s="14">
        <f t="shared" si="149"/>
        <v>8.0934058173791862E-13</v>
      </c>
      <c r="CW149" s="22">
        <f t="shared" si="121"/>
        <v>1.4960899118586383E-12</v>
      </c>
      <c r="CX149" s="62">
        <f t="shared" si="122"/>
        <v>293.33333333333479</v>
      </c>
      <c r="CY149" s="62">
        <f ca="1">AVERAGE(OFFSET($CX$3,0,0,'Données projet'!$E$13+1,1))-AVERAGE(OFFSET($H$3,0,0,'Données projet'!$E$13+1,1))</f>
        <v>315.3516976788701</v>
      </c>
      <c r="CZ149" s="62">
        <f t="shared" si="150"/>
        <v>266.32508105927997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305.05175999999904</v>
      </c>
      <c r="EL149" s="14">
        <f t="shared" si="153"/>
        <v>72.234474952581991</v>
      </c>
      <c r="EM149" s="22">
        <f t="shared" si="127"/>
        <v>657.10685920907861</v>
      </c>
      <c r="EN149" s="62">
        <f t="shared" si="128"/>
        <v>950.44019254241198</v>
      </c>
      <c r="EO149" s="62">
        <f ca="1">AVERAGE(OFFSET($EN$3,0,0,'Données projet'!$E$15+1,1))-AVERAGE(OFFSET($H$3,0,0,'Données projet'!$E$15+1,1))</f>
        <v>502.07782026233912</v>
      </c>
      <c r="EP149" s="62">
        <f t="shared" si="154"/>
        <v>285.83623046025156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-1.7053025658242404E-13</v>
      </c>
      <c r="FF149" s="18">
        <f>FE149*VLOOKUP('Données projet'!$B$16,Paramètres!$A$1:$I$89,3,0)*VLOOKUP('Données projet'!$B$16,Paramètres!$A$1:$I$89,5,0)</f>
        <v>-1.6227659216383472E-13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365.5904647357433</v>
      </c>
      <c r="FK149" s="62">
        <f t="shared" si="156"/>
        <v>256.56280810580841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-1.1368683772161603E-13</v>
      </c>
      <c r="GA149" s="18">
        <f>FZ149*VLOOKUP('Données projet'!$B$17,Paramètres!$A$1:$I$89,3,0)*VLOOKUP('Données projet'!$B$17,Paramètres!$A$1:$I$89,5,0)</f>
        <v>-9.2222762759774927E-14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256.19915261735281</v>
      </c>
      <c r="GF149" s="62">
        <f t="shared" si="158"/>
        <v>297.47246687305056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-5.6843418860808015E-14</v>
      </c>
      <c r="GV149" s="18">
        <f>GU149*VLOOKUP('Données projet'!$B$18,Paramètres!$A$1:$I$89,3,0)*VLOOKUP('Données projet'!$B$18,Paramètres!$A$1:$I$89,5,0)</f>
        <v>-2.6602720026858149E-14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284.704043530756</v>
      </c>
      <c r="HA149" s="62">
        <f t="shared" si="160"/>
        <v>190.4880882944471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2">
        <f t="shared" si="109"/>
        <v>852.43264759787166</v>
      </c>
      <c r="S150" s="62">
        <f ca="1">AVERAGE(OFFSET($R$3,0,0,'Données projet'!$E$9+1,1))-AVERAGE(OFFSET($H$3,0,0,'Données projet'!$E$9+1,1))</f>
        <v>428.8489304403459</v>
      </c>
      <c r="T150" s="62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274.66236526869056</v>
      </c>
      <c r="AO150" s="62">
        <f t="shared" si="144"/>
        <v>256.90876395053073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289.80119999999908</v>
      </c>
      <c r="BF150" s="14">
        <f t="shared" si="145"/>
        <v>69.034118458450664</v>
      </c>
      <c r="BG150" s="22">
        <f t="shared" si="115"/>
        <v>624.97151298179995</v>
      </c>
      <c r="BH150" s="62">
        <f t="shared" si="116"/>
        <v>918.30484631513332</v>
      </c>
      <c r="BI150" s="62">
        <f ca="1">AVERAGE(OFFSET($BH$3,0,0,'Données projet'!$E$11+1,1))-AVERAGE(OFFSET($H$3,0,0,'Données projet'!$E$11+1,1))</f>
        <v>475.47920969424894</v>
      </c>
      <c r="BJ150" s="62">
        <f t="shared" si="146"/>
        <v>271.73544012419364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-3.8461538461538112</v>
      </c>
      <c r="BZ150" s="14">
        <f>BY150*VLOOKUP('Données projet'!$B$12,Paramètres!$A$1:$I$89,3,0)*VLOOKUP('Données projet'!$B$12,Paramètres!$A$1:$I$89,5,0)</f>
        <v>-4.019999999999964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490.26236605482961</v>
      </c>
      <c r="CE150" s="62">
        <f t="shared" si="148"/>
        <v>283.40133947156238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4.9658410716801891E-14</v>
      </c>
      <c r="CV150" s="14">
        <f t="shared" si="149"/>
        <v>8.0934058173791862E-13</v>
      </c>
      <c r="CW150" s="22">
        <f t="shared" si="121"/>
        <v>1.4960899118586383E-12</v>
      </c>
      <c r="CX150" s="62">
        <f t="shared" si="122"/>
        <v>293.33333333333479</v>
      </c>
      <c r="CY150" s="62">
        <f ca="1">AVERAGE(OFFSET($CX$3,0,0,'Données projet'!$E$13+1,1))-AVERAGE(OFFSET($H$3,0,0,'Données projet'!$E$13+1,1))</f>
        <v>315.3516976788701</v>
      </c>
      <c r="CZ150" s="62">
        <f t="shared" si="150"/>
        <v>266.32508105927997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307.63511999999901</v>
      </c>
      <c r="EL150" s="14">
        <f t="shared" si="153"/>
        <v>72.774729201093322</v>
      </c>
      <c r="EM150" s="22">
        <f t="shared" si="127"/>
        <v>662.54715402523584</v>
      </c>
      <c r="EN150" s="62">
        <f t="shared" si="128"/>
        <v>955.8804873585691</v>
      </c>
      <c r="EO150" s="62">
        <f ca="1">AVERAGE(OFFSET($EN$3,0,0,'Données projet'!$E$15+1,1))-AVERAGE(OFFSET($H$3,0,0,'Données projet'!$E$15+1,1))</f>
        <v>502.07782026233912</v>
      </c>
      <c r="EP150" s="62">
        <f t="shared" si="154"/>
        <v>285.83623046025156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-1.7053025658242404E-13</v>
      </c>
      <c r="FF150" s="18">
        <f>FE150*VLOOKUP('Données projet'!$B$16,Paramètres!$A$1:$I$89,3,0)*VLOOKUP('Données projet'!$B$16,Paramètres!$A$1:$I$89,5,0)</f>
        <v>-1.6227659216383472E-13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365.5904647357433</v>
      </c>
      <c r="FK150" s="62">
        <f t="shared" si="156"/>
        <v>256.56280810580841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-1.1368683772161603E-13</v>
      </c>
      <c r="GA150" s="18">
        <f>FZ150*VLOOKUP('Données projet'!$B$17,Paramètres!$A$1:$I$89,3,0)*VLOOKUP('Données projet'!$B$17,Paramètres!$A$1:$I$89,5,0)</f>
        <v>-9.2222762759774927E-14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256.19915261735281</v>
      </c>
      <c r="GF150" s="62">
        <f t="shared" si="158"/>
        <v>297.47246687305056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-5.6843418860808015E-14</v>
      </c>
      <c r="GV150" s="18">
        <f>GU150*VLOOKUP('Données projet'!$B$18,Paramètres!$A$1:$I$89,3,0)*VLOOKUP('Données projet'!$B$18,Paramètres!$A$1:$I$89,5,0)</f>
        <v>-2.6602720026858149E-14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284.704043530756</v>
      </c>
      <c r="HA150" s="62">
        <f t="shared" si="160"/>
        <v>190.4880882944471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2">
        <f t="shared" si="109"/>
        <v>857.02101155317064</v>
      </c>
      <c r="S151" s="62">
        <f ca="1">AVERAGE(OFFSET($R$3,0,0,'Données projet'!$E$9+1,1))-AVERAGE(OFFSET($H$3,0,0,'Données projet'!$E$9+1,1))</f>
        <v>428.8489304403459</v>
      </c>
      <c r="T151" s="62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274.66236526869056</v>
      </c>
      <c r="AO151" s="62">
        <f t="shared" si="144"/>
        <v>256.90876395053073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292.2347999999991</v>
      </c>
      <c r="BF151" s="14">
        <f t="shared" si="145"/>
        <v>69.546103016553573</v>
      </c>
      <c r="BG151" s="22">
        <f t="shared" si="115"/>
        <v>630.10173942049585</v>
      </c>
      <c r="BH151" s="62">
        <f t="shared" si="116"/>
        <v>923.43507275382922</v>
      </c>
      <c r="BI151" s="62">
        <f ca="1">AVERAGE(OFFSET($BH$3,0,0,'Données projet'!$E$11+1,1))-AVERAGE(OFFSET($H$3,0,0,'Données projet'!$E$11+1,1))</f>
        <v>475.47920969424894</v>
      </c>
      <c r="BJ151" s="62">
        <f t="shared" si="146"/>
        <v>271.73544012419364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-3.8461538461538112</v>
      </c>
      <c r="BZ151" s="14">
        <f>BY151*VLOOKUP('Données projet'!$B$12,Paramètres!$A$1:$I$89,3,0)*VLOOKUP('Données projet'!$B$12,Paramètres!$A$1:$I$89,5,0)</f>
        <v>-4.019999999999964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490.26236605482961</v>
      </c>
      <c r="CE151" s="62">
        <f t="shared" si="148"/>
        <v>283.40133947156238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4.9658410716801891E-14</v>
      </c>
      <c r="CV151" s="14">
        <f t="shared" si="149"/>
        <v>8.0934058173791862E-13</v>
      </c>
      <c r="CW151" s="22">
        <f t="shared" si="121"/>
        <v>1.4960899118586383E-12</v>
      </c>
      <c r="CX151" s="62">
        <f t="shared" si="122"/>
        <v>293.33333333333479</v>
      </c>
      <c r="CY151" s="62">
        <f ca="1">AVERAGE(OFFSET($CX$3,0,0,'Données projet'!$E$13+1,1))-AVERAGE(OFFSET($H$3,0,0,'Données projet'!$E$13+1,1))</f>
        <v>315.3516976788701</v>
      </c>
      <c r="CZ151" s="62">
        <f t="shared" si="150"/>
        <v>266.32508105927997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310.21847999999898</v>
      </c>
      <c r="EL151" s="14">
        <f t="shared" si="153"/>
        <v>73.314455620479777</v>
      </c>
      <c r="EM151" s="22">
        <f t="shared" si="127"/>
        <v>667.98652953900034</v>
      </c>
      <c r="EN151" s="62">
        <f t="shared" si="128"/>
        <v>961.31986287233372</v>
      </c>
      <c r="EO151" s="62">
        <f ca="1">AVERAGE(OFFSET($EN$3,0,0,'Données projet'!$E$15+1,1))-AVERAGE(OFFSET($H$3,0,0,'Données projet'!$E$15+1,1))</f>
        <v>502.07782026233912</v>
      </c>
      <c r="EP151" s="62">
        <f t="shared" si="154"/>
        <v>285.83623046025156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-1.7053025658242404E-13</v>
      </c>
      <c r="FF151" s="18">
        <f>FE151*VLOOKUP('Données projet'!$B$16,Paramètres!$A$1:$I$89,3,0)*VLOOKUP('Données projet'!$B$16,Paramètres!$A$1:$I$89,5,0)</f>
        <v>-1.6227659216383472E-13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365.5904647357433</v>
      </c>
      <c r="FK151" s="62">
        <f t="shared" si="156"/>
        <v>256.56280810580841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-1.1368683772161603E-13</v>
      </c>
      <c r="GA151" s="18">
        <f>FZ151*VLOOKUP('Données projet'!$B$17,Paramètres!$A$1:$I$89,3,0)*VLOOKUP('Données projet'!$B$17,Paramètres!$A$1:$I$89,5,0)</f>
        <v>-9.2222762759774927E-14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256.19915261735281</v>
      </c>
      <c r="GF151" s="62">
        <f t="shared" si="158"/>
        <v>297.47246687305056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-5.6843418860808015E-14</v>
      </c>
      <c r="GV151" s="18">
        <f>GU151*VLOOKUP('Données projet'!$B$18,Paramètres!$A$1:$I$89,3,0)*VLOOKUP('Données projet'!$B$18,Paramètres!$A$1:$I$89,5,0)</f>
        <v>-2.6602720026858149E-14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284.704043530756</v>
      </c>
      <c r="HA151" s="62">
        <f t="shared" si="160"/>
        <v>190.4880882944471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2">
        <f t="shared" si="109"/>
        <v>861.60859430939354</v>
      </c>
      <c r="S152" s="62">
        <f ca="1">AVERAGE(OFFSET($R$3,0,0,'Données projet'!$E$9+1,1))-AVERAGE(OFFSET($H$3,0,0,'Données projet'!$E$9+1,1))</f>
        <v>428.8489304403459</v>
      </c>
      <c r="T152" s="62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274.66236526869056</v>
      </c>
      <c r="AO152" s="62">
        <f t="shared" si="144"/>
        <v>256.90876395053073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294.66839999999905</v>
      </c>
      <c r="BF152" s="14">
        <f t="shared" si="145"/>
        <v>70.057591528661362</v>
      </c>
      <c r="BG152" s="22">
        <f t="shared" si="115"/>
        <v>635.23110191241688</v>
      </c>
      <c r="BH152" s="62">
        <f t="shared" si="116"/>
        <v>928.56443524575025</v>
      </c>
      <c r="BI152" s="62">
        <f ca="1">AVERAGE(OFFSET($BH$3,0,0,'Données projet'!$E$11+1,1))-AVERAGE(OFFSET($H$3,0,0,'Données projet'!$E$11+1,1))</f>
        <v>475.47920969424894</v>
      </c>
      <c r="BJ152" s="62">
        <f t="shared" si="146"/>
        <v>271.73544012419364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-3.8461538461538112</v>
      </c>
      <c r="BZ152" s="14">
        <f>BY152*VLOOKUP('Données projet'!$B$12,Paramètres!$A$1:$I$89,3,0)*VLOOKUP('Données projet'!$B$12,Paramètres!$A$1:$I$89,5,0)</f>
        <v>-4.019999999999964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490.26236605482961</v>
      </c>
      <c r="CE152" s="62">
        <f t="shared" si="148"/>
        <v>283.40133947156238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4.9658410716801891E-14</v>
      </c>
      <c r="CV152" s="14">
        <f t="shared" si="149"/>
        <v>8.0934058173791862E-13</v>
      </c>
      <c r="CW152" s="22">
        <f t="shared" si="121"/>
        <v>1.4960899118586383E-12</v>
      </c>
      <c r="CX152" s="62">
        <f t="shared" si="122"/>
        <v>293.33333333333479</v>
      </c>
      <c r="CY152" s="62">
        <f ca="1">AVERAGE(OFFSET($CX$3,0,0,'Données projet'!$E$13+1,1))-AVERAGE(OFFSET($H$3,0,0,'Données projet'!$E$13+1,1))</f>
        <v>315.3516976788701</v>
      </c>
      <c r="CZ152" s="62">
        <f t="shared" si="150"/>
        <v>266.32508105927997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312.80183999999895</v>
      </c>
      <c r="EL152" s="14">
        <f t="shared" si="153"/>
        <v>73.853659115640198</v>
      </c>
      <c r="EM152" s="22">
        <f t="shared" si="127"/>
        <v>673.42499429307145</v>
      </c>
      <c r="EN152" s="62">
        <f t="shared" si="128"/>
        <v>966.75832762640471</v>
      </c>
      <c r="EO152" s="62">
        <f ca="1">AVERAGE(OFFSET($EN$3,0,0,'Données projet'!$E$15+1,1))-AVERAGE(OFFSET($H$3,0,0,'Données projet'!$E$15+1,1))</f>
        <v>502.07782026233912</v>
      </c>
      <c r="EP152" s="62">
        <f t="shared" si="154"/>
        <v>285.83623046025156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-1.7053025658242404E-13</v>
      </c>
      <c r="FF152" s="18">
        <f>FE152*VLOOKUP('Données projet'!$B$16,Paramètres!$A$1:$I$89,3,0)*VLOOKUP('Données projet'!$B$16,Paramètres!$A$1:$I$89,5,0)</f>
        <v>-1.6227659216383472E-13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365.5904647357433</v>
      </c>
      <c r="FK152" s="62">
        <f t="shared" si="156"/>
        <v>256.56280810580841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-1.1368683772161603E-13</v>
      </c>
      <c r="GA152" s="18">
        <f>FZ152*VLOOKUP('Données projet'!$B$17,Paramètres!$A$1:$I$89,3,0)*VLOOKUP('Données projet'!$B$17,Paramètres!$A$1:$I$89,5,0)</f>
        <v>-9.2222762759774927E-14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256.19915261735281</v>
      </c>
      <c r="GF152" s="62">
        <f t="shared" si="158"/>
        <v>297.47246687305056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-5.6843418860808015E-14</v>
      </c>
      <c r="GV152" s="18">
        <f>GU152*VLOOKUP('Données projet'!$B$18,Paramètres!$A$1:$I$89,3,0)*VLOOKUP('Données projet'!$B$18,Paramètres!$A$1:$I$89,5,0)</f>
        <v>-2.6602720026858149E-14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284.704043530756</v>
      </c>
      <c r="HA152" s="62">
        <f t="shared" si="160"/>
        <v>190.4880882944471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2">
        <f t="shared" si="109"/>
        <v>866.19540306597469</v>
      </c>
      <c r="S153" s="62">
        <f ca="1">AVERAGE(OFFSET($R$3,0,0,'Données projet'!$E$9+1,1))-AVERAGE(OFFSET($H$3,0,0,'Données projet'!$E$9+1,1))</f>
        <v>428.8489304403459</v>
      </c>
      <c r="T153" s="62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274.66236526869056</v>
      </c>
      <c r="AO153" s="62">
        <f t="shared" si="144"/>
        <v>256.90876395053073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297.10199999999907</v>
      </c>
      <c r="BF153" s="14">
        <f t="shared" si="145"/>
        <v>70.568588566272624</v>
      </c>
      <c r="BG153" s="22">
        <f t="shared" si="115"/>
        <v>640.3596084195899</v>
      </c>
      <c r="BH153" s="62">
        <f t="shared" si="116"/>
        <v>933.69294175292316</v>
      </c>
      <c r="BI153" s="62">
        <f ca="1">AVERAGE(OFFSET($BH$3,0,0,'Données projet'!$E$11+1,1))-AVERAGE(OFFSET($H$3,0,0,'Données projet'!$E$11+1,1))</f>
        <v>475.47920969424894</v>
      </c>
      <c r="BJ153" s="62">
        <f t="shared" si="146"/>
        <v>271.73544012419364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-3.8461538461538112</v>
      </c>
      <c r="BZ153" s="14">
        <f>BY153*VLOOKUP('Données projet'!$B$12,Paramètres!$A$1:$I$89,3,0)*VLOOKUP('Données projet'!$B$12,Paramètres!$A$1:$I$89,5,0)</f>
        <v>-4.019999999999964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490.26236605482961</v>
      </c>
      <c r="CE153" s="62">
        <f t="shared" si="148"/>
        <v>283.40133947156238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4.9658410716801891E-14</v>
      </c>
      <c r="CV153" s="14">
        <f t="shared" si="149"/>
        <v>8.0934058173791862E-13</v>
      </c>
      <c r="CW153" s="22">
        <f t="shared" si="121"/>
        <v>1.4960899118586383E-12</v>
      </c>
      <c r="CX153" s="62">
        <f t="shared" si="122"/>
        <v>293.33333333333479</v>
      </c>
      <c r="CY153" s="62">
        <f ca="1">AVERAGE(OFFSET($CX$3,0,0,'Données projet'!$E$13+1,1))-AVERAGE(OFFSET($H$3,0,0,'Données projet'!$E$13+1,1))</f>
        <v>315.3516976788701</v>
      </c>
      <c r="CZ153" s="62">
        <f t="shared" si="150"/>
        <v>266.32508105927997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315.38519999999892</v>
      </c>
      <c r="EL153" s="14">
        <f t="shared" si="153"/>
        <v>74.392344505779604</v>
      </c>
      <c r="EM153" s="22">
        <f t="shared" si="127"/>
        <v>678.86255668089746</v>
      </c>
      <c r="EN153" s="62">
        <f t="shared" si="128"/>
        <v>972.19589001423083</v>
      </c>
      <c r="EO153" s="62">
        <f ca="1">AVERAGE(OFFSET($EN$3,0,0,'Données projet'!$E$15+1,1))-AVERAGE(OFFSET($H$3,0,0,'Données projet'!$E$15+1,1))</f>
        <v>502.07782026233912</v>
      </c>
      <c r="EP153" s="62">
        <f t="shared" si="154"/>
        <v>285.83623046025156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-1.7053025658242404E-13</v>
      </c>
      <c r="FF153" s="18">
        <f>FE153*VLOOKUP('Données projet'!$B$16,Paramètres!$A$1:$I$89,3,0)*VLOOKUP('Données projet'!$B$16,Paramètres!$A$1:$I$89,5,0)</f>
        <v>-1.6227659216383472E-13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365.5904647357433</v>
      </c>
      <c r="FK153" s="62">
        <f t="shared" si="156"/>
        <v>256.56280810580841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-1.1368683772161603E-13</v>
      </c>
      <c r="GA153" s="18">
        <f>FZ153*VLOOKUP('Données projet'!$B$17,Paramètres!$A$1:$I$89,3,0)*VLOOKUP('Données projet'!$B$17,Paramètres!$A$1:$I$89,5,0)</f>
        <v>-9.2222762759774927E-14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256.19915261735281</v>
      </c>
      <c r="GF153" s="62">
        <f t="shared" si="158"/>
        <v>297.47246687305056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-5.6843418860808015E-14</v>
      </c>
      <c r="GV153" s="18">
        <f>GU153*VLOOKUP('Données projet'!$B$18,Paramètres!$A$1:$I$89,3,0)*VLOOKUP('Données projet'!$B$18,Paramètres!$A$1:$I$89,5,0)</f>
        <v>-2.6602720026858149E-14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284.704043530756</v>
      </c>
      <c r="HA153" s="62">
        <f t="shared" si="160"/>
        <v>190.4880882944471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428.8489304403459</v>
      </c>
      <c r="T154" s="62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274.66236526869056</v>
      </c>
      <c r="AO154" s="62">
        <f t="shared" si="144"/>
        <v>256.90876395053073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-9.7986685432260874E-13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475.47920969424894</v>
      </c>
      <c r="BJ154" s="62">
        <f t="shared" si="146"/>
        <v>271.73544012419364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-3.8461538461538112</v>
      </c>
      <c r="BZ154" s="14">
        <f>BY154*VLOOKUP('Données projet'!$B$12,Paramètres!$A$1:$I$89,3,0)*VLOOKUP('Données projet'!$B$12,Paramètres!$A$1:$I$89,5,0)</f>
        <v>-4.019999999999964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490.26236605482961</v>
      </c>
      <c r="CE154" s="62">
        <f t="shared" si="148"/>
        <v>283.40133947156238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4.9658410716801891E-14</v>
      </c>
      <c r="CV154" s="14">
        <f t="shared" ref="CV154:CV203" si="173">EXP(-1.0587+0.8836*LN(CU154)+0.284)</f>
        <v>8.0934058173791862E-13</v>
      </c>
      <c r="CW154" s="22">
        <f t="shared" ref="CW154:CW203" si="174">(CU154+CV154)*0.475*44/12</f>
        <v>1.4960899118586383E-12</v>
      </c>
      <c r="CX154" s="62">
        <f t="shared" si="122"/>
        <v>293.33333333333479</v>
      </c>
      <c r="CY154" s="62">
        <f ca="1">AVERAGE(OFFSET($CX$3,0,0,'Données projet'!$E$13+1,1))-AVERAGE(OFFSET($H$3,0,0,'Données projet'!$E$13+1,1))</f>
        <v>315.3516976788701</v>
      </c>
      <c r="CZ154" s="62">
        <f t="shared" si="150"/>
        <v>266.32508105927997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-1.0401663530501537E-12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502.07782026233912</v>
      </c>
      <c r="EP154" s="62">
        <f t="shared" si="154"/>
        <v>285.83623046025156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-1.7053025658242404E-13</v>
      </c>
      <c r="FF154" s="18">
        <f>FE154*VLOOKUP('Données projet'!$B$16,Paramètres!$A$1:$I$89,3,0)*VLOOKUP('Données projet'!$B$16,Paramètres!$A$1:$I$89,5,0)</f>
        <v>-1.6227659216383472E-13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365.5904647357433</v>
      </c>
      <c r="FK154" s="62">
        <f t="shared" si="156"/>
        <v>256.56280810580841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-9.2222762759774927E-14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256.19915261735281</v>
      </c>
      <c r="GF154" s="62">
        <f t="shared" si="158"/>
        <v>297.47246687305056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-5.6843418860808015E-14</v>
      </c>
      <c r="GV154" s="18">
        <f>GU154*VLOOKUP('Données projet'!$B$18,Paramètres!$A$1:$I$89,3,0)*VLOOKUP('Données projet'!$B$18,Paramètres!$A$1:$I$89,5,0)</f>
        <v>-2.6602720026858149E-14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284.704043530756</v>
      </c>
      <c r="HA154" s="62">
        <f t="shared" si="160"/>
        <v>190.4880882944471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428.8489304403459</v>
      </c>
      <c r="T155" s="62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274.66236526869056</v>
      </c>
      <c r="AO155" s="62">
        <f t="shared" si="144"/>
        <v>256.90876395053073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-9.7986685432260874E-13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475.47920969424894</v>
      </c>
      <c r="BJ155" s="62">
        <f t="shared" si="146"/>
        <v>271.73544012419364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-3.8461538461538112</v>
      </c>
      <c r="BZ155" s="14">
        <f>BY155*VLOOKUP('Données projet'!$B$12,Paramètres!$A$1:$I$89,3,0)*VLOOKUP('Données projet'!$B$12,Paramètres!$A$1:$I$89,5,0)</f>
        <v>-4.019999999999964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490.26236605482961</v>
      </c>
      <c r="CE155" s="62">
        <f t="shared" si="148"/>
        <v>283.40133947156238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4.9658410716801891E-14</v>
      </c>
      <c r="CV155" s="14">
        <f t="shared" si="173"/>
        <v>8.0934058173791862E-13</v>
      </c>
      <c r="CW155" s="22">
        <f t="shared" si="174"/>
        <v>1.4960899118586383E-12</v>
      </c>
      <c r="CX155" s="62">
        <f t="shared" si="122"/>
        <v>293.33333333333479</v>
      </c>
      <c r="CY155" s="62">
        <f ca="1">AVERAGE(OFFSET($CX$3,0,0,'Données projet'!$E$13+1,1))-AVERAGE(OFFSET($H$3,0,0,'Données projet'!$E$13+1,1))</f>
        <v>315.3516976788701</v>
      </c>
      <c r="CZ155" s="62">
        <f t="shared" si="150"/>
        <v>266.32508105927997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-1.0401663530501537E-12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502.07782026233912</v>
      </c>
      <c r="EP155" s="62">
        <f t="shared" si="154"/>
        <v>285.83623046025156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-1.7053025658242404E-13</v>
      </c>
      <c r="FF155" s="18">
        <f>FE155*VLOOKUP('Données projet'!$B$16,Paramètres!$A$1:$I$89,3,0)*VLOOKUP('Données projet'!$B$16,Paramètres!$A$1:$I$89,5,0)</f>
        <v>-1.6227659216383472E-13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365.5904647357433</v>
      </c>
      <c r="FK155" s="62">
        <f t="shared" si="156"/>
        <v>256.56280810580841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-9.2222762759774927E-14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256.19915261735281</v>
      </c>
      <c r="GF155" s="62">
        <f t="shared" si="158"/>
        <v>297.47246687305056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-5.6843418860808015E-14</v>
      </c>
      <c r="GV155" s="18">
        <f>GU155*VLOOKUP('Données projet'!$B$18,Paramètres!$A$1:$I$89,3,0)*VLOOKUP('Données projet'!$B$18,Paramètres!$A$1:$I$89,5,0)</f>
        <v>-2.6602720026858149E-14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284.704043530756</v>
      </c>
      <c r="HA155" s="62">
        <f t="shared" si="160"/>
        <v>190.4880882944471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428.8489304403459</v>
      </c>
      <c r="T156" s="62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274.66236526869056</v>
      </c>
      <c r="AO156" s="62">
        <f t="shared" si="144"/>
        <v>256.90876395053073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-9.7986685432260874E-13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475.47920969424894</v>
      </c>
      <c r="BJ156" s="62">
        <f t="shared" si="146"/>
        <v>271.73544012419364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-3.8461538461538112</v>
      </c>
      <c r="BZ156" s="14">
        <f>BY156*VLOOKUP('Données projet'!$B$12,Paramètres!$A$1:$I$89,3,0)*VLOOKUP('Données projet'!$B$12,Paramètres!$A$1:$I$89,5,0)</f>
        <v>-4.019999999999964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490.26236605482961</v>
      </c>
      <c r="CE156" s="62">
        <f t="shared" si="148"/>
        <v>283.40133947156238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4.9658410716801891E-14</v>
      </c>
      <c r="CV156" s="14">
        <f t="shared" si="173"/>
        <v>8.0934058173791862E-13</v>
      </c>
      <c r="CW156" s="22">
        <f t="shared" si="174"/>
        <v>1.4960899118586383E-12</v>
      </c>
      <c r="CX156" s="62">
        <f t="shared" si="122"/>
        <v>293.33333333333479</v>
      </c>
      <c r="CY156" s="62">
        <f ca="1">AVERAGE(OFFSET($CX$3,0,0,'Données projet'!$E$13+1,1))-AVERAGE(OFFSET($H$3,0,0,'Données projet'!$E$13+1,1))</f>
        <v>315.3516976788701</v>
      </c>
      <c r="CZ156" s="62">
        <f t="shared" si="150"/>
        <v>266.32508105927997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-1.0401663530501537E-12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502.07782026233912</v>
      </c>
      <c r="EP156" s="62">
        <f t="shared" si="154"/>
        <v>285.83623046025156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-1.7053025658242404E-13</v>
      </c>
      <c r="FF156" s="18">
        <f>FE156*VLOOKUP('Données projet'!$B$16,Paramètres!$A$1:$I$89,3,0)*VLOOKUP('Données projet'!$B$16,Paramètres!$A$1:$I$89,5,0)</f>
        <v>-1.6227659216383472E-13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365.5904647357433</v>
      </c>
      <c r="FK156" s="62">
        <f t="shared" si="156"/>
        <v>256.56280810580841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-9.2222762759774927E-14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256.19915261735281</v>
      </c>
      <c r="GF156" s="62">
        <f t="shared" si="158"/>
        <v>297.47246687305056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-5.6843418860808015E-14</v>
      </c>
      <c r="GV156" s="18">
        <f>GU156*VLOOKUP('Données projet'!$B$18,Paramètres!$A$1:$I$89,3,0)*VLOOKUP('Données projet'!$B$18,Paramètres!$A$1:$I$89,5,0)</f>
        <v>-2.6602720026858149E-14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284.704043530756</v>
      </c>
      <c r="HA156" s="62">
        <f t="shared" si="160"/>
        <v>190.4880882944471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428.8489304403459</v>
      </c>
      <c r="T157" s="62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274.66236526869056</v>
      </c>
      <c r="AO157" s="62">
        <f t="shared" si="144"/>
        <v>256.90876395053073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-9.7986685432260874E-13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475.47920969424894</v>
      </c>
      <c r="BJ157" s="62">
        <f t="shared" si="146"/>
        <v>271.73544012419364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-3.8461538461538112</v>
      </c>
      <c r="BZ157" s="14">
        <f>BY157*VLOOKUP('Données projet'!$B$12,Paramètres!$A$1:$I$89,3,0)*VLOOKUP('Données projet'!$B$12,Paramètres!$A$1:$I$89,5,0)</f>
        <v>-4.019999999999964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490.26236605482961</v>
      </c>
      <c r="CE157" s="62">
        <f t="shared" si="148"/>
        <v>283.40133947156238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4.9658410716801891E-14</v>
      </c>
      <c r="CV157" s="14">
        <f t="shared" si="173"/>
        <v>8.0934058173791862E-13</v>
      </c>
      <c r="CW157" s="22">
        <f t="shared" si="174"/>
        <v>1.4960899118586383E-12</v>
      </c>
      <c r="CX157" s="62">
        <f t="shared" si="122"/>
        <v>293.33333333333479</v>
      </c>
      <c r="CY157" s="62">
        <f ca="1">AVERAGE(OFFSET($CX$3,0,0,'Données projet'!$E$13+1,1))-AVERAGE(OFFSET($H$3,0,0,'Données projet'!$E$13+1,1))</f>
        <v>315.3516976788701</v>
      </c>
      <c r="CZ157" s="62">
        <f t="shared" si="150"/>
        <v>266.32508105927997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-1.0401663530501537E-12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502.07782026233912</v>
      </c>
      <c r="EP157" s="62">
        <f t="shared" si="154"/>
        <v>285.83623046025156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-1.7053025658242404E-13</v>
      </c>
      <c r="FF157" s="18">
        <f>FE157*VLOOKUP('Données projet'!$B$16,Paramètres!$A$1:$I$89,3,0)*VLOOKUP('Données projet'!$B$16,Paramètres!$A$1:$I$89,5,0)</f>
        <v>-1.6227659216383472E-13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365.5904647357433</v>
      </c>
      <c r="FK157" s="62">
        <f t="shared" si="156"/>
        <v>256.56280810580841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-9.2222762759774927E-14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256.19915261735281</v>
      </c>
      <c r="GF157" s="62">
        <f t="shared" si="158"/>
        <v>297.47246687305056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-5.6843418860808015E-14</v>
      </c>
      <c r="GV157" s="18">
        <f>GU157*VLOOKUP('Données projet'!$B$18,Paramètres!$A$1:$I$89,3,0)*VLOOKUP('Données projet'!$B$18,Paramètres!$A$1:$I$89,5,0)</f>
        <v>-2.6602720026858149E-14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284.704043530756</v>
      </c>
      <c r="HA157" s="62">
        <f t="shared" si="160"/>
        <v>190.4880882944471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428.8489304403459</v>
      </c>
      <c r="T158" s="62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274.66236526869056</v>
      </c>
      <c r="AO158" s="62">
        <f t="shared" si="144"/>
        <v>256.90876395053073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-9.7986685432260874E-13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475.47920969424894</v>
      </c>
      <c r="BJ158" s="62">
        <f t="shared" si="146"/>
        <v>271.73544012419364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-3.8461538461538112</v>
      </c>
      <c r="BZ158" s="14">
        <f>BY158*VLOOKUP('Données projet'!$B$12,Paramètres!$A$1:$I$89,3,0)*VLOOKUP('Données projet'!$B$12,Paramètres!$A$1:$I$89,5,0)</f>
        <v>-4.019999999999964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490.26236605482961</v>
      </c>
      <c r="CE158" s="62">
        <f t="shared" si="148"/>
        <v>283.40133947156238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4.9658410716801891E-14</v>
      </c>
      <c r="CV158" s="14">
        <f t="shared" si="173"/>
        <v>8.0934058173791862E-13</v>
      </c>
      <c r="CW158" s="22">
        <f t="shared" si="174"/>
        <v>1.4960899118586383E-12</v>
      </c>
      <c r="CX158" s="62">
        <f t="shared" si="122"/>
        <v>293.33333333333479</v>
      </c>
      <c r="CY158" s="62">
        <f ca="1">AVERAGE(OFFSET($CX$3,0,0,'Données projet'!$E$13+1,1))-AVERAGE(OFFSET($H$3,0,0,'Données projet'!$E$13+1,1))</f>
        <v>315.3516976788701</v>
      </c>
      <c r="CZ158" s="62">
        <f t="shared" si="150"/>
        <v>266.32508105927997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-1.0401663530501537E-12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502.07782026233912</v>
      </c>
      <c r="EP158" s="62">
        <f t="shared" si="154"/>
        <v>285.83623046025156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-1.7053025658242404E-13</v>
      </c>
      <c r="FF158" s="18">
        <f>FE158*VLOOKUP('Données projet'!$B$16,Paramètres!$A$1:$I$89,3,0)*VLOOKUP('Données projet'!$B$16,Paramètres!$A$1:$I$89,5,0)</f>
        <v>-1.6227659216383472E-13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365.5904647357433</v>
      </c>
      <c r="FK158" s="62">
        <f t="shared" si="156"/>
        <v>256.56280810580841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-9.2222762759774927E-14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256.19915261735281</v>
      </c>
      <c r="GF158" s="62">
        <f t="shared" si="158"/>
        <v>297.47246687305056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-5.6843418860808015E-14</v>
      </c>
      <c r="GV158" s="18">
        <f>GU158*VLOOKUP('Données projet'!$B$18,Paramètres!$A$1:$I$89,3,0)*VLOOKUP('Données projet'!$B$18,Paramètres!$A$1:$I$89,5,0)</f>
        <v>-2.6602720026858149E-14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284.704043530756</v>
      </c>
      <c r="HA158" s="62">
        <f t="shared" si="160"/>
        <v>190.4880882944471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428.8489304403459</v>
      </c>
      <c r="T159" s="62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274.66236526869056</v>
      </c>
      <c r="AO159" s="62">
        <f t="shared" si="144"/>
        <v>256.90876395053073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-9.7986685432260874E-13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475.47920969424894</v>
      </c>
      <c r="BJ159" s="62">
        <f t="shared" si="146"/>
        <v>271.73544012419364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-3.8461538461538112</v>
      </c>
      <c r="BZ159" s="14">
        <f>BY159*VLOOKUP('Données projet'!$B$12,Paramètres!$A$1:$I$89,3,0)*VLOOKUP('Données projet'!$B$12,Paramètres!$A$1:$I$89,5,0)</f>
        <v>-4.019999999999964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490.26236605482961</v>
      </c>
      <c r="CE159" s="62">
        <f t="shared" si="148"/>
        <v>283.40133947156238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4.9658410716801891E-14</v>
      </c>
      <c r="CV159" s="14">
        <f t="shared" si="173"/>
        <v>8.0934058173791862E-13</v>
      </c>
      <c r="CW159" s="22">
        <f t="shared" si="174"/>
        <v>1.4960899118586383E-12</v>
      </c>
      <c r="CX159" s="62">
        <f t="shared" si="122"/>
        <v>293.33333333333479</v>
      </c>
      <c r="CY159" s="62">
        <f ca="1">AVERAGE(OFFSET($CX$3,0,0,'Données projet'!$E$13+1,1))-AVERAGE(OFFSET($H$3,0,0,'Données projet'!$E$13+1,1))</f>
        <v>315.3516976788701</v>
      </c>
      <c r="CZ159" s="62">
        <f t="shared" si="150"/>
        <v>266.32508105927997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-1.0401663530501537E-12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502.07782026233912</v>
      </c>
      <c r="EP159" s="62">
        <f t="shared" si="154"/>
        <v>285.83623046025156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-1.7053025658242404E-13</v>
      </c>
      <c r="FF159" s="18">
        <f>FE159*VLOOKUP('Données projet'!$B$16,Paramètres!$A$1:$I$89,3,0)*VLOOKUP('Données projet'!$B$16,Paramètres!$A$1:$I$89,5,0)</f>
        <v>-1.6227659216383472E-13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365.5904647357433</v>
      </c>
      <c r="FK159" s="62">
        <f t="shared" si="156"/>
        <v>256.56280810580841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-9.2222762759774927E-14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256.19915261735281</v>
      </c>
      <c r="GF159" s="62">
        <f t="shared" si="158"/>
        <v>297.47246687305056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-5.6843418860808015E-14</v>
      </c>
      <c r="GV159" s="18">
        <f>GU159*VLOOKUP('Données projet'!$B$18,Paramètres!$A$1:$I$89,3,0)*VLOOKUP('Données projet'!$B$18,Paramètres!$A$1:$I$89,5,0)</f>
        <v>-2.6602720026858149E-14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284.704043530756</v>
      </c>
      <c r="HA159" s="62">
        <f t="shared" si="160"/>
        <v>190.4880882944471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428.8489304403459</v>
      </c>
      <c r="T160" s="62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274.66236526869056</v>
      </c>
      <c r="AO160" s="62">
        <f t="shared" si="144"/>
        <v>256.90876395053073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-9.7986685432260874E-13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475.47920969424894</v>
      </c>
      <c r="BJ160" s="62">
        <f t="shared" si="146"/>
        <v>271.73544012419364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-3.8461538461538112</v>
      </c>
      <c r="BZ160" s="14">
        <f>BY160*VLOOKUP('Données projet'!$B$12,Paramètres!$A$1:$I$89,3,0)*VLOOKUP('Données projet'!$B$12,Paramètres!$A$1:$I$89,5,0)</f>
        <v>-4.019999999999964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490.26236605482961</v>
      </c>
      <c r="CE160" s="62">
        <f t="shared" si="148"/>
        <v>283.40133947156238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4.9658410716801891E-14</v>
      </c>
      <c r="CV160" s="14">
        <f t="shared" si="173"/>
        <v>8.0934058173791862E-13</v>
      </c>
      <c r="CW160" s="22">
        <f t="shared" si="174"/>
        <v>1.4960899118586383E-12</v>
      </c>
      <c r="CX160" s="62">
        <f t="shared" si="122"/>
        <v>293.33333333333479</v>
      </c>
      <c r="CY160" s="62">
        <f ca="1">AVERAGE(OFFSET($CX$3,0,0,'Données projet'!$E$13+1,1))-AVERAGE(OFFSET($H$3,0,0,'Données projet'!$E$13+1,1))</f>
        <v>315.3516976788701</v>
      </c>
      <c r="CZ160" s="62">
        <f t="shared" si="150"/>
        <v>266.32508105927997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-1.0401663530501537E-12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502.07782026233912</v>
      </c>
      <c r="EP160" s="62">
        <f t="shared" si="154"/>
        <v>285.83623046025156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-1.7053025658242404E-13</v>
      </c>
      <c r="FF160" s="18">
        <f>FE160*VLOOKUP('Données projet'!$B$16,Paramètres!$A$1:$I$89,3,0)*VLOOKUP('Données projet'!$B$16,Paramètres!$A$1:$I$89,5,0)</f>
        <v>-1.6227659216383472E-13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365.5904647357433</v>
      </c>
      <c r="FK160" s="62">
        <f t="shared" si="156"/>
        <v>256.56280810580841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-9.2222762759774927E-14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256.19915261735281</v>
      </c>
      <c r="GF160" s="62">
        <f t="shared" si="158"/>
        <v>297.47246687305056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-5.6843418860808015E-14</v>
      </c>
      <c r="GV160" s="18">
        <f>GU160*VLOOKUP('Données projet'!$B$18,Paramètres!$A$1:$I$89,3,0)*VLOOKUP('Données projet'!$B$18,Paramètres!$A$1:$I$89,5,0)</f>
        <v>-2.6602720026858149E-14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284.704043530756</v>
      </c>
      <c r="HA160" s="62">
        <f t="shared" si="160"/>
        <v>190.4880882944471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428.8489304403459</v>
      </c>
      <c r="T161" s="62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274.66236526869056</v>
      </c>
      <c r="AO161" s="62">
        <f t="shared" si="144"/>
        <v>256.90876395053073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-9.7986685432260874E-13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475.47920969424894</v>
      </c>
      <c r="BJ161" s="62">
        <f t="shared" si="146"/>
        <v>271.73544012419364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-3.8461538461538112</v>
      </c>
      <c r="BZ161" s="14">
        <f>BY161*VLOOKUP('Données projet'!$B$12,Paramètres!$A$1:$I$89,3,0)*VLOOKUP('Données projet'!$B$12,Paramètres!$A$1:$I$89,5,0)</f>
        <v>-4.019999999999964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490.26236605482961</v>
      </c>
      <c r="CE161" s="62">
        <f t="shared" si="148"/>
        <v>283.40133947156238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4.9658410716801891E-14</v>
      </c>
      <c r="CV161" s="14">
        <f t="shared" si="173"/>
        <v>8.0934058173791862E-13</v>
      </c>
      <c r="CW161" s="22">
        <f t="shared" si="174"/>
        <v>1.4960899118586383E-12</v>
      </c>
      <c r="CX161" s="62">
        <f t="shared" si="122"/>
        <v>293.33333333333479</v>
      </c>
      <c r="CY161" s="62">
        <f ca="1">AVERAGE(OFFSET($CX$3,0,0,'Données projet'!$E$13+1,1))-AVERAGE(OFFSET($H$3,0,0,'Données projet'!$E$13+1,1))</f>
        <v>315.3516976788701</v>
      </c>
      <c r="CZ161" s="62">
        <f t="shared" si="150"/>
        <v>266.32508105927997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-1.0401663530501537E-12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502.07782026233912</v>
      </c>
      <c r="EP161" s="62">
        <f t="shared" si="154"/>
        <v>285.83623046025156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-1.7053025658242404E-13</v>
      </c>
      <c r="FF161" s="18">
        <f>FE161*VLOOKUP('Données projet'!$B$16,Paramètres!$A$1:$I$89,3,0)*VLOOKUP('Données projet'!$B$16,Paramètres!$A$1:$I$89,5,0)</f>
        <v>-1.6227659216383472E-13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365.5904647357433</v>
      </c>
      <c r="FK161" s="62">
        <f t="shared" si="156"/>
        <v>256.56280810580841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-9.2222762759774927E-14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256.19915261735281</v>
      </c>
      <c r="GF161" s="62">
        <f t="shared" si="158"/>
        <v>297.47246687305056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-5.6843418860808015E-14</v>
      </c>
      <c r="GV161" s="18">
        <f>GU161*VLOOKUP('Données projet'!$B$18,Paramètres!$A$1:$I$89,3,0)*VLOOKUP('Données projet'!$B$18,Paramètres!$A$1:$I$89,5,0)</f>
        <v>-2.6602720026858149E-14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284.704043530756</v>
      </c>
      <c r="HA161" s="62">
        <f t="shared" si="160"/>
        <v>190.4880882944471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428.8489304403459</v>
      </c>
      <c r="T162" s="62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274.66236526869056</v>
      </c>
      <c r="AO162" s="62">
        <f t="shared" si="144"/>
        <v>256.90876395053073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-9.7986685432260874E-13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475.47920969424894</v>
      </c>
      <c r="BJ162" s="62">
        <f t="shared" si="146"/>
        <v>271.73544012419364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-3.8461538461538112</v>
      </c>
      <c r="BZ162" s="14">
        <f>BY162*VLOOKUP('Données projet'!$B$12,Paramètres!$A$1:$I$89,3,0)*VLOOKUP('Données projet'!$B$12,Paramètres!$A$1:$I$89,5,0)</f>
        <v>-4.019999999999964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490.26236605482961</v>
      </c>
      <c r="CE162" s="62">
        <f t="shared" si="148"/>
        <v>283.40133947156238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4.9658410716801891E-14</v>
      </c>
      <c r="CV162" s="14">
        <f t="shared" si="173"/>
        <v>8.0934058173791862E-13</v>
      </c>
      <c r="CW162" s="22">
        <f t="shared" si="174"/>
        <v>1.4960899118586383E-12</v>
      </c>
      <c r="CX162" s="62">
        <f t="shared" si="122"/>
        <v>293.33333333333479</v>
      </c>
      <c r="CY162" s="62">
        <f ca="1">AVERAGE(OFFSET($CX$3,0,0,'Données projet'!$E$13+1,1))-AVERAGE(OFFSET($H$3,0,0,'Données projet'!$E$13+1,1))</f>
        <v>315.3516976788701</v>
      </c>
      <c r="CZ162" s="62">
        <f t="shared" si="150"/>
        <v>266.32508105927997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-1.0401663530501537E-12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502.07782026233912</v>
      </c>
      <c r="EP162" s="62">
        <f t="shared" si="154"/>
        <v>285.83623046025156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-1.7053025658242404E-13</v>
      </c>
      <c r="FF162" s="18">
        <f>FE162*VLOOKUP('Données projet'!$B$16,Paramètres!$A$1:$I$89,3,0)*VLOOKUP('Données projet'!$B$16,Paramètres!$A$1:$I$89,5,0)</f>
        <v>-1.6227659216383472E-13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365.5904647357433</v>
      </c>
      <c r="FK162" s="62">
        <f t="shared" si="156"/>
        <v>256.56280810580841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-9.2222762759774927E-14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256.19915261735281</v>
      </c>
      <c r="GF162" s="62">
        <f t="shared" si="158"/>
        <v>297.47246687305056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-5.6843418860808015E-14</v>
      </c>
      <c r="GV162" s="18">
        <f>GU162*VLOOKUP('Données projet'!$B$18,Paramètres!$A$1:$I$89,3,0)*VLOOKUP('Données projet'!$B$18,Paramètres!$A$1:$I$89,5,0)</f>
        <v>-2.6602720026858149E-14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284.704043530756</v>
      </c>
      <c r="HA162" s="62">
        <f t="shared" si="160"/>
        <v>190.4880882944471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428.8489304403459</v>
      </c>
      <c r="T163" s="62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274.66236526869056</v>
      </c>
      <c r="AO163" s="62">
        <f t="shared" si="144"/>
        <v>256.90876395053073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-9.7986685432260874E-13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475.47920969424894</v>
      </c>
      <c r="BJ163" s="62">
        <f t="shared" si="146"/>
        <v>271.73544012419364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-3.8461538461538112</v>
      </c>
      <c r="BZ163" s="14">
        <f>BY163*VLOOKUP('Données projet'!$B$12,Paramètres!$A$1:$I$89,3,0)*VLOOKUP('Données projet'!$B$12,Paramètres!$A$1:$I$89,5,0)</f>
        <v>-4.019999999999964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490.26236605482961</v>
      </c>
      <c r="CE163" s="62">
        <f t="shared" si="148"/>
        <v>283.40133947156238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4.9658410716801891E-14</v>
      </c>
      <c r="CV163" s="14">
        <f t="shared" si="173"/>
        <v>8.0934058173791862E-13</v>
      </c>
      <c r="CW163" s="22">
        <f t="shared" si="174"/>
        <v>1.4960899118586383E-12</v>
      </c>
      <c r="CX163" s="62">
        <f t="shared" si="122"/>
        <v>293.33333333333479</v>
      </c>
      <c r="CY163" s="62">
        <f ca="1">AVERAGE(OFFSET($CX$3,0,0,'Données projet'!$E$13+1,1))-AVERAGE(OFFSET($H$3,0,0,'Données projet'!$E$13+1,1))</f>
        <v>315.3516976788701</v>
      </c>
      <c r="CZ163" s="62">
        <f t="shared" si="150"/>
        <v>266.32508105927997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-1.0401663530501537E-12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502.07782026233912</v>
      </c>
      <c r="EP163" s="62">
        <f t="shared" si="154"/>
        <v>285.83623046025156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-1.7053025658242404E-13</v>
      </c>
      <c r="FF163" s="18">
        <f>FE163*VLOOKUP('Données projet'!$B$16,Paramètres!$A$1:$I$89,3,0)*VLOOKUP('Données projet'!$B$16,Paramètres!$A$1:$I$89,5,0)</f>
        <v>-1.6227659216383472E-13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365.5904647357433</v>
      </c>
      <c r="FK163" s="62">
        <f t="shared" si="156"/>
        <v>256.56280810580841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-9.2222762759774927E-14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256.19915261735281</v>
      </c>
      <c r="GF163" s="62">
        <f t="shared" si="158"/>
        <v>297.47246687305056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-5.6843418860808015E-14</v>
      </c>
      <c r="GV163" s="18">
        <f>GU163*VLOOKUP('Données projet'!$B$18,Paramètres!$A$1:$I$89,3,0)*VLOOKUP('Données projet'!$B$18,Paramètres!$A$1:$I$89,5,0)</f>
        <v>-2.6602720026858149E-14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284.704043530756</v>
      </c>
      <c r="HA163" s="62">
        <f t="shared" si="160"/>
        <v>190.4880882944471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428.8489304403459</v>
      </c>
      <c r="T164" s="62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274.66236526869056</v>
      </c>
      <c r="AO164" s="62">
        <f t="shared" si="144"/>
        <v>256.90876395053073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-9.7986685432260874E-13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475.47920969424894</v>
      </c>
      <c r="BJ164" s="62">
        <f t="shared" si="146"/>
        <v>271.73544012419364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-3.8461538461538112</v>
      </c>
      <c r="BZ164" s="14">
        <f>BY164*VLOOKUP('Données projet'!$B$12,Paramètres!$A$1:$I$89,3,0)*VLOOKUP('Données projet'!$B$12,Paramètres!$A$1:$I$89,5,0)</f>
        <v>-4.019999999999964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490.26236605482961</v>
      </c>
      <c r="CE164" s="62">
        <f t="shared" si="148"/>
        <v>283.40133947156238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4.9658410716801891E-14</v>
      </c>
      <c r="CV164" s="14">
        <f t="shared" si="173"/>
        <v>8.0934058173791862E-13</v>
      </c>
      <c r="CW164" s="22">
        <f t="shared" si="174"/>
        <v>1.4960899118586383E-12</v>
      </c>
      <c r="CX164" s="62">
        <f t="shared" si="122"/>
        <v>293.33333333333479</v>
      </c>
      <c r="CY164" s="62">
        <f ca="1">AVERAGE(OFFSET($CX$3,0,0,'Données projet'!$E$13+1,1))-AVERAGE(OFFSET($H$3,0,0,'Données projet'!$E$13+1,1))</f>
        <v>315.3516976788701</v>
      </c>
      <c r="CZ164" s="62">
        <f t="shared" si="150"/>
        <v>266.32508105927997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-1.0401663530501537E-12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502.07782026233912</v>
      </c>
      <c r="EP164" s="62">
        <f t="shared" si="154"/>
        <v>285.83623046025156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-1.7053025658242404E-13</v>
      </c>
      <c r="FF164" s="18">
        <f>FE164*VLOOKUP('Données projet'!$B$16,Paramètres!$A$1:$I$89,3,0)*VLOOKUP('Données projet'!$B$16,Paramètres!$A$1:$I$89,5,0)</f>
        <v>-1.6227659216383472E-13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365.5904647357433</v>
      </c>
      <c r="FK164" s="62">
        <f t="shared" si="156"/>
        <v>256.56280810580841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-9.2222762759774927E-14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256.19915261735281</v>
      </c>
      <c r="GF164" s="62">
        <f t="shared" si="158"/>
        <v>297.47246687305056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-5.6843418860808015E-14</v>
      </c>
      <c r="GV164" s="18">
        <f>GU164*VLOOKUP('Données projet'!$B$18,Paramètres!$A$1:$I$89,3,0)*VLOOKUP('Données projet'!$B$18,Paramètres!$A$1:$I$89,5,0)</f>
        <v>-2.6602720026858149E-14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284.704043530756</v>
      </c>
      <c r="HA164" s="62">
        <f t="shared" si="160"/>
        <v>190.4880882944471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428.8489304403459</v>
      </c>
      <c r="T165" s="62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274.66236526869056</v>
      </c>
      <c r="AO165" s="62">
        <f t="shared" si="144"/>
        <v>256.90876395053073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-9.7986685432260874E-13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475.47920969424894</v>
      </c>
      <c r="BJ165" s="62">
        <f t="shared" si="146"/>
        <v>271.73544012419364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-3.8461538461538112</v>
      </c>
      <c r="BZ165" s="14">
        <f>BY165*VLOOKUP('Données projet'!$B$12,Paramètres!$A$1:$I$89,3,0)*VLOOKUP('Données projet'!$B$12,Paramètres!$A$1:$I$89,5,0)</f>
        <v>-4.019999999999964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490.26236605482961</v>
      </c>
      <c r="CE165" s="62">
        <f t="shared" si="148"/>
        <v>283.40133947156238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4.9658410716801891E-14</v>
      </c>
      <c r="CV165" s="14">
        <f t="shared" si="173"/>
        <v>8.0934058173791862E-13</v>
      </c>
      <c r="CW165" s="22">
        <f t="shared" si="174"/>
        <v>1.4960899118586383E-12</v>
      </c>
      <c r="CX165" s="62">
        <f t="shared" si="122"/>
        <v>293.33333333333479</v>
      </c>
      <c r="CY165" s="62">
        <f ca="1">AVERAGE(OFFSET($CX$3,0,0,'Données projet'!$E$13+1,1))-AVERAGE(OFFSET($H$3,0,0,'Données projet'!$E$13+1,1))</f>
        <v>315.3516976788701</v>
      </c>
      <c r="CZ165" s="62">
        <f t="shared" si="150"/>
        <v>266.32508105927997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-1.0401663530501537E-12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502.07782026233912</v>
      </c>
      <c r="EP165" s="62">
        <f t="shared" si="154"/>
        <v>285.83623046025156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-1.7053025658242404E-13</v>
      </c>
      <c r="FF165" s="18">
        <f>FE165*VLOOKUP('Données projet'!$B$16,Paramètres!$A$1:$I$89,3,0)*VLOOKUP('Données projet'!$B$16,Paramètres!$A$1:$I$89,5,0)</f>
        <v>-1.6227659216383472E-13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365.5904647357433</v>
      </c>
      <c r="FK165" s="62">
        <f t="shared" si="156"/>
        <v>256.56280810580841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-9.2222762759774927E-14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256.19915261735281</v>
      </c>
      <c r="GF165" s="62">
        <f t="shared" si="158"/>
        <v>297.47246687305056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-5.6843418860808015E-14</v>
      </c>
      <c r="GV165" s="18">
        <f>GU165*VLOOKUP('Données projet'!$B$18,Paramètres!$A$1:$I$89,3,0)*VLOOKUP('Données projet'!$B$18,Paramètres!$A$1:$I$89,5,0)</f>
        <v>-2.6602720026858149E-14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284.704043530756</v>
      </c>
      <c r="HA165" s="62">
        <f t="shared" si="160"/>
        <v>190.4880882944471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428.8489304403459</v>
      </c>
      <c r="T166" s="62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274.66236526869056</v>
      </c>
      <c r="AO166" s="62">
        <f t="shared" si="144"/>
        <v>256.90876395053073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-9.7986685432260874E-13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475.47920969424894</v>
      </c>
      <c r="BJ166" s="62">
        <f t="shared" si="146"/>
        <v>271.73544012419364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-3.8461538461538112</v>
      </c>
      <c r="BZ166" s="14">
        <f>BY166*VLOOKUP('Données projet'!$B$12,Paramètres!$A$1:$I$89,3,0)*VLOOKUP('Données projet'!$B$12,Paramètres!$A$1:$I$89,5,0)</f>
        <v>-4.019999999999964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490.26236605482961</v>
      </c>
      <c r="CE166" s="62">
        <f t="shared" si="148"/>
        <v>283.40133947156238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4.9658410716801891E-14</v>
      </c>
      <c r="CV166" s="14">
        <f t="shared" si="173"/>
        <v>8.0934058173791862E-13</v>
      </c>
      <c r="CW166" s="22">
        <f t="shared" si="174"/>
        <v>1.4960899118586383E-12</v>
      </c>
      <c r="CX166" s="62">
        <f t="shared" si="122"/>
        <v>293.33333333333479</v>
      </c>
      <c r="CY166" s="62">
        <f ca="1">AVERAGE(OFFSET($CX$3,0,0,'Données projet'!$E$13+1,1))-AVERAGE(OFFSET($H$3,0,0,'Données projet'!$E$13+1,1))</f>
        <v>315.3516976788701</v>
      </c>
      <c r="CZ166" s="62">
        <f t="shared" si="150"/>
        <v>266.32508105927997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-1.0401663530501537E-12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502.07782026233912</v>
      </c>
      <c r="EP166" s="62">
        <f t="shared" si="154"/>
        <v>285.83623046025156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-1.7053025658242404E-13</v>
      </c>
      <c r="FF166" s="18">
        <f>FE166*VLOOKUP('Données projet'!$B$16,Paramètres!$A$1:$I$89,3,0)*VLOOKUP('Données projet'!$B$16,Paramètres!$A$1:$I$89,5,0)</f>
        <v>-1.6227659216383472E-13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365.5904647357433</v>
      </c>
      <c r="FK166" s="62">
        <f t="shared" si="156"/>
        <v>256.56280810580841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-9.2222762759774927E-14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256.19915261735281</v>
      </c>
      <c r="GF166" s="62">
        <f t="shared" si="158"/>
        <v>297.47246687305056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-5.6843418860808015E-14</v>
      </c>
      <c r="GV166" s="18">
        <f>GU166*VLOOKUP('Données projet'!$B$18,Paramètres!$A$1:$I$89,3,0)*VLOOKUP('Données projet'!$B$18,Paramètres!$A$1:$I$89,5,0)</f>
        <v>-2.6602720026858149E-14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284.704043530756</v>
      </c>
      <c r="HA166" s="62">
        <f t="shared" si="160"/>
        <v>190.4880882944471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428.8489304403459</v>
      </c>
      <c r="T167" s="62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274.66236526869056</v>
      </c>
      <c r="AO167" s="62">
        <f t="shared" si="144"/>
        <v>256.90876395053073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-9.7986685432260874E-13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475.47920969424894</v>
      </c>
      <c r="BJ167" s="62">
        <f t="shared" si="146"/>
        <v>271.73544012419364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-3.8461538461538112</v>
      </c>
      <c r="BZ167" s="14">
        <f>BY167*VLOOKUP('Données projet'!$B$12,Paramètres!$A$1:$I$89,3,0)*VLOOKUP('Données projet'!$B$12,Paramètres!$A$1:$I$89,5,0)</f>
        <v>-4.019999999999964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490.26236605482961</v>
      </c>
      <c r="CE167" s="62">
        <f t="shared" si="148"/>
        <v>283.40133947156238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4.9658410716801891E-14</v>
      </c>
      <c r="CV167" s="14">
        <f t="shared" si="173"/>
        <v>8.0934058173791862E-13</v>
      </c>
      <c r="CW167" s="22">
        <f t="shared" si="174"/>
        <v>1.4960899118586383E-12</v>
      </c>
      <c r="CX167" s="62">
        <f t="shared" si="122"/>
        <v>293.33333333333479</v>
      </c>
      <c r="CY167" s="62">
        <f ca="1">AVERAGE(OFFSET($CX$3,0,0,'Données projet'!$E$13+1,1))-AVERAGE(OFFSET($H$3,0,0,'Données projet'!$E$13+1,1))</f>
        <v>315.3516976788701</v>
      </c>
      <c r="CZ167" s="62">
        <f t="shared" si="150"/>
        <v>266.32508105927997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-1.0401663530501537E-12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502.07782026233912</v>
      </c>
      <c r="EP167" s="62">
        <f t="shared" si="154"/>
        <v>285.83623046025156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-1.7053025658242404E-13</v>
      </c>
      <c r="FF167" s="18">
        <f>FE167*VLOOKUP('Données projet'!$B$16,Paramètres!$A$1:$I$89,3,0)*VLOOKUP('Données projet'!$B$16,Paramètres!$A$1:$I$89,5,0)</f>
        <v>-1.6227659216383472E-13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365.5904647357433</v>
      </c>
      <c r="FK167" s="62">
        <f t="shared" si="156"/>
        <v>256.56280810580841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-9.2222762759774927E-14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256.19915261735281</v>
      </c>
      <c r="GF167" s="62">
        <f t="shared" si="158"/>
        <v>297.47246687305056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-5.6843418860808015E-14</v>
      </c>
      <c r="GV167" s="18">
        <f>GU167*VLOOKUP('Données projet'!$B$18,Paramètres!$A$1:$I$89,3,0)*VLOOKUP('Données projet'!$B$18,Paramètres!$A$1:$I$89,5,0)</f>
        <v>-2.6602720026858149E-14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284.704043530756</v>
      </c>
      <c r="HA167" s="62">
        <f t="shared" si="160"/>
        <v>190.4880882944471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428.8489304403459</v>
      </c>
      <c r="T168" s="62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274.66236526869056</v>
      </c>
      <c r="AO168" s="62">
        <f t="shared" si="144"/>
        <v>256.90876395053073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-9.7986685432260874E-13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475.47920969424894</v>
      </c>
      <c r="BJ168" s="62">
        <f t="shared" si="146"/>
        <v>271.73544012419364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-3.8461538461538112</v>
      </c>
      <c r="BZ168" s="14">
        <f>BY168*VLOOKUP('Données projet'!$B$12,Paramètres!$A$1:$I$89,3,0)*VLOOKUP('Données projet'!$B$12,Paramètres!$A$1:$I$89,5,0)</f>
        <v>-4.019999999999964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490.26236605482961</v>
      </c>
      <c r="CE168" s="62">
        <f t="shared" si="148"/>
        <v>283.40133947156238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4.9658410716801891E-14</v>
      </c>
      <c r="CV168" s="14">
        <f t="shared" si="173"/>
        <v>8.0934058173791862E-13</v>
      </c>
      <c r="CW168" s="22">
        <f t="shared" si="174"/>
        <v>1.4960899118586383E-12</v>
      </c>
      <c r="CX168" s="62">
        <f t="shared" si="122"/>
        <v>293.33333333333479</v>
      </c>
      <c r="CY168" s="62">
        <f ca="1">AVERAGE(OFFSET($CX$3,0,0,'Données projet'!$E$13+1,1))-AVERAGE(OFFSET($H$3,0,0,'Données projet'!$E$13+1,1))</f>
        <v>315.3516976788701</v>
      </c>
      <c r="CZ168" s="62">
        <f t="shared" si="150"/>
        <v>266.32508105927997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-1.0401663530501537E-12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502.07782026233912</v>
      </c>
      <c r="EP168" s="62">
        <f t="shared" si="154"/>
        <v>285.83623046025156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-1.7053025658242404E-13</v>
      </c>
      <c r="FF168" s="18">
        <f>FE168*VLOOKUP('Données projet'!$B$16,Paramètres!$A$1:$I$89,3,0)*VLOOKUP('Données projet'!$B$16,Paramètres!$A$1:$I$89,5,0)</f>
        <v>-1.6227659216383472E-13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365.5904647357433</v>
      </c>
      <c r="FK168" s="62">
        <f t="shared" si="156"/>
        <v>256.56280810580841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-9.2222762759774927E-14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256.19915261735281</v>
      </c>
      <c r="GF168" s="62">
        <f t="shared" si="158"/>
        <v>297.47246687305056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-5.6843418860808015E-14</v>
      </c>
      <c r="GV168" s="18">
        <f>GU168*VLOOKUP('Données projet'!$B$18,Paramètres!$A$1:$I$89,3,0)*VLOOKUP('Données projet'!$B$18,Paramètres!$A$1:$I$89,5,0)</f>
        <v>-2.6602720026858149E-14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284.704043530756</v>
      </c>
      <c r="HA168" s="62">
        <f t="shared" si="160"/>
        <v>190.4880882944471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428.8489304403459</v>
      </c>
      <c r="T169" s="62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274.66236526869056</v>
      </c>
      <c r="AO169" s="62">
        <f t="shared" si="144"/>
        <v>256.90876395053073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-9.7986685432260874E-13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475.47920969424894</v>
      </c>
      <c r="BJ169" s="62">
        <f t="shared" si="146"/>
        <v>271.73544012419364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-3.8461538461538112</v>
      </c>
      <c r="BZ169" s="14">
        <f>BY169*VLOOKUP('Données projet'!$B$12,Paramètres!$A$1:$I$89,3,0)*VLOOKUP('Données projet'!$B$12,Paramètres!$A$1:$I$89,5,0)</f>
        <v>-4.019999999999964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490.26236605482961</v>
      </c>
      <c r="CE169" s="62">
        <f t="shared" si="148"/>
        <v>283.40133947156238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4.9658410716801891E-14</v>
      </c>
      <c r="CV169" s="14">
        <f t="shared" si="173"/>
        <v>8.0934058173791862E-13</v>
      </c>
      <c r="CW169" s="22">
        <f t="shared" si="174"/>
        <v>1.4960899118586383E-12</v>
      </c>
      <c r="CX169" s="62">
        <f t="shared" si="122"/>
        <v>293.33333333333479</v>
      </c>
      <c r="CY169" s="62">
        <f ca="1">AVERAGE(OFFSET($CX$3,0,0,'Données projet'!$E$13+1,1))-AVERAGE(OFFSET($H$3,0,0,'Données projet'!$E$13+1,1))</f>
        <v>315.3516976788701</v>
      </c>
      <c r="CZ169" s="62">
        <f t="shared" si="150"/>
        <v>266.32508105927997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-1.0401663530501537E-12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502.07782026233912</v>
      </c>
      <c r="EP169" s="62">
        <f t="shared" si="154"/>
        <v>285.83623046025156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-1.7053025658242404E-13</v>
      </c>
      <c r="FF169" s="18">
        <f>FE169*VLOOKUP('Données projet'!$B$16,Paramètres!$A$1:$I$89,3,0)*VLOOKUP('Données projet'!$B$16,Paramètres!$A$1:$I$89,5,0)</f>
        <v>-1.6227659216383472E-13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365.5904647357433</v>
      </c>
      <c r="FK169" s="62">
        <f t="shared" si="156"/>
        <v>256.56280810580841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-9.2222762759774927E-14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256.19915261735281</v>
      </c>
      <c r="GF169" s="62">
        <f t="shared" si="158"/>
        <v>297.47246687305056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-5.6843418860808015E-14</v>
      </c>
      <c r="GV169" s="18">
        <f>GU169*VLOOKUP('Données projet'!$B$18,Paramètres!$A$1:$I$89,3,0)*VLOOKUP('Données projet'!$B$18,Paramètres!$A$1:$I$89,5,0)</f>
        <v>-2.6602720026858149E-14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284.704043530756</v>
      </c>
      <c r="HA169" s="62">
        <f t="shared" si="160"/>
        <v>190.4880882944471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428.8489304403459</v>
      </c>
      <c r="T170" s="62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274.66236526869056</v>
      </c>
      <c r="AO170" s="62">
        <f t="shared" si="144"/>
        <v>256.90876395053073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-9.7986685432260874E-13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475.47920969424894</v>
      </c>
      <c r="BJ170" s="62">
        <f t="shared" si="146"/>
        <v>271.73544012419364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-3.8461538461538112</v>
      </c>
      <c r="BZ170" s="14">
        <f>BY170*VLOOKUP('Données projet'!$B$12,Paramètres!$A$1:$I$89,3,0)*VLOOKUP('Données projet'!$B$12,Paramètres!$A$1:$I$89,5,0)</f>
        <v>-4.019999999999964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490.26236605482961</v>
      </c>
      <c r="CE170" s="62">
        <f t="shared" si="148"/>
        <v>283.40133947156238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4.9658410716801891E-14</v>
      </c>
      <c r="CV170" s="14">
        <f t="shared" si="173"/>
        <v>8.0934058173791862E-13</v>
      </c>
      <c r="CW170" s="22">
        <f t="shared" si="174"/>
        <v>1.4960899118586383E-12</v>
      </c>
      <c r="CX170" s="62">
        <f t="shared" si="122"/>
        <v>293.33333333333479</v>
      </c>
      <c r="CY170" s="62">
        <f ca="1">AVERAGE(OFFSET($CX$3,0,0,'Données projet'!$E$13+1,1))-AVERAGE(OFFSET($H$3,0,0,'Données projet'!$E$13+1,1))</f>
        <v>315.3516976788701</v>
      </c>
      <c r="CZ170" s="62">
        <f t="shared" si="150"/>
        <v>266.32508105927997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-1.0401663530501537E-12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502.07782026233912</v>
      </c>
      <c r="EP170" s="62">
        <f t="shared" si="154"/>
        <v>285.83623046025156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-1.7053025658242404E-13</v>
      </c>
      <c r="FF170" s="18">
        <f>FE170*VLOOKUP('Données projet'!$B$16,Paramètres!$A$1:$I$89,3,0)*VLOOKUP('Données projet'!$B$16,Paramètres!$A$1:$I$89,5,0)</f>
        <v>-1.6227659216383472E-13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365.5904647357433</v>
      </c>
      <c r="FK170" s="62">
        <f t="shared" si="156"/>
        <v>256.56280810580841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-9.2222762759774927E-14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256.19915261735281</v>
      </c>
      <c r="GF170" s="62">
        <f t="shared" si="158"/>
        <v>297.47246687305056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-5.6843418860808015E-14</v>
      </c>
      <c r="GV170" s="18">
        <f>GU170*VLOOKUP('Données projet'!$B$18,Paramètres!$A$1:$I$89,3,0)*VLOOKUP('Données projet'!$B$18,Paramètres!$A$1:$I$89,5,0)</f>
        <v>-2.6602720026858149E-14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284.704043530756</v>
      </c>
      <c r="HA170" s="62">
        <f t="shared" si="160"/>
        <v>190.4880882944471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428.8489304403459</v>
      </c>
      <c r="T171" s="62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274.66236526869056</v>
      </c>
      <c r="AO171" s="62">
        <f t="shared" si="144"/>
        <v>256.90876395053073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-9.7986685432260874E-13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475.47920969424894</v>
      </c>
      <c r="BJ171" s="62">
        <f t="shared" si="146"/>
        <v>271.73544012419364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-3.8461538461538112</v>
      </c>
      <c r="BZ171" s="14">
        <f>BY171*VLOOKUP('Données projet'!$B$12,Paramètres!$A$1:$I$89,3,0)*VLOOKUP('Données projet'!$B$12,Paramètres!$A$1:$I$89,5,0)</f>
        <v>-4.019999999999964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490.26236605482961</v>
      </c>
      <c r="CE171" s="62">
        <f t="shared" si="148"/>
        <v>283.40133947156238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4.9658410716801891E-14</v>
      </c>
      <c r="CV171" s="14">
        <f t="shared" si="173"/>
        <v>8.0934058173791862E-13</v>
      </c>
      <c r="CW171" s="22">
        <f t="shared" si="174"/>
        <v>1.4960899118586383E-12</v>
      </c>
      <c r="CX171" s="62">
        <f t="shared" si="122"/>
        <v>293.33333333333479</v>
      </c>
      <c r="CY171" s="62">
        <f ca="1">AVERAGE(OFFSET($CX$3,0,0,'Données projet'!$E$13+1,1))-AVERAGE(OFFSET($H$3,0,0,'Données projet'!$E$13+1,1))</f>
        <v>315.3516976788701</v>
      </c>
      <c r="CZ171" s="62">
        <f t="shared" si="150"/>
        <v>266.32508105927997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-1.0401663530501537E-12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502.07782026233912</v>
      </c>
      <c r="EP171" s="62">
        <f t="shared" si="154"/>
        <v>285.83623046025156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-1.7053025658242404E-13</v>
      </c>
      <c r="FF171" s="18">
        <f>FE171*VLOOKUP('Données projet'!$B$16,Paramètres!$A$1:$I$89,3,0)*VLOOKUP('Données projet'!$B$16,Paramètres!$A$1:$I$89,5,0)</f>
        <v>-1.6227659216383472E-13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365.5904647357433</v>
      </c>
      <c r="FK171" s="62">
        <f t="shared" si="156"/>
        <v>256.56280810580841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-9.2222762759774927E-14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256.19915261735281</v>
      </c>
      <c r="GF171" s="62">
        <f t="shared" si="158"/>
        <v>297.47246687305056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-5.6843418860808015E-14</v>
      </c>
      <c r="GV171" s="18">
        <f>GU171*VLOOKUP('Données projet'!$B$18,Paramètres!$A$1:$I$89,3,0)*VLOOKUP('Données projet'!$B$18,Paramètres!$A$1:$I$89,5,0)</f>
        <v>-2.6602720026858149E-14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284.704043530756</v>
      </c>
      <c r="HA171" s="62">
        <f t="shared" si="160"/>
        <v>190.4880882944471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428.8489304403459</v>
      </c>
      <c r="T172" s="62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274.66236526869056</v>
      </c>
      <c r="AO172" s="62">
        <f t="shared" si="144"/>
        <v>256.90876395053073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-9.7986685432260874E-13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475.47920969424894</v>
      </c>
      <c r="BJ172" s="62">
        <f t="shared" si="146"/>
        <v>271.73544012419364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-3.8461538461538112</v>
      </c>
      <c r="BZ172" s="14">
        <f>BY172*VLOOKUP('Données projet'!$B$12,Paramètres!$A$1:$I$89,3,0)*VLOOKUP('Données projet'!$B$12,Paramètres!$A$1:$I$89,5,0)</f>
        <v>-4.019999999999964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490.26236605482961</v>
      </c>
      <c r="CE172" s="62">
        <f t="shared" si="148"/>
        <v>283.40133947156238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4.9658410716801891E-14</v>
      </c>
      <c r="CV172" s="14">
        <f t="shared" si="173"/>
        <v>8.0934058173791862E-13</v>
      </c>
      <c r="CW172" s="22">
        <f t="shared" si="174"/>
        <v>1.4960899118586383E-12</v>
      </c>
      <c r="CX172" s="62">
        <f t="shared" si="122"/>
        <v>293.33333333333479</v>
      </c>
      <c r="CY172" s="62">
        <f ca="1">AVERAGE(OFFSET($CX$3,0,0,'Données projet'!$E$13+1,1))-AVERAGE(OFFSET($H$3,0,0,'Données projet'!$E$13+1,1))</f>
        <v>315.3516976788701</v>
      </c>
      <c r="CZ172" s="62">
        <f t="shared" si="150"/>
        <v>266.32508105927997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-1.0401663530501537E-12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502.07782026233912</v>
      </c>
      <c r="EP172" s="62">
        <f t="shared" si="154"/>
        <v>285.83623046025156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-1.7053025658242404E-13</v>
      </c>
      <c r="FF172" s="18">
        <f>FE172*VLOOKUP('Données projet'!$B$16,Paramètres!$A$1:$I$89,3,0)*VLOOKUP('Données projet'!$B$16,Paramètres!$A$1:$I$89,5,0)</f>
        <v>-1.6227659216383472E-13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365.5904647357433</v>
      </c>
      <c r="FK172" s="62">
        <f t="shared" si="156"/>
        <v>256.56280810580841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-9.2222762759774927E-14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256.19915261735281</v>
      </c>
      <c r="GF172" s="62">
        <f t="shared" si="158"/>
        <v>297.47246687305056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-5.6843418860808015E-14</v>
      </c>
      <c r="GV172" s="18">
        <f>GU172*VLOOKUP('Données projet'!$B$18,Paramètres!$A$1:$I$89,3,0)*VLOOKUP('Données projet'!$B$18,Paramètres!$A$1:$I$89,5,0)</f>
        <v>-2.6602720026858149E-14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284.704043530756</v>
      </c>
      <c r="HA172" s="62">
        <f t="shared" si="160"/>
        <v>190.4880882944471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428.8489304403459</v>
      </c>
      <c r="T173" s="62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274.66236526869056</v>
      </c>
      <c r="AO173" s="62">
        <f t="shared" si="144"/>
        <v>256.90876395053073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-9.7986685432260874E-13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475.47920969424894</v>
      </c>
      <c r="BJ173" s="62">
        <f t="shared" si="146"/>
        <v>271.73544012419364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-3.8461538461538112</v>
      </c>
      <c r="BZ173" s="14">
        <f>BY173*VLOOKUP('Données projet'!$B$12,Paramètres!$A$1:$I$89,3,0)*VLOOKUP('Données projet'!$B$12,Paramètres!$A$1:$I$89,5,0)</f>
        <v>-4.019999999999964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490.26236605482961</v>
      </c>
      <c r="CE173" s="62">
        <f t="shared" si="148"/>
        <v>283.40133947156238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4.9658410716801891E-14</v>
      </c>
      <c r="CV173" s="14">
        <f t="shared" si="173"/>
        <v>8.0934058173791862E-13</v>
      </c>
      <c r="CW173" s="22">
        <f t="shared" si="174"/>
        <v>1.4960899118586383E-12</v>
      </c>
      <c r="CX173" s="62">
        <f t="shared" si="122"/>
        <v>293.33333333333479</v>
      </c>
      <c r="CY173" s="62">
        <f ca="1">AVERAGE(OFFSET($CX$3,0,0,'Données projet'!$E$13+1,1))-AVERAGE(OFFSET($H$3,0,0,'Données projet'!$E$13+1,1))</f>
        <v>315.3516976788701</v>
      </c>
      <c r="CZ173" s="62">
        <f t="shared" si="150"/>
        <v>266.32508105927997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-1.0401663530501537E-12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502.07782026233912</v>
      </c>
      <c r="EP173" s="62">
        <f t="shared" si="154"/>
        <v>285.83623046025156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-1.7053025658242404E-13</v>
      </c>
      <c r="FF173" s="18">
        <f>FE173*VLOOKUP('Données projet'!$B$16,Paramètres!$A$1:$I$89,3,0)*VLOOKUP('Données projet'!$B$16,Paramètres!$A$1:$I$89,5,0)</f>
        <v>-1.6227659216383472E-13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365.5904647357433</v>
      </c>
      <c r="FK173" s="62">
        <f t="shared" si="156"/>
        <v>256.56280810580841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-9.2222762759774927E-14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256.19915261735281</v>
      </c>
      <c r="GF173" s="62">
        <f t="shared" si="158"/>
        <v>297.47246687305056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-5.6843418860808015E-14</v>
      </c>
      <c r="GV173" s="18">
        <f>GU173*VLOOKUP('Données projet'!$B$18,Paramètres!$A$1:$I$89,3,0)*VLOOKUP('Données projet'!$B$18,Paramètres!$A$1:$I$89,5,0)</f>
        <v>-2.6602720026858149E-14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284.704043530756</v>
      </c>
      <c r="HA173" s="62">
        <f t="shared" si="160"/>
        <v>190.4880882944471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428.8489304403459</v>
      </c>
      <c r="T174" s="62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274.66236526869056</v>
      </c>
      <c r="AO174" s="62">
        <f t="shared" si="144"/>
        <v>256.90876395053073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-9.7986685432260874E-13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475.47920969424894</v>
      </c>
      <c r="BJ174" s="62">
        <f t="shared" si="146"/>
        <v>271.73544012419364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-3.8461538461538112</v>
      </c>
      <c r="BZ174" s="14">
        <f>BY174*VLOOKUP('Données projet'!$B$12,Paramètres!$A$1:$I$89,3,0)*VLOOKUP('Données projet'!$B$12,Paramètres!$A$1:$I$89,5,0)</f>
        <v>-4.019999999999964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490.26236605482961</v>
      </c>
      <c r="CE174" s="62">
        <f t="shared" si="148"/>
        <v>283.40133947156238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4.9658410716801891E-14</v>
      </c>
      <c r="CV174" s="14">
        <f t="shared" si="173"/>
        <v>8.0934058173791862E-13</v>
      </c>
      <c r="CW174" s="22">
        <f t="shared" si="174"/>
        <v>1.4960899118586383E-12</v>
      </c>
      <c r="CX174" s="62">
        <f t="shared" si="122"/>
        <v>293.33333333333479</v>
      </c>
      <c r="CY174" s="62">
        <f ca="1">AVERAGE(OFFSET($CX$3,0,0,'Données projet'!$E$13+1,1))-AVERAGE(OFFSET($H$3,0,0,'Données projet'!$E$13+1,1))</f>
        <v>315.3516976788701</v>
      </c>
      <c r="CZ174" s="62">
        <f t="shared" si="150"/>
        <v>266.32508105927997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-1.0401663530501537E-12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502.07782026233912</v>
      </c>
      <c r="EP174" s="62">
        <f t="shared" si="154"/>
        <v>285.83623046025156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-1.7053025658242404E-13</v>
      </c>
      <c r="FF174" s="18">
        <f>FE174*VLOOKUP('Données projet'!$B$16,Paramètres!$A$1:$I$89,3,0)*VLOOKUP('Données projet'!$B$16,Paramètres!$A$1:$I$89,5,0)</f>
        <v>-1.6227659216383472E-13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365.5904647357433</v>
      </c>
      <c r="FK174" s="62">
        <f t="shared" si="156"/>
        <v>256.56280810580841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-9.2222762759774927E-14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256.19915261735281</v>
      </c>
      <c r="GF174" s="62">
        <f t="shared" si="158"/>
        <v>297.47246687305056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-5.6843418860808015E-14</v>
      </c>
      <c r="GV174" s="18">
        <f>GU174*VLOOKUP('Données projet'!$B$18,Paramètres!$A$1:$I$89,3,0)*VLOOKUP('Données projet'!$B$18,Paramètres!$A$1:$I$89,5,0)</f>
        <v>-2.6602720026858149E-14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284.704043530756</v>
      </c>
      <c r="HA174" s="62">
        <f t="shared" si="160"/>
        <v>190.4880882944471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428.8489304403459</v>
      </c>
      <c r="T175" s="62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274.66236526869056</v>
      </c>
      <c r="AO175" s="62">
        <f t="shared" si="144"/>
        <v>256.90876395053073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-9.7986685432260874E-13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475.47920969424894</v>
      </c>
      <c r="BJ175" s="62">
        <f t="shared" si="146"/>
        <v>271.73544012419364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-3.8461538461538112</v>
      </c>
      <c r="BZ175" s="14">
        <f>BY175*VLOOKUP('Données projet'!$B$12,Paramètres!$A$1:$I$89,3,0)*VLOOKUP('Données projet'!$B$12,Paramètres!$A$1:$I$89,5,0)</f>
        <v>-4.019999999999964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490.26236605482961</v>
      </c>
      <c r="CE175" s="62">
        <f t="shared" si="148"/>
        <v>283.40133947156238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4.9658410716801891E-14</v>
      </c>
      <c r="CV175" s="14">
        <f t="shared" si="173"/>
        <v>8.0934058173791862E-13</v>
      </c>
      <c r="CW175" s="22">
        <f t="shared" si="174"/>
        <v>1.4960899118586383E-12</v>
      </c>
      <c r="CX175" s="62">
        <f t="shared" si="122"/>
        <v>293.33333333333479</v>
      </c>
      <c r="CY175" s="62">
        <f ca="1">AVERAGE(OFFSET($CX$3,0,0,'Données projet'!$E$13+1,1))-AVERAGE(OFFSET($H$3,0,0,'Données projet'!$E$13+1,1))</f>
        <v>315.3516976788701</v>
      </c>
      <c r="CZ175" s="62">
        <f t="shared" si="150"/>
        <v>266.32508105927997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-1.0401663530501537E-12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502.07782026233912</v>
      </c>
      <c r="EP175" s="62">
        <f t="shared" si="154"/>
        <v>285.83623046025156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-1.7053025658242404E-13</v>
      </c>
      <c r="FF175" s="18">
        <f>FE175*VLOOKUP('Données projet'!$B$16,Paramètres!$A$1:$I$89,3,0)*VLOOKUP('Données projet'!$B$16,Paramètres!$A$1:$I$89,5,0)</f>
        <v>-1.6227659216383472E-13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365.5904647357433</v>
      </c>
      <c r="FK175" s="62">
        <f t="shared" si="156"/>
        <v>256.56280810580841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-9.2222762759774927E-14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256.19915261735281</v>
      </c>
      <c r="GF175" s="62">
        <f t="shared" si="158"/>
        <v>297.47246687305056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-5.6843418860808015E-14</v>
      </c>
      <c r="GV175" s="18">
        <f>GU175*VLOOKUP('Données projet'!$B$18,Paramètres!$A$1:$I$89,3,0)*VLOOKUP('Données projet'!$B$18,Paramètres!$A$1:$I$89,5,0)</f>
        <v>-2.6602720026858149E-14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284.704043530756</v>
      </c>
      <c r="HA175" s="62">
        <f t="shared" si="160"/>
        <v>190.4880882944471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428.8489304403459</v>
      </c>
      <c r="T176" s="62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274.66236526869056</v>
      </c>
      <c r="AO176" s="62">
        <f t="shared" si="144"/>
        <v>256.90876395053073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-9.7986685432260874E-13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475.47920969424894</v>
      </c>
      <c r="BJ176" s="62">
        <f t="shared" si="146"/>
        <v>271.73544012419364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-3.8461538461538112</v>
      </c>
      <c r="BZ176" s="14">
        <f>BY176*VLOOKUP('Données projet'!$B$12,Paramètres!$A$1:$I$89,3,0)*VLOOKUP('Données projet'!$B$12,Paramètres!$A$1:$I$89,5,0)</f>
        <v>-4.019999999999964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490.26236605482961</v>
      </c>
      <c r="CE176" s="62">
        <f t="shared" si="148"/>
        <v>283.40133947156238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4.9658410716801891E-14</v>
      </c>
      <c r="CV176" s="14">
        <f t="shared" si="173"/>
        <v>8.0934058173791862E-13</v>
      </c>
      <c r="CW176" s="22">
        <f t="shared" si="174"/>
        <v>1.4960899118586383E-12</v>
      </c>
      <c r="CX176" s="62">
        <f t="shared" si="122"/>
        <v>293.33333333333479</v>
      </c>
      <c r="CY176" s="62">
        <f ca="1">AVERAGE(OFFSET($CX$3,0,0,'Données projet'!$E$13+1,1))-AVERAGE(OFFSET($H$3,0,0,'Données projet'!$E$13+1,1))</f>
        <v>315.3516976788701</v>
      </c>
      <c r="CZ176" s="62">
        <f t="shared" si="150"/>
        <v>266.32508105927997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-1.0401663530501537E-12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502.07782026233912</v>
      </c>
      <c r="EP176" s="62">
        <f t="shared" si="154"/>
        <v>285.83623046025156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-1.7053025658242404E-13</v>
      </c>
      <c r="FF176" s="18">
        <f>FE176*VLOOKUP('Données projet'!$B$16,Paramètres!$A$1:$I$89,3,0)*VLOOKUP('Données projet'!$B$16,Paramètres!$A$1:$I$89,5,0)</f>
        <v>-1.6227659216383472E-13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365.5904647357433</v>
      </c>
      <c r="FK176" s="62">
        <f t="shared" si="156"/>
        <v>256.56280810580841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-9.2222762759774927E-14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256.19915261735281</v>
      </c>
      <c r="GF176" s="62">
        <f t="shared" si="158"/>
        <v>297.47246687305056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-5.6843418860808015E-14</v>
      </c>
      <c r="GV176" s="18">
        <f>GU176*VLOOKUP('Données projet'!$B$18,Paramètres!$A$1:$I$89,3,0)*VLOOKUP('Données projet'!$B$18,Paramètres!$A$1:$I$89,5,0)</f>
        <v>-2.6602720026858149E-14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284.704043530756</v>
      </c>
      <c r="HA176" s="62">
        <f t="shared" si="160"/>
        <v>190.4880882944471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428.8489304403459</v>
      </c>
      <c r="T177" s="62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274.66236526869056</v>
      </c>
      <c r="AO177" s="62">
        <f t="shared" si="144"/>
        <v>256.90876395053073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-9.7986685432260874E-13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475.47920969424894</v>
      </c>
      <c r="BJ177" s="62">
        <f t="shared" si="146"/>
        <v>271.73544012419364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-3.8461538461538112</v>
      </c>
      <c r="BZ177" s="14">
        <f>BY177*VLOOKUP('Données projet'!$B$12,Paramètres!$A$1:$I$89,3,0)*VLOOKUP('Données projet'!$B$12,Paramètres!$A$1:$I$89,5,0)</f>
        <v>-4.019999999999964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490.26236605482961</v>
      </c>
      <c r="CE177" s="62">
        <f t="shared" si="148"/>
        <v>283.40133947156238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4.9658410716801891E-14</v>
      </c>
      <c r="CV177" s="14">
        <f t="shared" si="173"/>
        <v>8.0934058173791862E-13</v>
      </c>
      <c r="CW177" s="22">
        <f t="shared" si="174"/>
        <v>1.4960899118586383E-12</v>
      </c>
      <c r="CX177" s="62">
        <f t="shared" si="122"/>
        <v>293.33333333333479</v>
      </c>
      <c r="CY177" s="62">
        <f ca="1">AVERAGE(OFFSET($CX$3,0,0,'Données projet'!$E$13+1,1))-AVERAGE(OFFSET($H$3,0,0,'Données projet'!$E$13+1,1))</f>
        <v>315.3516976788701</v>
      </c>
      <c r="CZ177" s="62">
        <f t="shared" si="150"/>
        <v>266.32508105927997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-1.0401663530501537E-12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502.07782026233912</v>
      </c>
      <c r="EP177" s="62">
        <f t="shared" si="154"/>
        <v>285.83623046025156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-1.7053025658242404E-13</v>
      </c>
      <c r="FF177" s="18">
        <f>FE177*VLOOKUP('Données projet'!$B$16,Paramètres!$A$1:$I$89,3,0)*VLOOKUP('Données projet'!$B$16,Paramètres!$A$1:$I$89,5,0)</f>
        <v>-1.6227659216383472E-13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365.5904647357433</v>
      </c>
      <c r="FK177" s="62">
        <f t="shared" si="156"/>
        <v>256.56280810580841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-9.2222762759774927E-14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256.19915261735281</v>
      </c>
      <c r="GF177" s="62">
        <f t="shared" si="158"/>
        <v>297.47246687305056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-5.6843418860808015E-14</v>
      </c>
      <c r="GV177" s="18">
        <f>GU177*VLOOKUP('Données projet'!$B$18,Paramètres!$A$1:$I$89,3,0)*VLOOKUP('Données projet'!$B$18,Paramètres!$A$1:$I$89,5,0)</f>
        <v>-2.6602720026858149E-14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284.704043530756</v>
      </c>
      <c r="HA177" s="62">
        <f t="shared" si="160"/>
        <v>190.4880882944471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428.8489304403459</v>
      </c>
      <c r="T178" s="62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274.66236526869056</v>
      </c>
      <c r="AO178" s="62">
        <f t="shared" si="144"/>
        <v>256.90876395053073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-9.7986685432260874E-13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475.47920969424894</v>
      </c>
      <c r="BJ178" s="62">
        <f t="shared" si="146"/>
        <v>271.73544012419364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-3.8461538461538112</v>
      </c>
      <c r="BZ178" s="14">
        <f>BY178*VLOOKUP('Données projet'!$B$12,Paramètres!$A$1:$I$89,3,0)*VLOOKUP('Données projet'!$B$12,Paramètres!$A$1:$I$89,5,0)</f>
        <v>-4.019999999999964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490.26236605482961</v>
      </c>
      <c r="CE178" s="62">
        <f t="shared" si="148"/>
        <v>283.40133947156238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4.9658410716801891E-14</v>
      </c>
      <c r="CV178" s="14">
        <f t="shared" si="173"/>
        <v>8.0934058173791862E-13</v>
      </c>
      <c r="CW178" s="22">
        <f t="shared" si="174"/>
        <v>1.4960899118586383E-12</v>
      </c>
      <c r="CX178" s="62">
        <f t="shared" si="122"/>
        <v>293.33333333333479</v>
      </c>
      <c r="CY178" s="62">
        <f ca="1">AVERAGE(OFFSET($CX$3,0,0,'Données projet'!$E$13+1,1))-AVERAGE(OFFSET($H$3,0,0,'Données projet'!$E$13+1,1))</f>
        <v>315.3516976788701</v>
      </c>
      <c r="CZ178" s="62">
        <f t="shared" si="150"/>
        <v>266.32508105927997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-1.0401663530501537E-12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502.07782026233912</v>
      </c>
      <c r="EP178" s="62">
        <f t="shared" si="154"/>
        <v>285.83623046025156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-1.7053025658242404E-13</v>
      </c>
      <c r="FF178" s="18">
        <f>FE178*VLOOKUP('Données projet'!$B$16,Paramètres!$A$1:$I$89,3,0)*VLOOKUP('Données projet'!$B$16,Paramètres!$A$1:$I$89,5,0)</f>
        <v>-1.6227659216383472E-13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365.5904647357433</v>
      </c>
      <c r="FK178" s="62">
        <f t="shared" si="156"/>
        <v>256.56280810580841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-9.2222762759774927E-14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256.19915261735281</v>
      </c>
      <c r="GF178" s="62">
        <f t="shared" si="158"/>
        <v>297.47246687305056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-5.6843418860808015E-14</v>
      </c>
      <c r="GV178" s="18">
        <f>GU178*VLOOKUP('Données projet'!$B$18,Paramètres!$A$1:$I$89,3,0)*VLOOKUP('Données projet'!$B$18,Paramètres!$A$1:$I$89,5,0)</f>
        <v>-2.6602720026858149E-14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284.704043530756</v>
      </c>
      <c r="HA178" s="62">
        <f t="shared" si="160"/>
        <v>190.4880882944471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428.8489304403459</v>
      </c>
      <c r="T179" s="62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274.66236526869056</v>
      </c>
      <c r="AO179" s="62">
        <f t="shared" si="144"/>
        <v>256.90876395053073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-9.7986685432260874E-13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475.47920969424894</v>
      </c>
      <c r="BJ179" s="62">
        <f t="shared" si="146"/>
        <v>271.73544012419364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-3.8461538461538112</v>
      </c>
      <c r="BZ179" s="14">
        <f>BY179*VLOOKUP('Données projet'!$B$12,Paramètres!$A$1:$I$89,3,0)*VLOOKUP('Données projet'!$B$12,Paramètres!$A$1:$I$89,5,0)</f>
        <v>-4.019999999999964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490.26236605482961</v>
      </c>
      <c r="CE179" s="62">
        <f t="shared" si="148"/>
        <v>283.40133947156238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4.9658410716801891E-14</v>
      </c>
      <c r="CV179" s="14">
        <f t="shared" si="173"/>
        <v>8.0934058173791862E-13</v>
      </c>
      <c r="CW179" s="22">
        <f t="shared" si="174"/>
        <v>1.4960899118586383E-12</v>
      </c>
      <c r="CX179" s="62">
        <f t="shared" si="122"/>
        <v>293.33333333333479</v>
      </c>
      <c r="CY179" s="62">
        <f ca="1">AVERAGE(OFFSET($CX$3,0,0,'Données projet'!$E$13+1,1))-AVERAGE(OFFSET($H$3,0,0,'Données projet'!$E$13+1,1))</f>
        <v>315.3516976788701</v>
      </c>
      <c r="CZ179" s="62">
        <f t="shared" si="150"/>
        <v>266.32508105927997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-1.0401663530501537E-12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502.07782026233912</v>
      </c>
      <c r="EP179" s="62">
        <f t="shared" si="154"/>
        <v>285.83623046025156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-1.7053025658242404E-13</v>
      </c>
      <c r="FF179" s="18">
        <f>FE179*VLOOKUP('Données projet'!$B$16,Paramètres!$A$1:$I$89,3,0)*VLOOKUP('Données projet'!$B$16,Paramètres!$A$1:$I$89,5,0)</f>
        <v>-1.6227659216383472E-13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365.5904647357433</v>
      </c>
      <c r="FK179" s="62">
        <f t="shared" si="156"/>
        <v>256.56280810580841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-9.2222762759774927E-14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256.19915261735281</v>
      </c>
      <c r="GF179" s="62">
        <f t="shared" si="158"/>
        <v>297.47246687305056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-5.6843418860808015E-14</v>
      </c>
      <c r="GV179" s="18">
        <f>GU179*VLOOKUP('Données projet'!$B$18,Paramètres!$A$1:$I$89,3,0)*VLOOKUP('Données projet'!$B$18,Paramètres!$A$1:$I$89,5,0)</f>
        <v>-2.6602720026858149E-14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284.704043530756</v>
      </c>
      <c r="HA179" s="62">
        <f t="shared" si="160"/>
        <v>190.4880882944471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428.8489304403459</v>
      </c>
      <c r="T180" s="62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274.66236526869056</v>
      </c>
      <c r="AO180" s="62">
        <f t="shared" si="144"/>
        <v>256.90876395053073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-9.7986685432260874E-13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475.47920969424894</v>
      </c>
      <c r="BJ180" s="62">
        <f t="shared" si="146"/>
        <v>271.73544012419364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-3.8461538461538112</v>
      </c>
      <c r="BZ180" s="14">
        <f>BY180*VLOOKUP('Données projet'!$B$12,Paramètres!$A$1:$I$89,3,0)*VLOOKUP('Données projet'!$B$12,Paramètres!$A$1:$I$89,5,0)</f>
        <v>-4.019999999999964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490.26236605482961</v>
      </c>
      <c r="CE180" s="62">
        <f t="shared" si="148"/>
        <v>283.40133947156238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4.9658410716801891E-14</v>
      </c>
      <c r="CV180" s="14">
        <f t="shared" si="173"/>
        <v>8.0934058173791862E-13</v>
      </c>
      <c r="CW180" s="22">
        <f t="shared" si="174"/>
        <v>1.4960899118586383E-12</v>
      </c>
      <c r="CX180" s="62">
        <f t="shared" si="122"/>
        <v>293.33333333333479</v>
      </c>
      <c r="CY180" s="62">
        <f ca="1">AVERAGE(OFFSET($CX$3,0,0,'Données projet'!$E$13+1,1))-AVERAGE(OFFSET($H$3,0,0,'Données projet'!$E$13+1,1))</f>
        <v>315.3516976788701</v>
      </c>
      <c r="CZ180" s="62">
        <f t="shared" si="150"/>
        <v>266.32508105927997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-1.0401663530501537E-12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502.07782026233912</v>
      </c>
      <c r="EP180" s="62">
        <f t="shared" si="154"/>
        <v>285.83623046025156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-1.7053025658242404E-13</v>
      </c>
      <c r="FF180" s="18">
        <f>FE180*VLOOKUP('Données projet'!$B$16,Paramètres!$A$1:$I$89,3,0)*VLOOKUP('Données projet'!$B$16,Paramètres!$A$1:$I$89,5,0)</f>
        <v>-1.6227659216383472E-13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365.5904647357433</v>
      </c>
      <c r="FK180" s="62">
        <f t="shared" si="156"/>
        <v>256.56280810580841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-9.2222762759774927E-14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256.19915261735281</v>
      </c>
      <c r="GF180" s="62">
        <f t="shared" si="158"/>
        <v>297.47246687305056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-5.6843418860808015E-14</v>
      </c>
      <c r="GV180" s="18">
        <f>GU180*VLOOKUP('Données projet'!$B$18,Paramètres!$A$1:$I$89,3,0)*VLOOKUP('Données projet'!$B$18,Paramètres!$A$1:$I$89,5,0)</f>
        <v>-2.6602720026858149E-14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284.704043530756</v>
      </c>
      <c r="HA180" s="62">
        <f t="shared" si="160"/>
        <v>190.4880882944471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428.8489304403459</v>
      </c>
      <c r="T181" s="62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274.66236526869056</v>
      </c>
      <c r="AO181" s="62">
        <f t="shared" si="144"/>
        <v>256.90876395053073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-9.7986685432260874E-13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475.47920969424894</v>
      </c>
      <c r="BJ181" s="62">
        <f t="shared" si="146"/>
        <v>271.73544012419364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-3.8461538461538112</v>
      </c>
      <c r="BZ181" s="14">
        <f>BY181*VLOOKUP('Données projet'!$B$12,Paramètres!$A$1:$I$89,3,0)*VLOOKUP('Données projet'!$B$12,Paramètres!$A$1:$I$89,5,0)</f>
        <v>-4.019999999999964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490.26236605482961</v>
      </c>
      <c r="CE181" s="62">
        <f t="shared" si="148"/>
        <v>283.40133947156238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4.9658410716801891E-14</v>
      </c>
      <c r="CV181" s="14">
        <f t="shared" si="173"/>
        <v>8.0934058173791862E-13</v>
      </c>
      <c r="CW181" s="22">
        <f t="shared" si="174"/>
        <v>1.4960899118586383E-12</v>
      </c>
      <c r="CX181" s="62">
        <f t="shared" si="122"/>
        <v>293.33333333333479</v>
      </c>
      <c r="CY181" s="62">
        <f ca="1">AVERAGE(OFFSET($CX$3,0,0,'Données projet'!$E$13+1,1))-AVERAGE(OFFSET($H$3,0,0,'Données projet'!$E$13+1,1))</f>
        <v>315.3516976788701</v>
      </c>
      <c r="CZ181" s="62">
        <f t="shared" si="150"/>
        <v>266.32508105927997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-1.0401663530501537E-12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502.07782026233912</v>
      </c>
      <c r="EP181" s="62">
        <f t="shared" si="154"/>
        <v>285.83623046025156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-1.7053025658242404E-13</v>
      </c>
      <c r="FF181" s="18">
        <f>FE181*VLOOKUP('Données projet'!$B$16,Paramètres!$A$1:$I$89,3,0)*VLOOKUP('Données projet'!$B$16,Paramètres!$A$1:$I$89,5,0)</f>
        <v>-1.6227659216383472E-13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365.5904647357433</v>
      </c>
      <c r="FK181" s="62">
        <f t="shared" si="156"/>
        <v>256.56280810580841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-9.2222762759774927E-14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256.19915261735281</v>
      </c>
      <c r="GF181" s="62">
        <f t="shared" si="158"/>
        <v>297.47246687305056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-5.6843418860808015E-14</v>
      </c>
      <c r="GV181" s="18">
        <f>GU181*VLOOKUP('Données projet'!$B$18,Paramètres!$A$1:$I$89,3,0)*VLOOKUP('Données projet'!$B$18,Paramètres!$A$1:$I$89,5,0)</f>
        <v>-2.6602720026858149E-14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284.704043530756</v>
      </c>
      <c r="HA181" s="62">
        <f t="shared" si="160"/>
        <v>190.4880882944471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428.8489304403459</v>
      </c>
      <c r="T182" s="62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274.66236526869056</v>
      </c>
      <c r="AO182" s="62">
        <f t="shared" si="144"/>
        <v>256.90876395053073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-9.7986685432260874E-13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475.47920969424894</v>
      </c>
      <c r="BJ182" s="62">
        <f t="shared" si="146"/>
        <v>271.73544012419364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-3.8461538461538112</v>
      </c>
      <c r="BZ182" s="14">
        <f>BY182*VLOOKUP('Données projet'!$B$12,Paramètres!$A$1:$I$89,3,0)*VLOOKUP('Données projet'!$B$12,Paramètres!$A$1:$I$89,5,0)</f>
        <v>-4.019999999999964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490.26236605482961</v>
      </c>
      <c r="CE182" s="62">
        <f t="shared" si="148"/>
        <v>283.40133947156238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4.9658410716801891E-14</v>
      </c>
      <c r="CV182" s="14">
        <f t="shared" si="173"/>
        <v>8.0934058173791862E-13</v>
      </c>
      <c r="CW182" s="22">
        <f t="shared" si="174"/>
        <v>1.4960899118586383E-12</v>
      </c>
      <c r="CX182" s="62">
        <f t="shared" si="122"/>
        <v>293.33333333333479</v>
      </c>
      <c r="CY182" s="62">
        <f ca="1">AVERAGE(OFFSET($CX$3,0,0,'Données projet'!$E$13+1,1))-AVERAGE(OFFSET($H$3,0,0,'Données projet'!$E$13+1,1))</f>
        <v>315.3516976788701</v>
      </c>
      <c r="CZ182" s="62">
        <f t="shared" si="150"/>
        <v>266.32508105927997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-1.0401663530501537E-12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502.07782026233912</v>
      </c>
      <c r="EP182" s="62">
        <f t="shared" si="154"/>
        <v>285.83623046025156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-1.7053025658242404E-13</v>
      </c>
      <c r="FF182" s="18">
        <f>FE182*VLOOKUP('Données projet'!$B$16,Paramètres!$A$1:$I$89,3,0)*VLOOKUP('Données projet'!$B$16,Paramètres!$A$1:$I$89,5,0)</f>
        <v>-1.6227659216383472E-13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365.5904647357433</v>
      </c>
      <c r="FK182" s="62">
        <f t="shared" si="156"/>
        <v>256.56280810580841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-9.2222762759774927E-14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256.19915261735281</v>
      </c>
      <c r="GF182" s="62">
        <f t="shared" si="158"/>
        <v>297.47246687305056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-5.6843418860808015E-14</v>
      </c>
      <c r="GV182" s="18">
        <f>GU182*VLOOKUP('Données projet'!$B$18,Paramètres!$A$1:$I$89,3,0)*VLOOKUP('Données projet'!$B$18,Paramètres!$A$1:$I$89,5,0)</f>
        <v>-2.6602720026858149E-14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284.704043530756</v>
      </c>
      <c r="HA182" s="62">
        <f t="shared" si="160"/>
        <v>190.4880882944471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428.8489304403459</v>
      </c>
      <c r="T183" s="62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274.66236526869056</v>
      </c>
      <c r="AO183" s="62">
        <f t="shared" si="144"/>
        <v>256.90876395053073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-9.7986685432260874E-13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475.47920969424894</v>
      </c>
      <c r="BJ183" s="62">
        <f t="shared" si="146"/>
        <v>271.73544012419364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-3.8461538461538112</v>
      </c>
      <c r="BZ183" s="14">
        <f>BY183*VLOOKUP('Données projet'!$B$12,Paramètres!$A$1:$I$89,3,0)*VLOOKUP('Données projet'!$B$12,Paramètres!$A$1:$I$89,5,0)</f>
        <v>-4.019999999999964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490.26236605482961</v>
      </c>
      <c r="CE183" s="62">
        <f t="shared" si="148"/>
        <v>283.40133947156238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4.9658410716801891E-14</v>
      </c>
      <c r="CV183" s="14">
        <f t="shared" si="173"/>
        <v>8.0934058173791862E-13</v>
      </c>
      <c r="CW183" s="22">
        <f t="shared" si="174"/>
        <v>1.4960899118586383E-12</v>
      </c>
      <c r="CX183" s="62">
        <f t="shared" si="122"/>
        <v>293.33333333333479</v>
      </c>
      <c r="CY183" s="62">
        <f ca="1">AVERAGE(OFFSET($CX$3,0,0,'Données projet'!$E$13+1,1))-AVERAGE(OFFSET($H$3,0,0,'Données projet'!$E$13+1,1))</f>
        <v>315.3516976788701</v>
      </c>
      <c r="CZ183" s="62">
        <f t="shared" si="150"/>
        <v>266.32508105927997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-1.0401663530501537E-12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502.07782026233912</v>
      </c>
      <c r="EP183" s="62">
        <f t="shared" si="154"/>
        <v>285.83623046025156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-1.7053025658242404E-13</v>
      </c>
      <c r="FF183" s="18">
        <f>FE183*VLOOKUP('Données projet'!$B$16,Paramètres!$A$1:$I$89,3,0)*VLOOKUP('Données projet'!$B$16,Paramètres!$A$1:$I$89,5,0)</f>
        <v>-1.6227659216383472E-13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365.5904647357433</v>
      </c>
      <c r="FK183" s="62">
        <f t="shared" si="156"/>
        <v>256.56280810580841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-9.2222762759774927E-14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256.19915261735281</v>
      </c>
      <c r="GF183" s="62">
        <f t="shared" si="158"/>
        <v>297.47246687305056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-5.6843418860808015E-14</v>
      </c>
      <c r="GV183" s="18">
        <f>GU183*VLOOKUP('Données projet'!$B$18,Paramètres!$A$1:$I$89,3,0)*VLOOKUP('Données projet'!$B$18,Paramètres!$A$1:$I$89,5,0)</f>
        <v>-2.6602720026858149E-14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284.704043530756</v>
      </c>
      <c r="HA183" s="62">
        <f t="shared" si="160"/>
        <v>190.4880882944471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428.8489304403459</v>
      </c>
      <c r="T184" s="62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274.66236526869056</v>
      </c>
      <c r="AO184" s="62">
        <f t="shared" si="144"/>
        <v>256.90876395053073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-9.7986685432260874E-13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475.47920969424894</v>
      </c>
      <c r="BJ184" s="62">
        <f t="shared" si="146"/>
        <v>271.73544012419364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-3.8461538461538112</v>
      </c>
      <c r="BZ184" s="14">
        <f>BY184*VLOOKUP('Données projet'!$B$12,Paramètres!$A$1:$I$89,3,0)*VLOOKUP('Données projet'!$B$12,Paramètres!$A$1:$I$89,5,0)</f>
        <v>-4.019999999999964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490.26236605482961</v>
      </c>
      <c r="CE184" s="62">
        <f t="shared" si="148"/>
        <v>283.40133947156238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4.9658410716801891E-14</v>
      </c>
      <c r="CV184" s="14">
        <f t="shared" si="173"/>
        <v>8.0934058173791862E-13</v>
      </c>
      <c r="CW184" s="22">
        <f t="shared" si="174"/>
        <v>1.4960899118586383E-12</v>
      </c>
      <c r="CX184" s="62">
        <f t="shared" si="122"/>
        <v>293.33333333333479</v>
      </c>
      <c r="CY184" s="62">
        <f ca="1">AVERAGE(OFFSET($CX$3,0,0,'Données projet'!$E$13+1,1))-AVERAGE(OFFSET($H$3,0,0,'Données projet'!$E$13+1,1))</f>
        <v>315.3516976788701</v>
      </c>
      <c r="CZ184" s="62">
        <f t="shared" si="150"/>
        <v>266.32508105927997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-1.0401663530501537E-12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502.07782026233912</v>
      </c>
      <c r="EP184" s="62">
        <f t="shared" si="154"/>
        <v>285.83623046025156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-1.7053025658242404E-13</v>
      </c>
      <c r="FF184" s="18">
        <f>FE184*VLOOKUP('Données projet'!$B$16,Paramètres!$A$1:$I$89,3,0)*VLOOKUP('Données projet'!$B$16,Paramètres!$A$1:$I$89,5,0)</f>
        <v>-1.6227659216383472E-13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365.5904647357433</v>
      </c>
      <c r="FK184" s="62">
        <f t="shared" si="156"/>
        <v>256.56280810580841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-9.2222762759774927E-14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256.19915261735281</v>
      </c>
      <c r="GF184" s="62">
        <f t="shared" si="158"/>
        <v>297.47246687305056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-5.6843418860808015E-14</v>
      </c>
      <c r="GV184" s="18">
        <f>GU184*VLOOKUP('Données projet'!$B$18,Paramètres!$A$1:$I$89,3,0)*VLOOKUP('Données projet'!$B$18,Paramètres!$A$1:$I$89,5,0)</f>
        <v>-2.6602720026858149E-14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284.704043530756</v>
      </c>
      <c r="HA184" s="62">
        <f t="shared" si="160"/>
        <v>190.4880882944471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428.8489304403459</v>
      </c>
      <c r="T185" s="62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274.66236526869056</v>
      </c>
      <c r="AO185" s="62">
        <f t="shared" si="144"/>
        <v>256.90876395053073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-9.7986685432260874E-13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475.47920969424894</v>
      </c>
      <c r="BJ185" s="62">
        <f t="shared" si="146"/>
        <v>271.73544012419364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-3.8461538461538112</v>
      </c>
      <c r="BZ185" s="14">
        <f>BY185*VLOOKUP('Données projet'!$B$12,Paramètres!$A$1:$I$89,3,0)*VLOOKUP('Données projet'!$B$12,Paramètres!$A$1:$I$89,5,0)</f>
        <v>-4.019999999999964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490.26236605482961</v>
      </c>
      <c r="CE185" s="62">
        <f t="shared" si="148"/>
        <v>283.40133947156238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4.9658410716801891E-14</v>
      </c>
      <c r="CV185" s="14">
        <f t="shared" si="173"/>
        <v>8.0934058173791862E-13</v>
      </c>
      <c r="CW185" s="22">
        <f t="shared" si="174"/>
        <v>1.4960899118586383E-12</v>
      </c>
      <c r="CX185" s="62">
        <f t="shared" si="122"/>
        <v>293.33333333333479</v>
      </c>
      <c r="CY185" s="62">
        <f ca="1">AVERAGE(OFFSET($CX$3,0,0,'Données projet'!$E$13+1,1))-AVERAGE(OFFSET($H$3,0,0,'Données projet'!$E$13+1,1))</f>
        <v>315.3516976788701</v>
      </c>
      <c r="CZ185" s="62">
        <f t="shared" si="150"/>
        <v>266.32508105927997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-1.0401663530501537E-12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502.07782026233912</v>
      </c>
      <c r="EP185" s="62">
        <f t="shared" si="154"/>
        <v>285.83623046025156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-1.7053025658242404E-13</v>
      </c>
      <c r="FF185" s="18">
        <f>FE185*VLOOKUP('Données projet'!$B$16,Paramètres!$A$1:$I$89,3,0)*VLOOKUP('Données projet'!$B$16,Paramètres!$A$1:$I$89,5,0)</f>
        <v>-1.6227659216383472E-13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365.5904647357433</v>
      </c>
      <c r="FK185" s="62">
        <f t="shared" si="156"/>
        <v>256.56280810580841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-9.2222762759774927E-14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256.19915261735281</v>
      </c>
      <c r="GF185" s="62">
        <f t="shared" si="158"/>
        <v>297.47246687305056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-5.6843418860808015E-14</v>
      </c>
      <c r="GV185" s="18">
        <f>GU185*VLOOKUP('Données projet'!$B$18,Paramètres!$A$1:$I$89,3,0)*VLOOKUP('Données projet'!$B$18,Paramètres!$A$1:$I$89,5,0)</f>
        <v>-2.6602720026858149E-14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284.704043530756</v>
      </c>
      <c r="HA185" s="62">
        <f t="shared" si="160"/>
        <v>190.4880882944471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428.8489304403459</v>
      </c>
      <c r="T186" s="62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274.66236526869056</v>
      </c>
      <c r="AO186" s="62">
        <f t="shared" si="144"/>
        <v>256.90876395053073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-9.7986685432260874E-13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475.47920969424894</v>
      </c>
      <c r="BJ186" s="62">
        <f t="shared" si="146"/>
        <v>271.73544012419364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-3.8461538461538112</v>
      </c>
      <c r="BZ186" s="14">
        <f>BY186*VLOOKUP('Données projet'!$B$12,Paramètres!$A$1:$I$89,3,0)*VLOOKUP('Données projet'!$B$12,Paramètres!$A$1:$I$89,5,0)</f>
        <v>-4.019999999999964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490.26236605482961</v>
      </c>
      <c r="CE186" s="62">
        <f t="shared" si="148"/>
        <v>283.40133947156238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4.9658410716801891E-14</v>
      </c>
      <c r="CV186" s="14">
        <f t="shared" si="173"/>
        <v>8.0934058173791862E-13</v>
      </c>
      <c r="CW186" s="22">
        <f t="shared" si="174"/>
        <v>1.4960899118586383E-12</v>
      </c>
      <c r="CX186" s="62">
        <f t="shared" si="122"/>
        <v>293.33333333333479</v>
      </c>
      <c r="CY186" s="62">
        <f ca="1">AVERAGE(OFFSET($CX$3,0,0,'Données projet'!$E$13+1,1))-AVERAGE(OFFSET($H$3,0,0,'Données projet'!$E$13+1,1))</f>
        <v>315.3516976788701</v>
      </c>
      <c r="CZ186" s="62">
        <f t="shared" si="150"/>
        <v>266.32508105927997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-1.0401663530501537E-12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502.07782026233912</v>
      </c>
      <c r="EP186" s="62">
        <f t="shared" si="154"/>
        <v>285.83623046025156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-1.7053025658242404E-13</v>
      </c>
      <c r="FF186" s="18">
        <f>FE186*VLOOKUP('Données projet'!$B$16,Paramètres!$A$1:$I$89,3,0)*VLOOKUP('Données projet'!$B$16,Paramètres!$A$1:$I$89,5,0)</f>
        <v>-1.6227659216383472E-13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365.5904647357433</v>
      </c>
      <c r="FK186" s="62">
        <f t="shared" si="156"/>
        <v>256.56280810580841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-9.2222762759774927E-14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256.19915261735281</v>
      </c>
      <c r="GF186" s="62">
        <f t="shared" si="158"/>
        <v>297.47246687305056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-5.6843418860808015E-14</v>
      </c>
      <c r="GV186" s="18">
        <f>GU186*VLOOKUP('Données projet'!$B$18,Paramètres!$A$1:$I$89,3,0)*VLOOKUP('Données projet'!$B$18,Paramètres!$A$1:$I$89,5,0)</f>
        <v>-2.6602720026858149E-14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284.704043530756</v>
      </c>
      <c r="HA186" s="62">
        <f t="shared" si="160"/>
        <v>190.4880882944471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428.8489304403459</v>
      </c>
      <c r="T187" s="62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274.66236526869056</v>
      </c>
      <c r="AO187" s="62">
        <f t="shared" si="144"/>
        <v>256.90876395053073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-9.7986685432260874E-13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475.47920969424894</v>
      </c>
      <c r="BJ187" s="62">
        <f t="shared" si="146"/>
        <v>271.73544012419364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-3.8461538461538112</v>
      </c>
      <c r="BZ187" s="14">
        <f>BY187*VLOOKUP('Données projet'!$B$12,Paramètres!$A$1:$I$89,3,0)*VLOOKUP('Données projet'!$B$12,Paramètres!$A$1:$I$89,5,0)</f>
        <v>-4.019999999999964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490.26236605482961</v>
      </c>
      <c r="CE187" s="62">
        <f t="shared" si="148"/>
        <v>283.40133947156238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4.9658410716801891E-14</v>
      </c>
      <c r="CV187" s="14">
        <f t="shared" si="173"/>
        <v>8.0934058173791862E-13</v>
      </c>
      <c r="CW187" s="22">
        <f t="shared" si="174"/>
        <v>1.4960899118586383E-12</v>
      </c>
      <c r="CX187" s="62">
        <f t="shared" si="122"/>
        <v>293.33333333333479</v>
      </c>
      <c r="CY187" s="62">
        <f ca="1">AVERAGE(OFFSET($CX$3,0,0,'Données projet'!$E$13+1,1))-AVERAGE(OFFSET($H$3,0,0,'Données projet'!$E$13+1,1))</f>
        <v>315.3516976788701</v>
      </c>
      <c r="CZ187" s="62">
        <f t="shared" si="150"/>
        <v>266.32508105927997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-1.0401663530501537E-12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502.07782026233912</v>
      </c>
      <c r="EP187" s="62">
        <f t="shared" si="154"/>
        <v>285.83623046025156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-1.7053025658242404E-13</v>
      </c>
      <c r="FF187" s="18">
        <f>FE187*VLOOKUP('Données projet'!$B$16,Paramètres!$A$1:$I$89,3,0)*VLOOKUP('Données projet'!$B$16,Paramètres!$A$1:$I$89,5,0)</f>
        <v>-1.6227659216383472E-13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365.5904647357433</v>
      </c>
      <c r="FK187" s="62">
        <f t="shared" si="156"/>
        <v>256.56280810580841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-9.2222762759774927E-14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256.19915261735281</v>
      </c>
      <c r="GF187" s="62">
        <f t="shared" si="158"/>
        <v>297.47246687305056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-5.6843418860808015E-14</v>
      </c>
      <c r="GV187" s="18">
        <f>GU187*VLOOKUP('Données projet'!$B$18,Paramètres!$A$1:$I$89,3,0)*VLOOKUP('Données projet'!$B$18,Paramètres!$A$1:$I$89,5,0)</f>
        <v>-2.6602720026858149E-14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284.704043530756</v>
      </c>
      <c r="HA187" s="62">
        <f t="shared" si="160"/>
        <v>190.4880882944471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428.8489304403459</v>
      </c>
      <c r="T188" s="62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274.66236526869056</v>
      </c>
      <c r="AO188" s="62">
        <f t="shared" si="144"/>
        <v>256.90876395053073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-9.7986685432260874E-13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475.47920969424894</v>
      </c>
      <c r="BJ188" s="62">
        <f t="shared" si="146"/>
        <v>271.73544012419364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-3.8461538461538112</v>
      </c>
      <c r="BZ188" s="14">
        <f>BY188*VLOOKUP('Données projet'!$B$12,Paramètres!$A$1:$I$89,3,0)*VLOOKUP('Données projet'!$B$12,Paramètres!$A$1:$I$89,5,0)</f>
        <v>-4.019999999999964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490.26236605482961</v>
      </c>
      <c r="CE188" s="62">
        <f t="shared" si="148"/>
        <v>283.40133947156238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4.9658410716801891E-14</v>
      </c>
      <c r="CV188" s="14">
        <f t="shared" si="173"/>
        <v>8.0934058173791862E-13</v>
      </c>
      <c r="CW188" s="22">
        <f t="shared" si="174"/>
        <v>1.4960899118586383E-12</v>
      </c>
      <c r="CX188" s="62">
        <f t="shared" si="122"/>
        <v>293.33333333333479</v>
      </c>
      <c r="CY188" s="62">
        <f ca="1">AVERAGE(OFFSET($CX$3,0,0,'Données projet'!$E$13+1,1))-AVERAGE(OFFSET($H$3,0,0,'Données projet'!$E$13+1,1))</f>
        <v>315.3516976788701</v>
      </c>
      <c r="CZ188" s="62">
        <f t="shared" si="150"/>
        <v>266.32508105927997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-1.0401663530501537E-12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502.07782026233912</v>
      </c>
      <c r="EP188" s="62">
        <f t="shared" si="154"/>
        <v>285.83623046025156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-1.7053025658242404E-13</v>
      </c>
      <c r="FF188" s="18">
        <f>FE188*VLOOKUP('Données projet'!$B$16,Paramètres!$A$1:$I$89,3,0)*VLOOKUP('Données projet'!$B$16,Paramètres!$A$1:$I$89,5,0)</f>
        <v>-1.6227659216383472E-13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365.5904647357433</v>
      </c>
      <c r="FK188" s="62">
        <f t="shared" si="156"/>
        <v>256.56280810580841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-9.2222762759774927E-14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256.19915261735281</v>
      </c>
      <c r="GF188" s="62">
        <f t="shared" si="158"/>
        <v>297.47246687305056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-5.6843418860808015E-14</v>
      </c>
      <c r="GV188" s="18">
        <f>GU188*VLOOKUP('Données projet'!$B$18,Paramètres!$A$1:$I$89,3,0)*VLOOKUP('Données projet'!$B$18,Paramètres!$A$1:$I$89,5,0)</f>
        <v>-2.6602720026858149E-14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284.704043530756</v>
      </c>
      <c r="HA188" s="62">
        <f t="shared" si="160"/>
        <v>190.4880882944471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428.8489304403459</v>
      </c>
      <c r="T189" s="62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274.66236526869056</v>
      </c>
      <c r="AO189" s="62">
        <f t="shared" si="144"/>
        <v>256.90876395053073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-9.7986685432260874E-13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475.47920969424894</v>
      </c>
      <c r="BJ189" s="62">
        <f t="shared" si="146"/>
        <v>271.73544012419364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-3.8461538461538112</v>
      </c>
      <c r="BZ189" s="14">
        <f>BY189*VLOOKUP('Données projet'!$B$12,Paramètres!$A$1:$I$89,3,0)*VLOOKUP('Données projet'!$B$12,Paramètres!$A$1:$I$89,5,0)</f>
        <v>-4.019999999999964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490.26236605482961</v>
      </c>
      <c r="CE189" s="62">
        <f t="shared" si="148"/>
        <v>283.40133947156238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4.9658410716801891E-14</v>
      </c>
      <c r="CV189" s="14">
        <f t="shared" si="173"/>
        <v>8.0934058173791862E-13</v>
      </c>
      <c r="CW189" s="22">
        <f t="shared" si="174"/>
        <v>1.4960899118586383E-12</v>
      </c>
      <c r="CX189" s="62">
        <f t="shared" si="122"/>
        <v>293.33333333333479</v>
      </c>
      <c r="CY189" s="62">
        <f ca="1">AVERAGE(OFFSET($CX$3,0,0,'Données projet'!$E$13+1,1))-AVERAGE(OFFSET($H$3,0,0,'Données projet'!$E$13+1,1))</f>
        <v>315.3516976788701</v>
      </c>
      <c r="CZ189" s="62">
        <f t="shared" si="150"/>
        <v>266.32508105927997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-1.0401663530501537E-12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502.07782026233912</v>
      </c>
      <c r="EP189" s="62">
        <f t="shared" si="154"/>
        <v>285.83623046025156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-1.7053025658242404E-13</v>
      </c>
      <c r="FF189" s="18">
        <f>FE189*VLOOKUP('Données projet'!$B$16,Paramètres!$A$1:$I$89,3,0)*VLOOKUP('Données projet'!$B$16,Paramètres!$A$1:$I$89,5,0)</f>
        <v>-1.6227659216383472E-13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365.5904647357433</v>
      </c>
      <c r="FK189" s="62">
        <f t="shared" si="156"/>
        <v>256.56280810580841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-9.2222762759774927E-14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256.19915261735281</v>
      </c>
      <c r="GF189" s="62">
        <f t="shared" si="158"/>
        <v>297.47246687305056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-5.6843418860808015E-14</v>
      </c>
      <c r="GV189" s="18">
        <f>GU189*VLOOKUP('Données projet'!$B$18,Paramètres!$A$1:$I$89,3,0)*VLOOKUP('Données projet'!$B$18,Paramètres!$A$1:$I$89,5,0)</f>
        <v>-2.6602720026858149E-14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284.704043530756</v>
      </c>
      <c r="HA189" s="62">
        <f t="shared" si="160"/>
        <v>190.4880882944471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428.8489304403459</v>
      </c>
      <c r="T190" s="62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274.66236526869056</v>
      </c>
      <c r="AO190" s="62">
        <f t="shared" si="144"/>
        <v>256.90876395053073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-9.7986685432260874E-13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475.47920969424894</v>
      </c>
      <c r="BJ190" s="62">
        <f t="shared" si="146"/>
        <v>271.73544012419364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-3.8461538461538112</v>
      </c>
      <c r="BZ190" s="14">
        <f>BY190*VLOOKUP('Données projet'!$B$12,Paramètres!$A$1:$I$89,3,0)*VLOOKUP('Données projet'!$B$12,Paramètres!$A$1:$I$89,5,0)</f>
        <v>-4.019999999999964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490.26236605482961</v>
      </c>
      <c r="CE190" s="62">
        <f t="shared" si="148"/>
        <v>283.40133947156238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4.9658410716801891E-14</v>
      </c>
      <c r="CV190" s="14">
        <f t="shared" si="173"/>
        <v>8.0934058173791862E-13</v>
      </c>
      <c r="CW190" s="22">
        <f t="shared" si="174"/>
        <v>1.4960899118586383E-12</v>
      </c>
      <c r="CX190" s="62">
        <f t="shared" si="122"/>
        <v>293.33333333333479</v>
      </c>
      <c r="CY190" s="62">
        <f ca="1">AVERAGE(OFFSET($CX$3,0,0,'Données projet'!$E$13+1,1))-AVERAGE(OFFSET($H$3,0,0,'Données projet'!$E$13+1,1))</f>
        <v>315.3516976788701</v>
      </c>
      <c r="CZ190" s="62">
        <f t="shared" si="150"/>
        <v>266.32508105927997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-1.0401663530501537E-12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502.07782026233912</v>
      </c>
      <c r="EP190" s="62">
        <f t="shared" si="154"/>
        <v>285.83623046025156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-1.7053025658242404E-13</v>
      </c>
      <c r="FF190" s="18">
        <f>FE190*VLOOKUP('Données projet'!$B$16,Paramètres!$A$1:$I$89,3,0)*VLOOKUP('Données projet'!$B$16,Paramètres!$A$1:$I$89,5,0)</f>
        <v>-1.6227659216383472E-13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365.5904647357433</v>
      </c>
      <c r="FK190" s="62">
        <f t="shared" si="156"/>
        <v>256.56280810580841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-9.2222762759774927E-14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256.19915261735281</v>
      </c>
      <c r="GF190" s="62">
        <f t="shared" si="158"/>
        <v>297.47246687305056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-5.6843418860808015E-14</v>
      </c>
      <c r="GV190" s="18">
        <f>GU190*VLOOKUP('Données projet'!$B$18,Paramètres!$A$1:$I$89,3,0)*VLOOKUP('Données projet'!$B$18,Paramètres!$A$1:$I$89,5,0)</f>
        <v>-2.6602720026858149E-14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284.704043530756</v>
      </c>
      <c r="HA190" s="62">
        <f t="shared" si="160"/>
        <v>190.4880882944471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428.8489304403459</v>
      </c>
      <c r="T191" s="62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274.66236526869056</v>
      </c>
      <c r="AO191" s="62">
        <f t="shared" si="144"/>
        <v>256.90876395053073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-9.7986685432260874E-13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475.47920969424894</v>
      </c>
      <c r="BJ191" s="62">
        <f t="shared" si="146"/>
        <v>271.73544012419364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-3.8461538461538112</v>
      </c>
      <c r="BZ191" s="14">
        <f>BY191*VLOOKUP('Données projet'!$B$12,Paramètres!$A$1:$I$89,3,0)*VLOOKUP('Données projet'!$B$12,Paramètres!$A$1:$I$89,5,0)</f>
        <v>-4.019999999999964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490.26236605482961</v>
      </c>
      <c r="CE191" s="62">
        <f t="shared" si="148"/>
        <v>283.40133947156238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4.9658410716801891E-14</v>
      </c>
      <c r="CV191" s="14">
        <f t="shared" si="173"/>
        <v>8.0934058173791862E-13</v>
      </c>
      <c r="CW191" s="22">
        <f t="shared" si="174"/>
        <v>1.4960899118586383E-12</v>
      </c>
      <c r="CX191" s="62">
        <f t="shared" si="122"/>
        <v>293.33333333333479</v>
      </c>
      <c r="CY191" s="62">
        <f ca="1">AVERAGE(OFFSET($CX$3,0,0,'Données projet'!$E$13+1,1))-AVERAGE(OFFSET($H$3,0,0,'Données projet'!$E$13+1,1))</f>
        <v>315.3516976788701</v>
      </c>
      <c r="CZ191" s="62">
        <f t="shared" si="150"/>
        <v>266.32508105927997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-1.0401663530501537E-12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502.07782026233912</v>
      </c>
      <c r="EP191" s="62">
        <f t="shared" si="154"/>
        <v>285.83623046025156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-1.7053025658242404E-13</v>
      </c>
      <c r="FF191" s="18">
        <f>FE191*VLOOKUP('Données projet'!$B$16,Paramètres!$A$1:$I$89,3,0)*VLOOKUP('Données projet'!$B$16,Paramètres!$A$1:$I$89,5,0)</f>
        <v>-1.6227659216383472E-13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365.5904647357433</v>
      </c>
      <c r="FK191" s="62">
        <f t="shared" si="156"/>
        <v>256.56280810580841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-9.2222762759774927E-14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256.19915261735281</v>
      </c>
      <c r="GF191" s="62">
        <f t="shared" si="158"/>
        <v>297.47246687305056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-5.6843418860808015E-14</v>
      </c>
      <c r="GV191" s="18">
        <f>GU191*VLOOKUP('Données projet'!$B$18,Paramètres!$A$1:$I$89,3,0)*VLOOKUP('Données projet'!$B$18,Paramètres!$A$1:$I$89,5,0)</f>
        <v>-2.6602720026858149E-14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284.704043530756</v>
      </c>
      <c r="HA191" s="62">
        <f t="shared" si="160"/>
        <v>190.4880882944471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428.8489304403459</v>
      </c>
      <c r="T192" s="62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274.66236526869056</v>
      </c>
      <c r="AO192" s="62">
        <f t="shared" si="144"/>
        <v>256.90876395053073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-9.7986685432260874E-13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475.47920969424894</v>
      </c>
      <c r="BJ192" s="62">
        <f t="shared" si="146"/>
        <v>271.73544012419364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-3.8461538461538112</v>
      </c>
      <c r="BZ192" s="14">
        <f>BY192*VLOOKUP('Données projet'!$B$12,Paramètres!$A$1:$I$89,3,0)*VLOOKUP('Données projet'!$B$12,Paramètres!$A$1:$I$89,5,0)</f>
        <v>-4.019999999999964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490.26236605482961</v>
      </c>
      <c r="CE192" s="62">
        <f t="shared" si="148"/>
        <v>283.40133947156238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4.9658410716801891E-14</v>
      </c>
      <c r="CV192" s="14">
        <f t="shared" si="173"/>
        <v>8.0934058173791862E-13</v>
      </c>
      <c r="CW192" s="22">
        <f t="shared" si="174"/>
        <v>1.4960899118586383E-12</v>
      </c>
      <c r="CX192" s="62">
        <f t="shared" si="122"/>
        <v>293.33333333333479</v>
      </c>
      <c r="CY192" s="62">
        <f ca="1">AVERAGE(OFFSET($CX$3,0,0,'Données projet'!$E$13+1,1))-AVERAGE(OFFSET($H$3,0,0,'Données projet'!$E$13+1,1))</f>
        <v>315.3516976788701</v>
      </c>
      <c r="CZ192" s="62">
        <f t="shared" si="150"/>
        <v>266.32508105927997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-1.0401663530501537E-12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502.07782026233912</v>
      </c>
      <c r="EP192" s="62">
        <f t="shared" si="154"/>
        <v>285.83623046025156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-1.7053025658242404E-13</v>
      </c>
      <c r="FF192" s="18">
        <f>FE192*VLOOKUP('Données projet'!$B$16,Paramètres!$A$1:$I$89,3,0)*VLOOKUP('Données projet'!$B$16,Paramètres!$A$1:$I$89,5,0)</f>
        <v>-1.6227659216383472E-13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365.5904647357433</v>
      </c>
      <c r="FK192" s="62">
        <f t="shared" si="156"/>
        <v>256.56280810580841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-9.2222762759774927E-14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256.19915261735281</v>
      </c>
      <c r="GF192" s="62">
        <f t="shared" si="158"/>
        <v>297.47246687305056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-5.6843418860808015E-14</v>
      </c>
      <c r="GV192" s="18">
        <f>GU192*VLOOKUP('Données projet'!$B$18,Paramètres!$A$1:$I$89,3,0)*VLOOKUP('Données projet'!$B$18,Paramètres!$A$1:$I$89,5,0)</f>
        <v>-2.6602720026858149E-14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284.704043530756</v>
      </c>
      <c r="HA192" s="62">
        <f t="shared" si="160"/>
        <v>190.4880882944471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428.8489304403459</v>
      </c>
      <c r="T193" s="62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274.66236526869056</v>
      </c>
      <c r="AO193" s="62">
        <f t="shared" si="144"/>
        <v>256.90876395053073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-9.7986685432260874E-13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475.47920969424894</v>
      </c>
      <c r="BJ193" s="62">
        <f t="shared" si="146"/>
        <v>271.73544012419364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-3.8461538461538112</v>
      </c>
      <c r="BZ193" s="14">
        <f>BY193*VLOOKUP('Données projet'!$B$12,Paramètres!$A$1:$I$89,3,0)*VLOOKUP('Données projet'!$B$12,Paramètres!$A$1:$I$89,5,0)</f>
        <v>-4.019999999999964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490.26236605482961</v>
      </c>
      <c r="CE193" s="62">
        <f t="shared" si="148"/>
        <v>283.40133947156238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4.9658410716801891E-14</v>
      </c>
      <c r="CV193" s="14">
        <f t="shared" si="173"/>
        <v>8.0934058173791862E-13</v>
      </c>
      <c r="CW193" s="22">
        <f t="shared" si="174"/>
        <v>1.4960899118586383E-12</v>
      </c>
      <c r="CX193" s="62">
        <f t="shared" si="122"/>
        <v>293.33333333333479</v>
      </c>
      <c r="CY193" s="62">
        <f ca="1">AVERAGE(OFFSET($CX$3,0,0,'Données projet'!$E$13+1,1))-AVERAGE(OFFSET($H$3,0,0,'Données projet'!$E$13+1,1))</f>
        <v>315.3516976788701</v>
      </c>
      <c r="CZ193" s="62">
        <f t="shared" si="150"/>
        <v>266.32508105927997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-1.0401663530501537E-12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502.07782026233912</v>
      </c>
      <c r="EP193" s="62">
        <f t="shared" si="154"/>
        <v>285.83623046025156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-1.7053025658242404E-13</v>
      </c>
      <c r="FF193" s="18">
        <f>FE193*VLOOKUP('Données projet'!$B$16,Paramètres!$A$1:$I$89,3,0)*VLOOKUP('Données projet'!$B$16,Paramètres!$A$1:$I$89,5,0)</f>
        <v>-1.6227659216383472E-13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365.5904647357433</v>
      </c>
      <c r="FK193" s="62">
        <f t="shared" si="156"/>
        <v>256.56280810580841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-9.2222762759774927E-14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256.19915261735281</v>
      </c>
      <c r="GF193" s="62">
        <f t="shared" si="158"/>
        <v>297.47246687305056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-5.6843418860808015E-14</v>
      </c>
      <c r="GV193" s="18">
        <f>GU193*VLOOKUP('Données projet'!$B$18,Paramètres!$A$1:$I$89,3,0)*VLOOKUP('Données projet'!$B$18,Paramètres!$A$1:$I$89,5,0)</f>
        <v>-2.6602720026858149E-14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284.704043530756</v>
      </c>
      <c r="HA193" s="62">
        <f t="shared" si="160"/>
        <v>190.4880882944471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428.8489304403459</v>
      </c>
      <c r="T194" s="62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274.66236526869056</v>
      </c>
      <c r="AO194" s="62">
        <f t="shared" si="144"/>
        <v>256.90876395053073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-9.7986685432260874E-13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475.47920969424894</v>
      </c>
      <c r="BJ194" s="62">
        <f t="shared" si="146"/>
        <v>271.73544012419364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-3.8461538461538112</v>
      </c>
      <c r="BZ194" s="14">
        <f>BY194*VLOOKUP('Données projet'!$B$12,Paramètres!$A$1:$I$89,3,0)*VLOOKUP('Données projet'!$B$12,Paramètres!$A$1:$I$89,5,0)</f>
        <v>-4.019999999999964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490.26236605482961</v>
      </c>
      <c r="CE194" s="62">
        <f t="shared" si="148"/>
        <v>283.40133947156238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4.9658410716801891E-14</v>
      </c>
      <c r="CV194" s="14">
        <f t="shared" si="173"/>
        <v>8.0934058173791862E-13</v>
      </c>
      <c r="CW194" s="22">
        <f t="shared" si="174"/>
        <v>1.4960899118586383E-12</v>
      </c>
      <c r="CX194" s="62">
        <f t="shared" si="122"/>
        <v>293.33333333333479</v>
      </c>
      <c r="CY194" s="62">
        <f ca="1">AVERAGE(OFFSET($CX$3,0,0,'Données projet'!$E$13+1,1))-AVERAGE(OFFSET($H$3,0,0,'Données projet'!$E$13+1,1))</f>
        <v>315.3516976788701</v>
      </c>
      <c r="CZ194" s="62">
        <f t="shared" si="150"/>
        <v>266.32508105927997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-1.0401663530501537E-12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502.07782026233912</v>
      </c>
      <c r="EP194" s="62">
        <f t="shared" si="154"/>
        <v>285.83623046025156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-1.7053025658242404E-13</v>
      </c>
      <c r="FF194" s="18">
        <f>FE194*VLOOKUP('Données projet'!$B$16,Paramètres!$A$1:$I$89,3,0)*VLOOKUP('Données projet'!$B$16,Paramètres!$A$1:$I$89,5,0)</f>
        <v>-1.6227659216383472E-13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365.5904647357433</v>
      </c>
      <c r="FK194" s="62">
        <f t="shared" si="156"/>
        <v>256.56280810580841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-9.2222762759774927E-14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256.19915261735281</v>
      </c>
      <c r="GF194" s="62">
        <f t="shared" si="158"/>
        <v>297.47246687305056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-5.6843418860808015E-14</v>
      </c>
      <c r="GV194" s="18">
        <f>GU194*VLOOKUP('Données projet'!$B$18,Paramètres!$A$1:$I$89,3,0)*VLOOKUP('Données projet'!$B$18,Paramètres!$A$1:$I$89,5,0)</f>
        <v>-2.6602720026858149E-14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284.704043530756</v>
      </c>
      <c r="HA194" s="62">
        <f t="shared" si="160"/>
        <v>190.4880882944471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428.8489304403459</v>
      </c>
      <c r="T195" s="62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274.66236526869056</v>
      </c>
      <c r="AO195" s="62">
        <f t="shared" si="144"/>
        <v>256.90876395053073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-9.7986685432260874E-13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475.47920969424894</v>
      </c>
      <c r="BJ195" s="62">
        <f t="shared" si="146"/>
        <v>271.73544012419364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-3.8461538461538112</v>
      </c>
      <c r="BZ195" s="14">
        <f>BY195*VLOOKUP('Données projet'!$B$12,Paramètres!$A$1:$I$89,3,0)*VLOOKUP('Données projet'!$B$12,Paramètres!$A$1:$I$89,5,0)</f>
        <v>-4.019999999999964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490.26236605482961</v>
      </c>
      <c r="CE195" s="62">
        <f t="shared" si="148"/>
        <v>283.40133947156238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4.9658410716801891E-14</v>
      </c>
      <c r="CV195" s="14">
        <f t="shared" si="173"/>
        <v>8.0934058173791862E-13</v>
      </c>
      <c r="CW195" s="22">
        <f t="shared" si="174"/>
        <v>1.4960899118586383E-12</v>
      </c>
      <c r="CX195" s="62">
        <f t="shared" si="122"/>
        <v>293.33333333333479</v>
      </c>
      <c r="CY195" s="62">
        <f ca="1">AVERAGE(OFFSET($CX$3,0,0,'Données projet'!$E$13+1,1))-AVERAGE(OFFSET($H$3,0,0,'Données projet'!$E$13+1,1))</f>
        <v>315.3516976788701</v>
      </c>
      <c r="CZ195" s="62">
        <f t="shared" si="150"/>
        <v>266.32508105927997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-1.0401663530501537E-12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502.07782026233912</v>
      </c>
      <c r="EP195" s="62">
        <f t="shared" si="154"/>
        <v>285.83623046025156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-1.7053025658242404E-13</v>
      </c>
      <c r="FF195" s="18">
        <f>FE195*VLOOKUP('Données projet'!$B$16,Paramètres!$A$1:$I$89,3,0)*VLOOKUP('Données projet'!$B$16,Paramètres!$A$1:$I$89,5,0)</f>
        <v>-1.6227659216383472E-13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365.5904647357433</v>
      </c>
      <c r="FK195" s="62">
        <f t="shared" si="156"/>
        <v>256.56280810580841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-9.2222762759774927E-14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256.19915261735281</v>
      </c>
      <c r="GF195" s="62">
        <f t="shared" si="158"/>
        <v>297.47246687305056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-5.6843418860808015E-14</v>
      </c>
      <c r="GV195" s="18">
        <f>GU195*VLOOKUP('Données projet'!$B$18,Paramètres!$A$1:$I$89,3,0)*VLOOKUP('Données projet'!$B$18,Paramètres!$A$1:$I$89,5,0)</f>
        <v>-2.6602720026858149E-14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284.704043530756</v>
      </c>
      <c r="HA195" s="62">
        <f t="shared" si="160"/>
        <v>190.4880882944471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428.8489304403459</v>
      </c>
      <c r="T196" s="62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274.66236526869056</v>
      </c>
      <c r="AO196" s="62">
        <f t="shared" si="144"/>
        <v>256.90876395053073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-9.7986685432260874E-13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475.47920969424894</v>
      </c>
      <c r="BJ196" s="62">
        <f t="shared" si="146"/>
        <v>271.73544012419364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-3.8461538461538112</v>
      </c>
      <c r="BZ196" s="14">
        <f>BY196*VLOOKUP('Données projet'!$B$12,Paramètres!$A$1:$I$89,3,0)*VLOOKUP('Données projet'!$B$12,Paramètres!$A$1:$I$89,5,0)</f>
        <v>-4.019999999999964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490.26236605482961</v>
      </c>
      <c r="CE196" s="62">
        <f t="shared" si="148"/>
        <v>283.40133947156238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4.9658410716801891E-14</v>
      </c>
      <c r="CV196" s="14">
        <f t="shared" si="173"/>
        <v>8.0934058173791862E-13</v>
      </c>
      <c r="CW196" s="22">
        <f t="shared" si="174"/>
        <v>1.4960899118586383E-12</v>
      </c>
      <c r="CX196" s="62">
        <f t="shared" ref="CX196:CX203" si="196">CW196+(CO196+CP196)*44/12</f>
        <v>293.33333333333479</v>
      </c>
      <c r="CY196" s="62">
        <f ca="1">AVERAGE(OFFSET($CX$3,0,0,'Données projet'!$E$13+1,1))-AVERAGE(OFFSET($H$3,0,0,'Données projet'!$E$13+1,1))</f>
        <v>315.3516976788701</v>
      </c>
      <c r="CZ196" s="62">
        <f t="shared" si="150"/>
        <v>266.32508105927997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-1.0401663530501537E-12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502.07782026233912</v>
      </c>
      <c r="EP196" s="62">
        <f t="shared" si="154"/>
        <v>285.83623046025156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-1.7053025658242404E-13</v>
      </c>
      <c r="FF196" s="18">
        <f>FE196*VLOOKUP('Données projet'!$B$16,Paramètres!$A$1:$I$89,3,0)*VLOOKUP('Données projet'!$B$16,Paramètres!$A$1:$I$89,5,0)</f>
        <v>-1.6227659216383472E-13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365.5904647357433</v>
      </c>
      <c r="FK196" s="62">
        <f t="shared" si="156"/>
        <v>256.56280810580841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-9.2222762759774927E-14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256.19915261735281</v>
      </c>
      <c r="GF196" s="62">
        <f t="shared" si="158"/>
        <v>297.47246687305056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-5.6843418860808015E-14</v>
      </c>
      <c r="GV196" s="18">
        <f>GU196*VLOOKUP('Données projet'!$B$18,Paramètres!$A$1:$I$89,3,0)*VLOOKUP('Données projet'!$B$18,Paramètres!$A$1:$I$89,5,0)</f>
        <v>-2.6602720026858149E-14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284.704043530756</v>
      </c>
      <c r="HA196" s="62">
        <f t="shared" si="160"/>
        <v>190.4880882944471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428.8489304403459</v>
      </c>
      <c r="T197" s="62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274.66236526869056</v>
      </c>
      <c r="AO197" s="62">
        <f t="shared" ref="AO197:AO203" si="205">$AO$3</f>
        <v>256.90876395053073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-9.7986685432260874E-13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475.47920969424894</v>
      </c>
      <c r="BJ197" s="62">
        <f t="shared" ref="BJ197:BJ203" si="206">$BJ$3</f>
        <v>271.73544012419364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-3.8461538461538112</v>
      </c>
      <c r="BZ197" s="14">
        <f>BY197*VLOOKUP('Données projet'!$B$12,Paramètres!$A$1:$I$89,3,0)*VLOOKUP('Données projet'!$B$12,Paramètres!$A$1:$I$89,5,0)</f>
        <v>-4.019999999999964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490.26236605482961</v>
      </c>
      <c r="CE197" s="62">
        <f t="shared" ref="CE197:CE203" si="207">$CE$3</f>
        <v>283.40133947156238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4.9658410716801891E-14</v>
      </c>
      <c r="CV197" s="14">
        <f t="shared" si="173"/>
        <v>8.0934058173791862E-13</v>
      </c>
      <c r="CW197" s="22">
        <f t="shared" si="174"/>
        <v>1.4960899118586383E-12</v>
      </c>
      <c r="CX197" s="62">
        <f t="shared" si="196"/>
        <v>293.33333333333479</v>
      </c>
      <c r="CY197" s="62">
        <f ca="1">AVERAGE(OFFSET($CX$3,0,0,'Données projet'!$E$13+1,1))-AVERAGE(OFFSET($H$3,0,0,'Données projet'!$E$13+1,1))</f>
        <v>315.3516976788701</v>
      </c>
      <c r="CZ197" s="62">
        <f t="shared" ref="CZ197:CZ203" si="208">$CZ$3</f>
        <v>266.32508105927997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-1.0401663530501537E-12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502.07782026233912</v>
      </c>
      <c r="EP197" s="62">
        <f t="shared" ref="EP197:EP203" si="210">$EP$3</f>
        <v>285.83623046025156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-1.7053025658242404E-13</v>
      </c>
      <c r="FF197" s="18">
        <f>FE197*VLOOKUP('Données projet'!$B$16,Paramètres!$A$1:$I$89,3,0)*VLOOKUP('Données projet'!$B$16,Paramètres!$A$1:$I$89,5,0)</f>
        <v>-1.6227659216383472E-13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365.5904647357433</v>
      </c>
      <c r="FK197" s="62">
        <f t="shared" ref="FK197:FK203" si="211">$FK$3</f>
        <v>256.56280810580841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-9.2222762759774927E-14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256.19915261735281</v>
      </c>
      <c r="GF197" s="62">
        <f t="shared" ref="GF197:GF203" si="212">$GF$3</f>
        <v>297.47246687305056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-5.6843418860808015E-14</v>
      </c>
      <c r="GV197" s="18">
        <f>GU197*VLOOKUP('Données projet'!$B$18,Paramètres!$A$1:$I$89,3,0)*VLOOKUP('Données projet'!$B$18,Paramètres!$A$1:$I$89,5,0)</f>
        <v>-2.6602720026858149E-14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284.704043530756</v>
      </c>
      <c r="HA197" s="62">
        <f t="shared" ref="HA197:HA203" si="213">$HA$3</f>
        <v>190.4880882944471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428.8489304403459</v>
      </c>
      <c r="T198" s="62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274.66236526869056</v>
      </c>
      <c r="AO198" s="62">
        <f t="shared" si="205"/>
        <v>256.90876395053073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-9.7986685432260874E-13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475.47920969424894</v>
      </c>
      <c r="BJ198" s="62">
        <f t="shared" si="206"/>
        <v>271.73544012419364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-3.8461538461538112</v>
      </c>
      <c r="BZ198" s="14">
        <f>BY198*VLOOKUP('Données projet'!$B$12,Paramètres!$A$1:$I$89,3,0)*VLOOKUP('Données projet'!$B$12,Paramètres!$A$1:$I$89,5,0)</f>
        <v>-4.019999999999964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490.26236605482961</v>
      </c>
      <c r="CE198" s="62">
        <f t="shared" si="207"/>
        <v>283.40133947156238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4.9658410716801891E-14</v>
      </c>
      <c r="CV198" s="14">
        <f t="shared" si="173"/>
        <v>8.0934058173791862E-13</v>
      </c>
      <c r="CW198" s="22">
        <f t="shared" si="174"/>
        <v>1.4960899118586383E-12</v>
      </c>
      <c r="CX198" s="62">
        <f t="shared" si="196"/>
        <v>293.33333333333479</v>
      </c>
      <c r="CY198" s="62">
        <f ca="1">AVERAGE(OFFSET($CX$3,0,0,'Données projet'!$E$13+1,1))-AVERAGE(OFFSET($H$3,0,0,'Données projet'!$E$13+1,1))</f>
        <v>315.3516976788701</v>
      </c>
      <c r="CZ198" s="62">
        <f t="shared" si="208"/>
        <v>266.32508105927997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-1.0401663530501537E-12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502.07782026233912</v>
      </c>
      <c r="EP198" s="62">
        <f t="shared" si="210"/>
        <v>285.83623046025156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-1.7053025658242404E-13</v>
      </c>
      <c r="FF198" s="18">
        <f>FE198*VLOOKUP('Données projet'!$B$16,Paramètres!$A$1:$I$89,3,0)*VLOOKUP('Données projet'!$B$16,Paramètres!$A$1:$I$89,5,0)</f>
        <v>-1.6227659216383472E-13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365.5904647357433</v>
      </c>
      <c r="FK198" s="62">
        <f t="shared" si="211"/>
        <v>256.56280810580841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-9.2222762759774927E-14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256.19915261735281</v>
      </c>
      <c r="GF198" s="62">
        <f t="shared" si="212"/>
        <v>297.47246687305056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-5.6843418860808015E-14</v>
      </c>
      <c r="GV198" s="18">
        <f>GU198*VLOOKUP('Données projet'!$B$18,Paramètres!$A$1:$I$89,3,0)*VLOOKUP('Données projet'!$B$18,Paramètres!$A$1:$I$89,5,0)</f>
        <v>-2.6602720026858149E-14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284.704043530756</v>
      </c>
      <c r="HA198" s="62">
        <f t="shared" si="213"/>
        <v>190.4880882944471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428.8489304403459</v>
      </c>
      <c r="T199" s="62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274.66236526869056</v>
      </c>
      <c r="AO199" s="62">
        <f t="shared" si="205"/>
        <v>256.90876395053073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-9.7986685432260874E-13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475.47920969424894</v>
      </c>
      <c r="BJ199" s="62">
        <f t="shared" si="206"/>
        <v>271.73544012419364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-3.8461538461538112</v>
      </c>
      <c r="BZ199" s="14">
        <f>BY199*VLOOKUP('Données projet'!$B$12,Paramètres!$A$1:$I$89,3,0)*VLOOKUP('Données projet'!$B$12,Paramètres!$A$1:$I$89,5,0)</f>
        <v>-4.019999999999964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490.26236605482961</v>
      </c>
      <c r="CE199" s="62">
        <f t="shared" si="207"/>
        <v>283.40133947156238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4.9658410716801891E-14</v>
      </c>
      <c r="CV199" s="14">
        <f t="shared" si="173"/>
        <v>8.0934058173791862E-13</v>
      </c>
      <c r="CW199" s="22">
        <f t="shared" si="174"/>
        <v>1.4960899118586383E-12</v>
      </c>
      <c r="CX199" s="62">
        <f t="shared" si="196"/>
        <v>293.33333333333479</v>
      </c>
      <c r="CY199" s="62">
        <f ca="1">AVERAGE(OFFSET($CX$3,0,0,'Données projet'!$E$13+1,1))-AVERAGE(OFFSET($H$3,0,0,'Données projet'!$E$13+1,1))</f>
        <v>315.3516976788701</v>
      </c>
      <c r="CZ199" s="62">
        <f t="shared" si="208"/>
        <v>266.32508105927997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-1.0401663530501537E-12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502.07782026233912</v>
      </c>
      <c r="EP199" s="62">
        <f t="shared" si="210"/>
        <v>285.83623046025156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-1.7053025658242404E-13</v>
      </c>
      <c r="FF199" s="18">
        <f>FE199*VLOOKUP('Données projet'!$B$16,Paramètres!$A$1:$I$89,3,0)*VLOOKUP('Données projet'!$B$16,Paramètres!$A$1:$I$89,5,0)</f>
        <v>-1.6227659216383472E-13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365.5904647357433</v>
      </c>
      <c r="FK199" s="62">
        <f t="shared" si="211"/>
        <v>256.56280810580841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-9.2222762759774927E-14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256.19915261735281</v>
      </c>
      <c r="GF199" s="62">
        <f t="shared" si="212"/>
        <v>297.47246687305056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-5.6843418860808015E-14</v>
      </c>
      <c r="GV199" s="18">
        <f>GU199*VLOOKUP('Données projet'!$B$18,Paramètres!$A$1:$I$89,3,0)*VLOOKUP('Données projet'!$B$18,Paramètres!$A$1:$I$89,5,0)</f>
        <v>-2.6602720026858149E-14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284.704043530756</v>
      </c>
      <c r="HA199" s="62">
        <f t="shared" si="213"/>
        <v>190.4880882944471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428.8489304403459</v>
      </c>
      <c r="T200" s="62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274.66236526869056</v>
      </c>
      <c r="AO200" s="62">
        <f t="shared" si="205"/>
        <v>256.90876395053073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-9.7986685432260874E-13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475.47920969424894</v>
      </c>
      <c r="BJ200" s="62">
        <f t="shared" si="206"/>
        <v>271.73544012419364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-3.8461538461538112</v>
      </c>
      <c r="BZ200" s="14">
        <f>BY200*VLOOKUP('Données projet'!$B$12,Paramètres!$A$1:$I$89,3,0)*VLOOKUP('Données projet'!$B$12,Paramètres!$A$1:$I$89,5,0)</f>
        <v>-4.019999999999964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490.26236605482961</v>
      </c>
      <c r="CE200" s="62">
        <f t="shared" si="207"/>
        <v>283.40133947156238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4.9658410716801891E-14</v>
      </c>
      <c r="CV200" s="14">
        <f t="shared" si="173"/>
        <v>8.0934058173791862E-13</v>
      </c>
      <c r="CW200" s="22">
        <f t="shared" si="174"/>
        <v>1.4960899118586383E-12</v>
      </c>
      <c r="CX200" s="62">
        <f t="shared" si="196"/>
        <v>293.33333333333479</v>
      </c>
      <c r="CY200" s="62">
        <f ca="1">AVERAGE(OFFSET($CX$3,0,0,'Données projet'!$E$13+1,1))-AVERAGE(OFFSET($H$3,0,0,'Données projet'!$E$13+1,1))</f>
        <v>315.3516976788701</v>
      </c>
      <c r="CZ200" s="62">
        <f t="shared" si="208"/>
        <v>266.32508105927997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-1.0401663530501537E-12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502.07782026233912</v>
      </c>
      <c r="EP200" s="62">
        <f t="shared" si="210"/>
        <v>285.83623046025156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-1.7053025658242404E-13</v>
      </c>
      <c r="FF200" s="18">
        <f>FE200*VLOOKUP('Données projet'!$B$16,Paramètres!$A$1:$I$89,3,0)*VLOOKUP('Données projet'!$B$16,Paramètres!$A$1:$I$89,5,0)</f>
        <v>-1.6227659216383472E-13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365.5904647357433</v>
      </c>
      <c r="FK200" s="62">
        <f t="shared" si="211"/>
        <v>256.56280810580841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-9.2222762759774927E-14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256.19915261735281</v>
      </c>
      <c r="GF200" s="62">
        <f t="shared" si="212"/>
        <v>297.47246687305056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-5.6843418860808015E-14</v>
      </c>
      <c r="GV200" s="18">
        <f>GU200*VLOOKUP('Données projet'!$B$18,Paramètres!$A$1:$I$89,3,0)*VLOOKUP('Données projet'!$B$18,Paramètres!$A$1:$I$89,5,0)</f>
        <v>-2.6602720026858149E-14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284.704043530756</v>
      </c>
      <c r="HA200" s="62">
        <f t="shared" si="213"/>
        <v>190.4880882944471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428.8489304403459</v>
      </c>
      <c r="T201" s="62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274.66236526869056</v>
      </c>
      <c r="AO201" s="62">
        <f t="shared" si="205"/>
        <v>256.90876395053073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-9.7986685432260874E-13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475.47920969424894</v>
      </c>
      <c r="BJ201" s="62">
        <f t="shared" si="206"/>
        <v>271.73544012419364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-3.8461538461538112</v>
      </c>
      <c r="BZ201" s="14">
        <f>BY201*VLOOKUP('Données projet'!$B$12,Paramètres!$A$1:$I$89,3,0)*VLOOKUP('Données projet'!$B$12,Paramètres!$A$1:$I$89,5,0)</f>
        <v>-4.019999999999964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490.26236605482961</v>
      </c>
      <c r="CE201" s="62">
        <f t="shared" si="207"/>
        <v>283.40133947156238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4.9658410716801891E-14</v>
      </c>
      <c r="CV201" s="14">
        <f t="shared" si="173"/>
        <v>8.0934058173791862E-13</v>
      </c>
      <c r="CW201" s="22">
        <f t="shared" si="174"/>
        <v>1.4960899118586383E-12</v>
      </c>
      <c r="CX201" s="62">
        <f t="shared" si="196"/>
        <v>293.33333333333479</v>
      </c>
      <c r="CY201" s="62">
        <f ca="1">AVERAGE(OFFSET($CX$3,0,0,'Données projet'!$E$13+1,1))-AVERAGE(OFFSET($H$3,0,0,'Données projet'!$E$13+1,1))</f>
        <v>315.3516976788701</v>
      </c>
      <c r="CZ201" s="62">
        <f t="shared" si="208"/>
        <v>266.32508105927997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-1.0401663530501537E-12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502.07782026233912</v>
      </c>
      <c r="EP201" s="62">
        <f t="shared" si="210"/>
        <v>285.83623046025156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-1.7053025658242404E-13</v>
      </c>
      <c r="FF201" s="18">
        <f>FE201*VLOOKUP('Données projet'!$B$16,Paramètres!$A$1:$I$89,3,0)*VLOOKUP('Données projet'!$B$16,Paramètres!$A$1:$I$89,5,0)</f>
        <v>-1.6227659216383472E-13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365.5904647357433</v>
      </c>
      <c r="FK201" s="62">
        <f t="shared" si="211"/>
        <v>256.56280810580841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-9.2222762759774927E-14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256.19915261735281</v>
      </c>
      <c r="GF201" s="62">
        <f t="shared" si="212"/>
        <v>297.47246687305056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-5.6843418860808015E-14</v>
      </c>
      <c r="GV201" s="18">
        <f>GU201*VLOOKUP('Données projet'!$B$18,Paramètres!$A$1:$I$89,3,0)*VLOOKUP('Données projet'!$B$18,Paramètres!$A$1:$I$89,5,0)</f>
        <v>-2.6602720026858149E-14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284.704043530756</v>
      </c>
      <c r="HA201" s="62">
        <f t="shared" si="213"/>
        <v>190.4880882944471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428.8489304403459</v>
      </c>
      <c r="T202" s="62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274.66236526869056</v>
      </c>
      <c r="AO202" s="62">
        <f t="shared" si="205"/>
        <v>256.90876395053073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-9.7986685432260874E-13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475.47920969424894</v>
      </c>
      <c r="BJ202" s="62">
        <f t="shared" si="206"/>
        <v>271.73544012419364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-3.8461538461538112</v>
      </c>
      <c r="BZ202" s="14">
        <f>BY202*VLOOKUP('Données projet'!$B$12,Paramètres!$A$1:$I$89,3,0)*VLOOKUP('Données projet'!$B$12,Paramètres!$A$1:$I$89,5,0)</f>
        <v>-4.019999999999964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490.26236605482961</v>
      </c>
      <c r="CE202" s="62">
        <f t="shared" si="207"/>
        <v>283.40133947156238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4.9658410716801891E-14</v>
      </c>
      <c r="CV202" s="14">
        <f t="shared" si="173"/>
        <v>8.0934058173791862E-13</v>
      </c>
      <c r="CW202" s="22">
        <f t="shared" si="174"/>
        <v>1.4960899118586383E-12</v>
      </c>
      <c r="CX202" s="62">
        <f t="shared" si="196"/>
        <v>293.33333333333479</v>
      </c>
      <c r="CY202" s="62">
        <f ca="1">AVERAGE(OFFSET($CX$3,0,0,'Données projet'!$E$13+1,1))-AVERAGE(OFFSET($H$3,0,0,'Données projet'!$E$13+1,1))</f>
        <v>315.3516976788701</v>
      </c>
      <c r="CZ202" s="62">
        <f t="shared" si="208"/>
        <v>266.32508105927997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-1.0401663530501537E-12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502.07782026233912</v>
      </c>
      <c r="EP202" s="62">
        <f t="shared" si="210"/>
        <v>285.83623046025156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-1.7053025658242404E-13</v>
      </c>
      <c r="FF202" s="18">
        <f>FE202*VLOOKUP('Données projet'!$B$16,Paramètres!$A$1:$I$89,3,0)*VLOOKUP('Données projet'!$B$16,Paramètres!$A$1:$I$89,5,0)</f>
        <v>-1.6227659216383472E-13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365.5904647357433</v>
      </c>
      <c r="FK202" s="62">
        <f t="shared" si="211"/>
        <v>256.56280810580841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-9.2222762759774927E-14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256.19915261735281</v>
      </c>
      <c r="GF202" s="62">
        <f t="shared" si="212"/>
        <v>297.47246687305056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-5.6843418860808015E-14</v>
      </c>
      <c r="GV202" s="18">
        <f>GU202*VLOOKUP('Données projet'!$B$18,Paramètres!$A$1:$I$89,3,0)*VLOOKUP('Données projet'!$B$18,Paramètres!$A$1:$I$89,5,0)</f>
        <v>-2.6602720026858149E-14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284.704043530756</v>
      </c>
      <c r="HA202" s="62">
        <f t="shared" si="213"/>
        <v>190.4880882944471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428.8489304403459</v>
      </c>
      <c r="T203" s="62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274.66236526869056</v>
      </c>
      <c r="AO203" s="62">
        <f t="shared" si="205"/>
        <v>256.90876395053073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-9.7986685432260874E-13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475.47920969424894</v>
      </c>
      <c r="BJ203" s="62">
        <f t="shared" si="206"/>
        <v>271.73544012419364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-3.8461538461538112</v>
      </c>
      <c r="BZ203" s="14">
        <f>BY203*VLOOKUP('Données projet'!$B$12,Paramètres!$A$1:$I$89,3,0)*VLOOKUP('Données projet'!$B$12,Paramètres!$A$1:$I$89,5,0)</f>
        <v>-4.019999999999964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490.26236605482961</v>
      </c>
      <c r="CE203" s="62">
        <f t="shared" si="207"/>
        <v>283.40133947156238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4.9658410716801891E-14</v>
      </c>
      <c r="CV203" s="14">
        <f t="shared" si="173"/>
        <v>8.0934058173791862E-13</v>
      </c>
      <c r="CW203" s="22">
        <f t="shared" si="174"/>
        <v>1.4960899118586383E-12</v>
      </c>
      <c r="CX203" s="62">
        <f t="shared" si="196"/>
        <v>293.33333333333479</v>
      </c>
      <c r="CY203" s="62">
        <f ca="1">AVERAGE(OFFSET($CX$3,0,0,'Données projet'!$E$13+1,1))-AVERAGE(OFFSET($H$3,0,0,'Données projet'!$E$13+1,1))</f>
        <v>315.3516976788701</v>
      </c>
      <c r="CZ203" s="62">
        <f t="shared" si="208"/>
        <v>266.32508105927997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-1.0401663530501537E-12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502.07782026233912</v>
      </c>
      <c r="EP203" s="62">
        <f t="shared" si="210"/>
        <v>285.83623046025156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-1.7053025658242404E-13</v>
      </c>
      <c r="FF203" s="18">
        <f>FE203*VLOOKUP('Données projet'!$B$16,Paramètres!$A$1:$I$89,3,0)*VLOOKUP('Données projet'!$B$16,Paramètres!$A$1:$I$89,5,0)</f>
        <v>-1.6227659216383472E-13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365.5904647357433</v>
      </c>
      <c r="FK203" s="62">
        <f t="shared" si="211"/>
        <v>256.56280810580841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-9.2222762759774927E-14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256.19915261735281</v>
      </c>
      <c r="GF203" s="62">
        <f t="shared" si="212"/>
        <v>297.47246687305056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-5.6843418860808015E-14</v>
      </c>
      <c r="GV203" s="18">
        <f>GU203*VLOOKUP('Données projet'!$B$18,Paramètres!$A$1:$I$89,3,0)*VLOOKUP('Données projet'!$B$18,Paramètres!$A$1:$I$89,5,0)</f>
        <v>-2.6602720026858149E-14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284.704043530756</v>
      </c>
      <c r="HA203" s="62">
        <f t="shared" si="213"/>
        <v>190.4880882944471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1.1577536725165907</v>
      </c>
      <c r="BA205" s="88">
        <f>EXP(LN('Données projet'!B88)/'Données projet'!A88)</f>
        <v>1.2054868146447177</v>
      </c>
      <c r="BV205" s="88">
        <f>EXP(LN('Données projet'!B114)/'Données projet'!A114)</f>
        <v>1.2548684989282006</v>
      </c>
      <c r="CQ205" s="88">
        <f>EXP(LN('Données projet'!B140)/'Données projet'!A140)</f>
        <v>1.335141362540313</v>
      </c>
      <c r="DL205" s="88" t="e">
        <f>EXP(LN('Données projet'!B166)/'Données projet'!A166)</f>
        <v>#NUM!</v>
      </c>
      <c r="EG205" s="88">
        <f>EXP(LN('Données projet'!B192)/'Données projet'!A192)</f>
        <v>1.2054868146447177</v>
      </c>
      <c r="FB205" s="88">
        <f>EXP(LN('Données projet'!B218)/'Données projet'!A218)</f>
        <v>1.2711106295585217</v>
      </c>
      <c r="FW205" s="88">
        <f>EXP(LN('Données projet'!B244)/'Données projet'!A244)</f>
        <v>1.2457309396155174</v>
      </c>
      <c r="GR205" s="88">
        <f>EXP(LN('Données projet'!B270)/'Données projet'!A270)</f>
        <v>1.1810516433311786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O27" sqref="O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1.12944</v>
      </c>
      <c r="C6" s="156">
        <f ca="1">IF(OR('Données projet'!B9="",'Données projet'!C9="",'Données projet'!C9=0%),0,Calculateur!S3)</f>
        <v>428.8489304403459</v>
      </c>
      <c r="D6" s="156">
        <f>IF(OR('Données projet'!B9="",'Données projet'!C9="",'Données projet'!C9=0%),0,Calculateur!T3)</f>
        <v>247.01165577562966</v>
      </c>
      <c r="E6" s="156">
        <f ca="1">MIN(C6,D6)</f>
        <v>247.01165577562966</v>
      </c>
      <c r="F6" s="156">
        <f ca="1">E6*B6</f>
        <v>278.98484449922717</v>
      </c>
      <c r="G6" s="156">
        <f ca="1">F6*(100%-'Données projet'!$C$24)*(100%-'Données projet'!$C$25)*(100%-'Données projet'!$C$26)*(100%-'Données projet'!$C$27)</f>
        <v>213.42340604190878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8.1884399999999999</v>
      </c>
      <c r="K6" s="160">
        <f>J6*(100%-'Données projet'!$C$24)*(100%-'Données projet'!$C$25)*(100%-'Données projet'!$C$26)*(100%-'Données projet'!$C$27)</f>
        <v>6.2641566000000006</v>
      </c>
      <c r="L6" s="161">
        <f ca="1">G6+I6+K6</f>
        <v>219.68756264190878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Erable champêtre</v>
      </c>
      <c r="B7" s="163">
        <f>'Données projet'!D10</f>
        <v>0.48099999999999998</v>
      </c>
      <c r="C7" s="156">
        <f ca="1">IF(OR('Données projet'!B10="",'Données projet'!C10="",'Données projet'!C10=0%),0,Calculateur!AN3)</f>
        <v>274.66236526869056</v>
      </c>
      <c r="D7" s="156">
        <f>IF(OR('Données projet'!B10="",'Données projet'!C10="",'Données projet'!C10=0%),0,Calculateur!AO3)</f>
        <v>256.90876395053073</v>
      </c>
      <c r="E7" s="156">
        <f t="shared" ref="E7:E15" ca="1" si="0">MIN(C7,D7)</f>
        <v>256.90876395053073</v>
      </c>
      <c r="F7" s="156">
        <f t="shared" ref="F7:F15" ca="1" si="1">E7*B7</f>
        <v>123.57311546020527</v>
      </c>
      <c r="G7" s="156">
        <f ca="1">F7*(100%-'Données projet'!$C$24)*(100%-'Données projet'!$C$25)*(100%-'Données projet'!$C$26)*(100%-'Données projet'!$C$27)</f>
        <v>94.533433327057026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5.0504999999999995</v>
      </c>
      <c r="K7" s="160">
        <f>J7*(100%-'Données projet'!$C$24)*(100%-'Données projet'!$C$25)*(100%-'Données projet'!$C$26)*(100%-'Données projet'!$C$27)</f>
        <v>3.8636324999999996</v>
      </c>
      <c r="L7" s="161">
        <f t="shared" ref="L7:L15" ca="1" si="2">G7+I7+K7</f>
        <v>98.39706582705702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0.18018000000000001</v>
      </c>
      <c r="C8" s="156">
        <f ca="1">IF(OR('Données projet'!B11="",'Données projet'!C11="",'Données projet'!C11=0%),0,Calculateur!BI3)</f>
        <v>475.47920969424894</v>
      </c>
      <c r="D8" s="156">
        <f>IF(OR('Données projet'!B11="",'Données projet'!C11="",'Données projet'!C11=0%),0,Calculateur!BJ3)</f>
        <v>271.73544012419364</v>
      </c>
      <c r="E8" s="156">
        <f t="shared" ca="1" si="0"/>
        <v>271.73544012419364</v>
      </c>
      <c r="F8" s="156">
        <f t="shared" ca="1" si="1"/>
        <v>48.961291601577216</v>
      </c>
      <c r="G8" s="156">
        <f ca="1">F8*(100%-'Données projet'!$C$24)*(100%-'Données projet'!$C$25)*(100%-'Données projet'!$C$26)*(100%-'Données projet'!$C$27)</f>
        <v>37.455388075206571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1.306305</v>
      </c>
      <c r="K8" s="160">
        <f>J8*(100%-'Données projet'!$C$24)*(100%-'Données projet'!$C$25)*(100%-'Données projet'!$C$26)*(100%-'Données projet'!$C$27)</f>
        <v>0.9993233250000001</v>
      </c>
      <c r="L8" s="161">
        <f t="shared" ca="1" si="2"/>
        <v>38.45471140020657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chevelu</v>
      </c>
      <c r="B9" s="163">
        <f>'Données projet'!D12</f>
        <v>0.18018000000000001</v>
      </c>
      <c r="C9" s="156">
        <f ca="1">IF(OR('Données projet'!B12="",'Données projet'!C12="",'Données projet'!C12=0%),0,Calculateur!CD3)</f>
        <v>490.26236605482961</v>
      </c>
      <c r="D9" s="156">
        <f>IF(OR('Données projet'!B12="",'Données projet'!C12="",'Données projet'!C12=0%),0,Calculateur!CE3)</f>
        <v>283.40133947156238</v>
      </c>
      <c r="E9" s="156">
        <f t="shared" ca="1" si="0"/>
        <v>283.40133947156238</v>
      </c>
      <c r="F9" s="156">
        <f t="shared" ca="1" si="1"/>
        <v>51.063253345986112</v>
      </c>
      <c r="G9" s="156">
        <f ca="1">F9*(100%-'Données projet'!$C$24)*(100%-'Données projet'!$C$25)*(100%-'Données projet'!$C$26)*(100%-'Données projet'!$C$27)</f>
        <v>39.063388809679374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0.83737499999999998</v>
      </c>
      <c r="K9" s="160">
        <f>J9*(100%-'Données projet'!$C$24)*(100%-'Données projet'!$C$25)*(100%-'Données projet'!$C$26)*(100%-'Données projet'!$C$27)</f>
        <v>0.64059187499999992</v>
      </c>
      <c r="L9" s="161">
        <f t="shared" ca="1" si="2"/>
        <v>39.703980684679372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rouge d'Amérique</v>
      </c>
      <c r="B10" s="163">
        <f>'Données projet'!D13</f>
        <v>0.18018000000000001</v>
      </c>
      <c r="C10" s="156">
        <f ca="1">IF(OR('Données projet'!B13="",'Données projet'!C13="",'Données projet'!C13=0%),0,Calculateur!CY3)</f>
        <v>315.3516976788701</v>
      </c>
      <c r="D10" s="156">
        <f>IF(OR('Données projet'!B13="",'Données projet'!C13="",'Données projet'!C13=0%),0,Calculateur!CZ3)</f>
        <v>266.32508105927997</v>
      </c>
      <c r="E10" s="156">
        <f t="shared" ca="1" si="0"/>
        <v>266.32508105927997</v>
      </c>
      <c r="F10" s="156">
        <f t="shared" ca="1" si="1"/>
        <v>47.986453105261063</v>
      </c>
      <c r="G10" s="156">
        <f ca="1">F10*(100%-'Données projet'!$C$24)*(100%-'Données projet'!$C$25)*(100%-'Données projet'!$C$26)*(100%-'Données projet'!$C$27)</f>
        <v>36.709636625524716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2.1621600000000001</v>
      </c>
      <c r="K10" s="160">
        <f>J10*(100%-'Données projet'!$C$24)*(100%-'Données projet'!$C$25)*(100%-'Données projet'!$C$26)*(100%-'Données projet'!$C$27)</f>
        <v>1.6540524000000001</v>
      </c>
      <c r="L10" s="161">
        <f t="shared" ca="1" si="2"/>
        <v>38.363689025524714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Cormier</v>
      </c>
      <c r="B12" s="163">
        <f>'Données projet'!D15</f>
        <v>8.9959999999999998E-2</v>
      </c>
      <c r="C12" s="156">
        <f ca="1">IF(OR('Données projet'!B15="",'Données projet'!C15="",'Données projet'!C15=0%),0,Calculateur!EO3)</f>
        <v>502.07782026233912</v>
      </c>
      <c r="D12" s="156">
        <f>IF(OR('Données projet'!B15="",'Données projet'!C15="",'Données projet'!C15=0%),0,Calculateur!EP3)</f>
        <v>285.83623046025156</v>
      </c>
      <c r="E12" s="156">
        <f t="shared" ca="1" si="0"/>
        <v>285.83623046025156</v>
      </c>
      <c r="F12" s="156">
        <f t="shared" ca="1" si="1"/>
        <v>25.713827292204229</v>
      </c>
      <c r="G12" s="156">
        <f ca="1">F12*(100%-'Données projet'!$C$24)*(100%-'Données projet'!$C$25)*(100%-'Données projet'!$C$26)*(100%-'Données projet'!$C$27)</f>
        <v>19.671077878536238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0.65220999999999996</v>
      </c>
      <c r="K12" s="160">
        <f>J12*(100%-'Données projet'!$C$24)*(100%-'Données projet'!$C$25)*(100%-'Données projet'!$C$26)*(100%-'Données projet'!$C$27)</f>
        <v>0.49894064999999999</v>
      </c>
      <c r="L12" s="161">
        <f t="shared" ca="1" si="2"/>
        <v>20.170018528536239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Charme</v>
      </c>
      <c r="B13" s="163">
        <f>'Données projet'!D16</f>
        <v>0.12012</v>
      </c>
      <c r="C13" s="156">
        <f ca="1">IF(OR('Données projet'!B16="",'Données projet'!C16="",'Données projet'!C16=0%),0,Calculateur!FJ3)</f>
        <v>365.5904647357433</v>
      </c>
      <c r="D13" s="156">
        <f>IF(OR('Données projet'!B16="",'Données projet'!C16="",'Données projet'!C16=0%),0,Calculateur!FK3)</f>
        <v>256.56280810580841</v>
      </c>
      <c r="E13" s="156">
        <f t="shared" ca="1" si="0"/>
        <v>256.56280810580841</v>
      </c>
      <c r="F13" s="156">
        <f t="shared" ca="1" si="1"/>
        <v>30.818324509669708</v>
      </c>
      <c r="G13" s="156">
        <f ca="1">F13*(100%-'Données projet'!$C$24)*(100%-'Données projet'!$C$25)*(100%-'Données projet'!$C$26)*(100%-'Données projet'!$C$27)</f>
        <v>23.576018249897327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0.86625000000000008</v>
      </c>
      <c r="K13" s="160">
        <f>J13*(100%-'Données projet'!$C$24)*(100%-'Données projet'!$C$25)*(100%-'Données projet'!$C$26)*(100%-'Données projet'!$C$27)</f>
        <v>0.66268125000000011</v>
      </c>
      <c r="L13" s="161">
        <f t="shared" ca="1" si="2"/>
        <v>24.238699499897326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Bouleau verruqueux</v>
      </c>
      <c r="B14" s="163">
        <f>'Données projet'!D17</f>
        <v>6.0060000000000002E-2</v>
      </c>
      <c r="C14" s="156">
        <f ca="1">IF(OR('Données projet'!B17="",'Données projet'!C17="",'Données projet'!C17=0%),0,Calculateur!GE3)</f>
        <v>256.19915261735281</v>
      </c>
      <c r="D14" s="156">
        <f>IF(OR('Données projet'!B17="",'Données projet'!C17="",'Données projet'!C17=0%),0,Calculateur!GF3)</f>
        <v>297.47246687305056</v>
      </c>
      <c r="E14" s="156">
        <f t="shared" ca="1" si="0"/>
        <v>256.19915261735281</v>
      </c>
      <c r="F14" s="156">
        <f t="shared" ca="1" si="1"/>
        <v>15.387321106198211</v>
      </c>
      <c r="G14" s="156">
        <f ca="1">F14*(100%-'Données projet'!$C$24)*(100%-'Données projet'!$C$25)*(100%-'Données projet'!$C$26)*(100%-'Données projet'!$C$27)</f>
        <v>11.771300646241631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0.60060000000000002</v>
      </c>
      <c r="K14" s="160">
        <f>J14*(100%-'Données projet'!$C$24)*(100%-'Données projet'!$C$25)*(100%-'Données projet'!$C$26)*(100%-'Données projet'!$C$27)</f>
        <v>0.45945900000000001</v>
      </c>
      <c r="L14" s="161">
        <f t="shared" ca="1" si="2"/>
        <v>12.230759646241632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Cèdre de l'Atlas</v>
      </c>
      <c r="B15" s="166">
        <f>'Données projet'!D18</f>
        <v>2.9899999999999999E-2</v>
      </c>
      <c r="C15" s="167">
        <f ca="1">IF(OR('Données projet'!B18="",'Données projet'!C18="",'Données projet'!C18=0%),0,Calculateur!GZ3)</f>
        <v>284.704043530756</v>
      </c>
      <c r="D15" s="167">
        <f>IF(OR('Données projet'!B18="",'Données projet'!C18="",'Données projet'!C18=0%),0,Calculateur!HA3)</f>
        <v>190.4880882944471</v>
      </c>
      <c r="E15" s="167">
        <f t="shared" ca="1" si="0"/>
        <v>190.4880882944471</v>
      </c>
      <c r="F15" s="168">
        <f t="shared" ca="1" si="1"/>
        <v>5.6955938400039683</v>
      </c>
      <c r="G15" s="168">
        <f ca="1">F15*(100%-'Données projet'!$C$24)*(100%-'Données projet'!$C$25)*(100%-'Données projet'!$C$26)*(100%-'Données projet'!$C$27)</f>
        <v>4.3571292876030361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ca="1" si="2"/>
        <v>4.3571292876030361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628.18402476033293</v>
      </c>
      <c r="G16" s="175">
        <f t="shared" ca="1" si="3"/>
        <v>480.56077894165469</v>
      </c>
      <c r="H16" s="176">
        <f t="shared" si="3"/>
        <v>0</v>
      </c>
      <c r="I16" s="176">
        <f t="shared" si="3"/>
        <v>0</v>
      </c>
      <c r="J16" s="177">
        <f t="shared" si="3"/>
        <v>19.66384</v>
      </c>
      <c r="K16" s="177">
        <f t="shared" si="3"/>
        <v>15.042837600000002</v>
      </c>
      <c r="L16" s="178">
        <f t="shared" ca="1" si="3"/>
        <v>495.60361654165462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Erable champêtre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chevelu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rouge d'Amérique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Cormier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Charme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Bouleau verruqueux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Cèdre de l'Atlas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" zoomScale="80" zoomScaleNormal="80" workbookViewId="0">
      <selection activeCell="C197" sqref="C179:C19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782.31216992444979</v>
      </c>
      <c r="U10" s="190">
        <f>'Données projet'!D9</f>
        <v>1.12944</v>
      </c>
      <c r="V10" s="189">
        <f>U10*T10</f>
        <v>883.57465719947061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champêtre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1038.5569598686395</v>
      </c>
      <c r="U11" s="190">
        <f>'Données projet'!D10</f>
        <v>0.48099999999999998</v>
      </c>
      <c r="V11" s="189">
        <f t="shared" ref="V11" si="0">U11*T11</f>
        <v>499.54589769681559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782.31216992444979</v>
      </c>
      <c r="U12" s="190">
        <f>'Données projet'!D11</f>
        <v>0.18018000000000001</v>
      </c>
      <c r="V12" s="189">
        <f t="shared" ref="V12:V19" si="1">U12*T12</f>
        <v>140.95700677698736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chevelu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572.05243092522187</v>
      </c>
      <c r="U13" s="190">
        <f>'Données projet'!D12</f>
        <v>0.18018000000000001</v>
      </c>
      <c r="V13" s="189">
        <f t="shared" si="1"/>
        <v>103.07240700410648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rouge d'Amérique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907.02214748040001</v>
      </c>
      <c r="U14" s="190">
        <f>'Données projet'!D13</f>
        <v>0.18018000000000001</v>
      </c>
      <c r="V14" s="189">
        <f t="shared" si="1"/>
        <v>163.42725053301848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>Cormier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782.31216992444979</v>
      </c>
      <c r="U16" s="190">
        <f>'Données projet'!D15</f>
        <v>8.9959999999999998E-2</v>
      </c>
      <c r="V16" s="189">
        <f t="shared" si="1"/>
        <v>70.376802806403504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Charme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511.92918178081698</v>
      </c>
      <c r="U17" s="190">
        <f>'Données projet'!D16</f>
        <v>0.12012</v>
      </c>
      <c r="V17" s="189">
        <f t="shared" si="1"/>
        <v>61.492933315511735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Bouleau verruqueux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842.11859777471182</v>
      </c>
      <c r="U18" s="190">
        <f>'Données projet'!D17</f>
        <v>6.0060000000000002E-2</v>
      </c>
      <c r="V18" s="189">
        <f t="shared" si="1"/>
        <v>50.577642982349197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>Cèdre de l'Atlas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833.99895808686199</v>
      </c>
      <c r="U19" s="190">
        <f>'Données projet'!D18</f>
        <v>2.9899999999999999E-2</v>
      </c>
      <c r="V19" s="189">
        <f t="shared" si="1"/>
        <v>24.936568846797172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0</v>
      </c>
      <c r="I20" s="204">
        <v>7000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-16202.03883283854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2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5">
        <f ca="1">T23-T24</f>
        <v>-16202.03883283854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42</v>
      </c>
      <c r="C27" s="206">
        <v>15</v>
      </c>
      <c r="D27" s="194">
        <f t="shared" si="2"/>
        <v>630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42</v>
      </c>
      <c r="C29" s="206">
        <v>20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42</v>
      </c>
      <c r="C31" s="206">
        <v>30</v>
      </c>
      <c r="D31" s="194">
        <f t="shared" si="2"/>
        <v>1260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42</v>
      </c>
      <c r="C33" s="206">
        <v>50</v>
      </c>
      <c r="D33" s="194">
        <f t="shared" si="2"/>
        <v>2100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42</v>
      </c>
      <c r="C35" s="206">
        <v>60</v>
      </c>
      <c r="D35" s="194">
        <f t="shared" si="2"/>
        <v>2520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42</v>
      </c>
      <c r="C37" s="206">
        <v>80</v>
      </c>
      <c r="D37" s="194">
        <f t="shared" si="2"/>
        <v>3360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39</v>
      </c>
      <c r="C38" s="206">
        <v>90</v>
      </c>
      <c r="D38" s="194">
        <f t="shared" si="2"/>
        <v>3510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35</v>
      </c>
      <c r="C39" s="206">
        <v>100</v>
      </c>
      <c r="D39" s="194">
        <f t="shared" si="2"/>
        <v>3500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31</v>
      </c>
      <c r="C40" s="206">
        <v>120</v>
      </c>
      <c r="D40" s="194">
        <f t="shared" si="2"/>
        <v>3720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27</v>
      </c>
      <c r="C41" s="206">
        <v>150</v>
      </c>
      <c r="D41" s="194">
        <f t="shared" si="2"/>
        <v>4050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2"/>
        <v>58600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Erable champêtre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42</v>
      </c>
      <c r="C56" s="204">
        <v>10</v>
      </c>
      <c r="D56" s="191">
        <f t="shared" si="4"/>
        <v>420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42</v>
      </c>
      <c r="C58" s="204">
        <v>15</v>
      </c>
      <c r="D58" s="191">
        <f t="shared" si="4"/>
        <v>630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39</v>
      </c>
      <c r="C60" s="204">
        <v>20</v>
      </c>
      <c r="D60" s="191">
        <f t="shared" si="4"/>
        <v>780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24</v>
      </c>
      <c r="C62" s="204">
        <v>30</v>
      </c>
      <c r="D62" s="191">
        <f t="shared" si="4"/>
        <v>720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17</v>
      </c>
      <c r="C64" s="204">
        <v>40</v>
      </c>
      <c r="D64" s="191">
        <f t="shared" si="4"/>
        <v>680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234</v>
      </c>
      <c r="C67" s="204">
        <v>80</v>
      </c>
      <c r="D67" s="191">
        <f t="shared" si="4"/>
        <v>18720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29</v>
      </c>
      <c r="C87" s="206">
        <v>10</v>
      </c>
      <c r="D87" s="191">
        <f t="shared" si="6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6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6">
        <v>15</v>
      </c>
      <c r="D89" s="191">
        <f t="shared" si="6"/>
        <v>630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6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6">
        <v>20</v>
      </c>
      <c r="D91" s="191">
        <f t="shared" si="6"/>
        <v>840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6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42</v>
      </c>
      <c r="C93" s="206">
        <v>30</v>
      </c>
      <c r="D93" s="191">
        <f t="shared" si="6"/>
        <v>1260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6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42</v>
      </c>
      <c r="C95" s="206">
        <v>50</v>
      </c>
      <c r="D95" s="191">
        <f t="shared" si="6"/>
        <v>2100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6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42</v>
      </c>
      <c r="C97" s="206">
        <v>60</v>
      </c>
      <c r="D97" s="191">
        <f t="shared" si="6"/>
        <v>2520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42</v>
      </c>
      <c r="C98" s="206">
        <v>70</v>
      </c>
      <c r="D98" s="191">
        <f t="shared" si="6"/>
        <v>2940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42</v>
      </c>
      <c r="C99" s="206">
        <v>80</v>
      </c>
      <c r="D99" s="191">
        <f t="shared" si="6"/>
        <v>3360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39</v>
      </c>
      <c r="C100" s="206">
        <v>90</v>
      </c>
      <c r="D100" s="191">
        <f t="shared" si="6"/>
        <v>3510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35</v>
      </c>
      <c r="C101" s="206">
        <v>100</v>
      </c>
      <c r="D101" s="191">
        <f t="shared" si="6"/>
        <v>3500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31</v>
      </c>
      <c r="C102" s="206">
        <v>120</v>
      </c>
      <c r="D102" s="191">
        <f t="shared" si="6"/>
        <v>3720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27</v>
      </c>
      <c r="C103" s="206">
        <v>150</v>
      </c>
      <c r="D103" s="191">
        <f t="shared" si="6"/>
        <v>4050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293</v>
      </c>
      <c r="C104" s="206">
        <v>200</v>
      </c>
      <c r="D104" s="191">
        <f t="shared" si="6"/>
        <v>58600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chevelu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18.589743589743588</v>
      </c>
      <c r="C118" s="204">
        <v>10</v>
      </c>
      <c r="D118" s="191">
        <f t="shared" si="8"/>
        <v>185.89743589743588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20.512820512820511</v>
      </c>
      <c r="C120" s="204">
        <v>15</v>
      </c>
      <c r="D120" s="191">
        <f t="shared" si="8"/>
        <v>307.69230769230768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23.717948717948715</v>
      </c>
      <c r="C122" s="204">
        <v>20</v>
      </c>
      <c r="D122" s="191">
        <f t="shared" si="8"/>
        <v>474.35897435897431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24.358974358974358</v>
      </c>
      <c r="C124" s="204">
        <v>30</v>
      </c>
      <c r="D124" s="191">
        <f t="shared" si="8"/>
        <v>730.76923076923072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23.717948717948715</v>
      </c>
      <c r="C126" s="204">
        <v>40</v>
      </c>
      <c r="D126" s="191">
        <f t="shared" si="8"/>
        <v>948.71794871794862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23.076923076923077</v>
      </c>
      <c r="C128" s="204">
        <v>50</v>
      </c>
      <c r="D128" s="191">
        <f t="shared" si="8"/>
        <v>1153.8461538461538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85</v>
      </c>
      <c r="B130" s="193">
        <f>'Données projet'!D128</f>
        <v>21.794871794871796</v>
      </c>
      <c r="C130" s="204">
        <v>60</v>
      </c>
      <c r="D130" s="191">
        <f t="shared" si="8"/>
        <v>1307.6923076923076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95</v>
      </c>
      <c r="B132" s="193">
        <f>'Données projet'!D130</f>
        <v>20.512820512820511</v>
      </c>
      <c r="C132" s="204">
        <v>80</v>
      </c>
      <c r="D132" s="191">
        <f t="shared" si="8"/>
        <v>1641.0256410256409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38.46153846153846</v>
      </c>
      <c r="C134" s="204">
        <v>100</v>
      </c>
      <c r="D134" s="191">
        <f t="shared" si="8"/>
        <v>3846.1538461538462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130</v>
      </c>
      <c r="B135" s="193">
        <f>'Données projet'!D133</f>
        <v>348.07692307692304</v>
      </c>
      <c r="C135" s="204">
        <v>120</v>
      </c>
      <c r="D135" s="191">
        <f t="shared" si="8"/>
        <v>41769.230769230766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rouge d'Amérique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48</v>
      </c>
      <c r="C150" s="204">
        <v>10</v>
      </c>
      <c r="D150" s="194">
        <f t="shared" si="10"/>
        <v>480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40</v>
      </c>
      <c r="C152" s="204">
        <v>15</v>
      </c>
      <c r="D152" s="194">
        <f t="shared" si="10"/>
        <v>600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39</v>
      </c>
      <c r="C154" s="204">
        <v>20</v>
      </c>
      <c r="D154" s="194">
        <f t="shared" si="10"/>
        <v>780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35</v>
      </c>
      <c r="C156" s="204">
        <v>30</v>
      </c>
      <c r="D156" s="194">
        <f t="shared" si="10"/>
        <v>1050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31</v>
      </c>
      <c r="C158" s="204">
        <v>40</v>
      </c>
      <c r="D158" s="194">
        <f t="shared" si="10"/>
        <v>1240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26</v>
      </c>
      <c r="C160" s="204">
        <v>50</v>
      </c>
      <c r="D160" s="194">
        <f t="shared" si="10"/>
        <v>1300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85</v>
      </c>
      <c r="B162" s="187">
        <f>'Données projet'!D155</f>
        <v>21</v>
      </c>
      <c r="C162" s="204">
        <v>60</v>
      </c>
      <c r="D162" s="194">
        <f t="shared" si="10"/>
        <v>1260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95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100</v>
      </c>
      <c r="B165" s="187">
        <f>'Données projet'!D158</f>
        <v>244</v>
      </c>
      <c r="C165" s="204">
        <v>90</v>
      </c>
      <c r="D165" s="194">
        <f t="shared" si="10"/>
        <v>21960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Cormier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29</v>
      </c>
      <c r="C211" s="206">
        <v>10</v>
      </c>
      <c r="D211" s="191">
        <f t="shared" si="12"/>
        <v>290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42</v>
      </c>
      <c r="C213" s="206">
        <v>15</v>
      </c>
      <c r="D213" s="191">
        <f t="shared" si="12"/>
        <v>630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42</v>
      </c>
      <c r="C215" s="206">
        <v>20</v>
      </c>
      <c r="D215" s="191">
        <f t="shared" si="12"/>
        <v>840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42</v>
      </c>
      <c r="C217" s="206">
        <v>30</v>
      </c>
      <c r="D217" s="191">
        <f t="shared" si="12"/>
        <v>1260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42</v>
      </c>
      <c r="C219" s="206">
        <v>50</v>
      </c>
      <c r="D219" s="191">
        <f t="shared" si="12"/>
        <v>2100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42</v>
      </c>
      <c r="C221" s="206">
        <v>60</v>
      </c>
      <c r="D221" s="191">
        <f t="shared" si="12"/>
        <v>2520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90</v>
      </c>
      <c r="B222" s="193">
        <f>'Données projet'!D205</f>
        <v>42</v>
      </c>
      <c r="C222" s="206">
        <v>70</v>
      </c>
      <c r="D222" s="191">
        <f t="shared" si="12"/>
        <v>2940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100</v>
      </c>
      <c r="B223" s="193">
        <f>'Données projet'!D206</f>
        <v>42</v>
      </c>
      <c r="C223" s="206">
        <v>80</v>
      </c>
      <c r="D223" s="191">
        <f t="shared" si="12"/>
        <v>3360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110</v>
      </c>
      <c r="B224" s="193">
        <f>'Données projet'!D207</f>
        <v>39</v>
      </c>
      <c r="C224" s="206">
        <v>90</v>
      </c>
      <c r="D224" s="191">
        <f t="shared" si="12"/>
        <v>3510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120</v>
      </c>
      <c r="B225" s="193">
        <f>'Données projet'!D208</f>
        <v>35</v>
      </c>
      <c r="C225" s="206">
        <v>100</v>
      </c>
      <c r="D225" s="191">
        <f t="shared" si="12"/>
        <v>3500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130</v>
      </c>
      <c r="B226" s="193">
        <f>'Données projet'!D209</f>
        <v>31</v>
      </c>
      <c r="C226" s="206">
        <v>120</v>
      </c>
      <c r="D226" s="191">
        <f t="shared" si="12"/>
        <v>3720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140</v>
      </c>
      <c r="B227" s="193">
        <f>'Données projet'!D210</f>
        <v>27</v>
      </c>
      <c r="C227" s="206">
        <v>150</v>
      </c>
      <c r="D227" s="191">
        <f t="shared" si="12"/>
        <v>4050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150</v>
      </c>
      <c r="B228" s="193">
        <f>'Données projet'!D211</f>
        <v>293</v>
      </c>
      <c r="C228" s="206">
        <v>200</v>
      </c>
      <c r="D228" s="191">
        <f t="shared" si="12"/>
        <v>58600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Charme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28.846153846153847</v>
      </c>
      <c r="C242" s="206">
        <v>10</v>
      </c>
      <c r="D242" s="191">
        <f t="shared" si="13"/>
        <v>288.46153846153845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35</v>
      </c>
      <c r="B244" s="193">
        <f>'Données projet'!D222</f>
        <v>27.564102564102562</v>
      </c>
      <c r="C244" s="206">
        <v>15</v>
      </c>
      <c r="D244" s="191">
        <f t="shared" si="13"/>
        <v>413.46153846153845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45</v>
      </c>
      <c r="B246" s="193">
        <f>'Données projet'!D224</f>
        <v>30.128205128205128</v>
      </c>
      <c r="C246" s="206">
        <v>15</v>
      </c>
      <c r="D246" s="191">
        <f t="shared" si="13"/>
        <v>451.92307692307691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55</v>
      </c>
      <c r="B248" s="193">
        <f>'Données projet'!D226</f>
        <v>30.128205128205128</v>
      </c>
      <c r="C248" s="206">
        <v>20</v>
      </c>
      <c r="D248" s="191">
        <f t="shared" si="13"/>
        <v>602.56410256410254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65</v>
      </c>
      <c r="B250" s="193">
        <f>'Données projet'!D228</f>
        <v>29.487179487179485</v>
      </c>
      <c r="C250" s="206">
        <v>20</v>
      </c>
      <c r="D250" s="191">
        <f t="shared" si="13"/>
        <v>589.74358974358972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75</v>
      </c>
      <c r="B252" s="193">
        <f>'Données projet'!D230</f>
        <v>28.205128205128204</v>
      </c>
      <c r="C252" s="206">
        <v>30</v>
      </c>
      <c r="D252" s="191">
        <f t="shared" si="13"/>
        <v>846.15384615384619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85</v>
      </c>
      <c r="B254" s="193">
        <f>'Données projet'!D232</f>
        <v>26.282051282051281</v>
      </c>
      <c r="C254" s="206">
        <v>40</v>
      </c>
      <c r="D254" s="191">
        <f t="shared" si="13"/>
        <v>1051.2820512820513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95</v>
      </c>
      <c r="B256" s="193">
        <f>'Données projet'!D234</f>
        <v>25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100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110</v>
      </c>
      <c r="B258" s="193">
        <f>'Données projet'!D236</f>
        <v>33.974358974358971</v>
      </c>
      <c r="C258" s="206">
        <v>60</v>
      </c>
      <c r="D258" s="191">
        <f t="shared" si="13"/>
        <v>2038.4615384615383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120</v>
      </c>
      <c r="B259" s="193">
        <f>'Données projet'!D237</f>
        <v>259.61538461538458</v>
      </c>
      <c r="C259" s="206">
        <v>80</v>
      </c>
      <c r="D259" s="191">
        <f t="shared" si="13"/>
        <v>20769.230769230766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Bouleau verruqueux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15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20</v>
      </c>
      <c r="B273" s="193">
        <f>'Données projet'!D246</f>
        <v>40</v>
      </c>
      <c r="C273" s="206">
        <v>10</v>
      </c>
      <c r="D273" s="191">
        <f t="shared" si="14"/>
        <v>400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25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30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35</v>
      </c>
      <c r="B276" s="193">
        <f>'Données projet'!D249</f>
        <v>76</v>
      </c>
      <c r="C276" s="206">
        <v>15</v>
      </c>
      <c r="D276" s="191">
        <f t="shared" si="14"/>
        <v>1140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40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45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50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55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60</v>
      </c>
      <c r="B281" s="193">
        <f>'Données projet'!D254</f>
        <v>303</v>
      </c>
      <c r="C281" s="206">
        <v>20</v>
      </c>
      <c r="D281" s="191">
        <f t="shared" si="14"/>
        <v>6060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Cèdre de l'Atlas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30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35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40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45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51</v>
      </c>
      <c r="B306" s="193">
        <f>'Données projet'!D274</f>
        <v>170.93076923076924</v>
      </c>
      <c r="C306" s="204">
        <v>15</v>
      </c>
      <c r="D306" s="194">
        <f t="shared" si="15"/>
        <v>2563.9615384615386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56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61</v>
      </c>
      <c r="B308" s="193">
        <f>'Données projet'!D276</f>
        <v>94.76153846153845</v>
      </c>
      <c r="C308" s="204">
        <v>20</v>
      </c>
      <c r="D308" s="194">
        <f t="shared" si="15"/>
        <v>1895.2307692307691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67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73</v>
      </c>
      <c r="B310" s="193">
        <f>'Données projet'!D278</f>
        <v>93.584615384615375</v>
      </c>
      <c r="C310" s="204">
        <v>30</v>
      </c>
      <c r="D310" s="194">
        <f t="shared" si="15"/>
        <v>2807.5384615384614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79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85</v>
      </c>
      <c r="B312" s="193">
        <f>'Données projet'!D280</f>
        <v>85.207692307692298</v>
      </c>
      <c r="C312" s="204">
        <v>40</v>
      </c>
      <c r="D312" s="194">
        <f t="shared" si="15"/>
        <v>3408.3076923076919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91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97</v>
      </c>
      <c r="B314" s="193">
        <f>'Données projet'!D282</f>
        <v>79.669230769230765</v>
      </c>
      <c r="C314" s="204">
        <v>50</v>
      </c>
      <c r="D314" s="194">
        <f t="shared" si="15"/>
        <v>3983.4615384615381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103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109</v>
      </c>
      <c r="B316" s="193">
        <f>'Données projet'!D284</f>
        <v>80.653846153846146</v>
      </c>
      <c r="C316" s="204">
        <v>60</v>
      </c>
      <c r="D316" s="194">
        <f t="shared" si="15"/>
        <v>4839.2307692307686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115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121</v>
      </c>
      <c r="B318" s="193">
        <f>'Données projet'!D286</f>
        <v>207.07692307692307</v>
      </c>
      <c r="C318" s="204">
        <v>70</v>
      </c>
      <c r="D318" s="194">
        <f t="shared" si="15"/>
        <v>14495.384615384615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126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131</v>
      </c>
      <c r="B320" s="193">
        <f>'Données projet'!D288</f>
        <v>259.61538461538458</v>
      </c>
      <c r="C320" s="204">
        <v>90</v>
      </c>
      <c r="D320" s="194">
        <f t="shared" si="15"/>
        <v>23365.384615384613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2023-06-21T18:31:06Z</dcterms:modified>
</cp:coreProperties>
</file>