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abel Bas Carbone\2. Dossiers agences LBC\Albret-Garonne\ST SULPICE DE FALEYRENS (33) - SC Chateau Puy Barbey\Doc fin\"/>
    </mc:Choice>
  </mc:AlternateContent>
  <xr:revisionPtr revIDLastSave="0" documentId="13_ncr:1_{157ABB13-E770-4B91-8626-8098B64665F2}" xr6:coauthVersionLast="36" xr6:coauthVersionMax="36" xr10:uidLastSave="{00000000-0000-0000-0000-000000000000}"/>
  <bookViews>
    <workbookView xWindow="0" yWindow="0" windowWidth="28800" windowHeight="12615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  <definedName name="_xlnm.Print_Area" localSheetId="5">REE!$A$1:$M$56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51" i="2" l="1" a="1"/>
  <c r="AH151" i="2" s="1"/>
  <c r="AH62" i="2" a="1"/>
  <c r="AH62" i="2" s="1"/>
  <c r="AH199" i="2" a="1"/>
  <c r="AH199" i="2" s="1"/>
  <c r="AH163" i="2" a="1"/>
  <c r="AH163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M16" i="4" s="1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<sst xmlns="http://schemas.openxmlformats.org/spreadsheetml/2006/main" count="1170" uniqueCount="324">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</sst>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1.9836435394277165</c:v>
                </c:pt>
                <c:pt idx="2">
                  <c:v>2.6460023421856449</c:v>
                </c:pt>
                <c:pt idx="3">
                  <c:v>3.5304524244387623</c:v>
                </c:pt>
                <c:pt idx="4">
                  <c:v>4.7117535068135119</c:v>
                </c:pt>
                <c:pt idx="5">
                  <c:v>6.2899225336002047</c:v>
                </c:pt>
                <c:pt idx="6">
                  <c:v>8.3987954987029791</c:v>
                </c:pt>
                <c:pt idx="7">
                  <c:v>11.217500598345501</c:v>
                </c:pt>
                <c:pt idx="8">
                  <c:v>14.985835465986328</c:v>
                </c:pt>
                <c:pt idx="9">
                  <c:v>20.024880641319154</c:v>
                </c:pt>
                <c:pt idx="10">
                  <c:v>26.764637121198362</c:v>
                </c:pt>
                <c:pt idx="11">
                  <c:v>35.781087770767719</c:v>
                </c:pt>
                <c:pt idx="12">
                  <c:v>47.84590421134223</c:v>
                </c:pt>
                <c:pt idx="13">
                  <c:v>63.993124693660555</c:v>
                </c:pt>
                <c:pt idx="14">
                  <c:v>85.608611397485276</c:v>
                </c:pt>
                <c:pt idx="15">
                  <c:v>114.55008796447811</c:v>
                </c:pt>
                <c:pt idx="16">
                  <c:v>153.30823519537793</c:v>
                </c:pt>
                <c:pt idx="17">
                  <c:v>205.22292048606218</c:v>
                </c:pt>
                <c:pt idx="18">
                  <c:v>274.77347180146199</c:v>
                </c:pt>
                <c:pt idx="19">
                  <c:v>367.96840622773175</c:v>
                </c:pt>
                <c:pt idx="20">
                  <c:v>492.86875999415957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13" zoomScale="90" zoomScaleNormal="90" workbookViewId="0">
      <selection activeCell="J29" sqref="J29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9.3000000000000007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129</v>
      </c>
      <c r="C9" s="35">
        <v>1</v>
      </c>
      <c r="D9" s="36">
        <f t="shared" ref="D9:D18" si="0">C9*$C$5</f>
        <v>9.3000000000000007</v>
      </c>
      <c r="E9" s="37">
        <v>20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9.3000000000000007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Peuplier Robusta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20</v>
      </c>
      <c r="B36" s="63">
        <v>397</v>
      </c>
      <c r="C36" s="63">
        <v>1</v>
      </c>
      <c r="D36" s="63">
        <v>397</v>
      </c>
      <c r="E36" s="54">
        <v>0.7</v>
      </c>
      <c r="F36" s="54"/>
      <c r="G36" s="54">
        <v>0.3</v>
      </c>
      <c r="H36" s="54"/>
      <c r="I36" s="52">
        <f>IFERROR(B36/A36,"")</f>
        <v>19.850000000000001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/>
      <c r="B37" s="63"/>
      <c r="C37" s="63"/>
      <c r="D37" s="63"/>
      <c r="E37" s="54"/>
      <c r="F37" s="54"/>
      <c r="G37" s="54"/>
      <c r="H37" s="54"/>
      <c r="I37" s="56" t="str">
        <f t="shared" ref="I37:I55" si="1">IF(A37&lt;&gt;0,(B37-(B36-D36))/(A37-A36),"")</f>
        <v/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/>
      <c r="B38" s="63"/>
      <c r="C38" s="63"/>
      <c r="D38" s="63"/>
      <c r="E38" s="54"/>
      <c r="F38" s="54"/>
      <c r="G38" s="54"/>
      <c r="H38" s="54"/>
      <c r="I38" s="56" t="str">
        <f t="shared" si="1"/>
        <v/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/>
      <c r="B39" s="63"/>
      <c r="C39" s="63"/>
      <c r="D39" s="63"/>
      <c r="E39" s="54"/>
      <c r="F39" s="54"/>
      <c r="G39" s="54"/>
      <c r="H39" s="54"/>
      <c r="I39" s="52" t="str">
        <f t="shared" si="1"/>
        <v/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B18" sqref="B18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Peuplier Robusta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/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104.72098571815286</v>
      </c>
      <c r="T3" s="62">
        <f>IF('Données projet'!E9&gt;30,$R$33-$H$33,LOOKUP('Données projet'!$E$9,$A$3:$A$203,R3:R203)-LOOKUP('Données projet'!$E$9,$A$3:$A$203,$H$3:$H$203))</f>
        <v>517.31320443860409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19.850000000000001</v>
      </c>
      <c r="N4" s="14">
        <f>IF('Données projet'!$A$36&gt;35,N3+M4-V3,IF(A4&lt;'Données projet'!$A$36,$K$205^A4,IF(A4='Données projet'!$A$36,'Données projet'!$B$36,N3+M4-V3)))</f>
        <v>1.3487750552117679</v>
      </c>
      <c r="O4" s="14">
        <f>N4*VLOOKUP('Données projet'!$B$9,Paramètres!$A$1:$I$89,3,0)*VLOOKUP('Données projet'!$B$9,Paramètres!$A$1:$I$89,5,0)</f>
        <v>0.77220069460984131</v>
      </c>
      <c r="P4" s="14">
        <f>EXP(-1.0587+0.8836*LN(O4)+0.284)</f>
        <v>0.36673339501372809</v>
      </c>
      <c r="Q4" s="22">
        <f t="shared" ref="Q4:Q34" si="2">(O4+P4)*0.475*44/12</f>
        <v>1.9836435394277165</v>
      </c>
      <c r="R4" s="62">
        <f t="shared" si="0"/>
        <v>259.87253242831656</v>
      </c>
      <c r="S4" s="62">
        <f ca="1">AVERAGE(OFFSET($R$3,0,0,'Données projet'!$E$9+1,1))-AVERAGE(OFFSET($H$3,0,0,'Données projet'!$E$9+1,1))</f>
        <v>104.72098571815286</v>
      </c>
      <c r="T4" s="62">
        <f>$T$3</f>
        <v>517.31320443860409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19.850000000000001</v>
      </c>
      <c r="N5" s="14">
        <f>IF('Données projet'!$A$36&gt;35,N4+M5-V4,IF(A5&lt;'Données projet'!$A$36,$K$205^A5,IF(A5='Données projet'!$A$36,'Données projet'!$B$36,N4+M5-V4)))</f>
        <v>1.8191941495615076</v>
      </c>
      <c r="O5" s="14">
        <f>N5*VLOOKUP('Données projet'!$B$9,Paramètres!$A$1:$I$89,3,0)*VLOOKUP('Données projet'!$B$9,Paramètres!$A$1:$I$89,5,0)</f>
        <v>1.0415250345069542</v>
      </c>
      <c r="P5" s="14">
        <f t="shared" ref="P5:P68" si="33">EXP(-1.0587+0.8836*LN(O5)+0.284)</f>
        <v>0.47771076004939717</v>
      </c>
      <c r="Q5" s="22">
        <f t="shared" si="2"/>
        <v>2.6460023421856449</v>
      </c>
      <c r="R5" s="62">
        <f t="shared" si="0"/>
        <v>261.75711345329677</v>
      </c>
      <c r="S5" s="62">
        <f ca="1">AVERAGE(OFFSET($R$3,0,0,'Données projet'!$E$9+1,1))-AVERAGE(OFFSET($H$3,0,0,'Données projet'!$E$9+1,1))</f>
        <v>104.72098571815286</v>
      </c>
      <c r="T5" s="62">
        <f t="shared" ref="T5:T68" si="34">$T$3</f>
        <v>517.31320443860409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19.850000000000001</v>
      </c>
      <c r="N6" s="14">
        <f>IF('Données projet'!$A$36&gt;35,N5+M6-V5,IF(A6&lt;'Données projet'!$A$36,$K$205^A6,IF(A6='Données projet'!$A$36,'Données projet'!$B$36,N5+M6-V5)))</f>
        <v>2.4536836895157474</v>
      </c>
      <c r="O6" s="14">
        <f>N6*VLOOKUP('Données projet'!$B$9,Paramètres!$A$1:$I$89,3,0)*VLOOKUP('Données projet'!$B$9,Paramètres!$A$1:$I$89,5,0)</f>
        <v>1.4047829859215557</v>
      </c>
      <c r="P6" s="14">
        <f t="shared" si="33"/>
        <v>0.62227103767964775</v>
      </c>
      <c r="Q6" s="22">
        <f t="shared" si="2"/>
        <v>3.5304524244387623</v>
      </c>
      <c r="R6" s="62">
        <f t="shared" si="0"/>
        <v>263.86378575777206</v>
      </c>
      <c r="S6" s="62">
        <f ca="1">AVERAGE(OFFSET($R$3,0,0,'Données projet'!$E$9+1,1))-AVERAGE(OFFSET($H$3,0,0,'Données projet'!$E$9+1,1))</f>
        <v>104.72098571815286</v>
      </c>
      <c r="T6" s="62">
        <f t="shared" si="34"/>
        <v>517.31320443860409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19.850000000000001</v>
      </c>
      <c r="N7" s="14">
        <f>IF('Données projet'!$A$36&gt;35,N6+M7-V6,IF(A7&lt;'Données projet'!$A$36,$K$205^A7,IF(A7='Données projet'!$A$36,'Données projet'!$B$36,N6+M7-V6)))</f>
        <v>3.3094673537988171</v>
      </c>
      <c r="O7" s="14">
        <f>N7*VLOOKUP('Données projet'!$B$9,Paramètres!$A$1:$I$89,3,0)*VLOOKUP('Données projet'!$B$9,Paramètres!$A$1:$I$89,5,0)</f>
        <v>1.8947362493968989</v>
      </c>
      <c r="P7" s="14">
        <f t="shared" si="33"/>
        <v>0.81057676886923258</v>
      </c>
      <c r="Q7" s="22">
        <f t="shared" si="2"/>
        <v>4.7117535068135119</v>
      </c>
      <c r="R7" s="62">
        <f t="shared" si="0"/>
        <v>266.26730906236907</v>
      </c>
      <c r="S7" s="62">
        <f ca="1">AVERAGE(OFFSET($R$3,0,0,'Données projet'!$E$9+1,1))-AVERAGE(OFFSET($H$3,0,0,'Données projet'!$E$9+1,1))</f>
        <v>104.72098571815286</v>
      </c>
      <c r="T7" s="62">
        <f t="shared" si="34"/>
        <v>517.31320443860409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19.850000000000001</v>
      </c>
      <c r="N8" s="14">
        <f>IF('Données projet'!$A$36&gt;35,N7+M8-V7,IF(A8&lt;'Données projet'!$A$36,$K$205^A8,IF(A8='Données projet'!$A$36,'Données projet'!$B$36,N7+M8-V7)))</f>
        <v>4.4637270128415425</v>
      </c>
      <c r="O8" s="14">
        <f>N8*VLOOKUP('Données projet'!$B$9,Paramètres!$A$1:$I$89,3,0)*VLOOKUP('Données projet'!$B$9,Paramètres!$A$1:$I$89,5,0)</f>
        <v>2.55557298939204</v>
      </c>
      <c r="P8" s="14">
        <f t="shared" si="33"/>
        <v>1.0558657858808049</v>
      </c>
      <c r="Q8" s="22">
        <f t="shared" si="2"/>
        <v>6.2899225336002047</v>
      </c>
      <c r="R8" s="62">
        <f t="shared" si="0"/>
        <v>269.06770031137796</v>
      </c>
      <c r="S8" s="62">
        <f ca="1">AVERAGE(OFFSET($R$3,0,0,'Données projet'!$E$9+1,1))-AVERAGE(OFFSET($H$3,0,0,'Données projet'!$E$9+1,1))</f>
        <v>104.72098571815286</v>
      </c>
      <c r="T8" s="62">
        <f t="shared" si="34"/>
        <v>517.31320443860409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19.850000000000001</v>
      </c>
      <c r="N9" s="14">
        <f>IF('Données projet'!$A$36&gt;35,N8+M9-V8,IF(A9&lt;'Données projet'!$A$36,$K$205^A9,IF(A9='Données projet'!$A$36,'Données projet'!$B$36,N8+M9-V8)))</f>
        <v>6.020563648195612</v>
      </c>
      <c r="O9" s="14">
        <f>N9*VLOOKUP('Données projet'!$B$9,Paramètres!$A$1:$I$89,3,0)*VLOOKUP('Données projet'!$B$9,Paramètres!$A$1:$I$89,5,0)</f>
        <v>3.4468930998649516</v>
      </c>
      <c r="P9" s="14">
        <f t="shared" si="33"/>
        <v>1.3753818276200127</v>
      </c>
      <c r="Q9" s="22">
        <f t="shared" si="2"/>
        <v>8.3987954987029791</v>
      </c>
      <c r="R9" s="62">
        <f t="shared" si="0"/>
        <v>272.39879549870295</v>
      </c>
      <c r="S9" s="62">
        <f ca="1">AVERAGE(OFFSET($R$3,0,0,'Données projet'!$E$9+1,1))-AVERAGE(OFFSET($H$3,0,0,'Données projet'!$E$9+1,1))</f>
        <v>104.72098571815286</v>
      </c>
      <c r="T9" s="62">
        <f t="shared" si="34"/>
        <v>517.31320443860409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19.850000000000001</v>
      </c>
      <c r="N10" s="14">
        <f>IF('Données projet'!$A$36&gt;35,N9+M10-V9,IF(A10&lt;'Données projet'!$A$36,$K$205^A10,IF(A10='Données projet'!$A$36,'Données projet'!$B$36,N9+M10-V9)))</f>
        <v>8.1203860670009984</v>
      </c>
      <c r="O10" s="14">
        <f>N10*VLOOKUP('Données projet'!$B$9,Paramètres!$A$1:$I$89,3,0)*VLOOKUP('Données projet'!$B$9,Paramètres!$A$1:$I$89,5,0)</f>
        <v>4.6490834310794114</v>
      </c>
      <c r="P10" s="14">
        <f t="shared" si="33"/>
        <v>1.7915867689275748</v>
      </c>
      <c r="Q10" s="22">
        <f t="shared" si="2"/>
        <v>11.217500598345501</v>
      </c>
      <c r="R10" s="62">
        <f t="shared" si="0"/>
        <v>276.43972282056774</v>
      </c>
      <c r="S10" s="62">
        <f ca="1">AVERAGE(OFFSET($R$3,0,0,'Données projet'!$E$9+1,1))-AVERAGE(OFFSET($H$3,0,0,'Données projet'!$E$9+1,1))</f>
        <v>104.72098571815286</v>
      </c>
      <c r="T10" s="62">
        <f t="shared" si="34"/>
        <v>517.31320443860409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19.850000000000001</v>
      </c>
      <c r="N11" s="14">
        <f>IF('Données projet'!$A$36&gt;35,N10+M11-V10,IF(A11&lt;'Données projet'!$A$36,$K$205^A11,IF(A11='Données projet'!$A$36,'Données projet'!$B$36,N10+M11-V10)))</f>
        <v>10.952574165860145</v>
      </c>
      <c r="O11" s="14">
        <f>N11*VLOOKUP('Données projet'!$B$9,Paramètres!$A$1:$I$89,3,0)*VLOOKUP('Données projet'!$B$9,Paramètres!$A$1:$I$89,5,0)</f>
        <v>6.27056776143825</v>
      </c>
      <c r="P11" s="14">
        <f t="shared" si="33"/>
        <v>2.3337396831472028</v>
      </c>
      <c r="Q11" s="22">
        <f t="shared" si="2"/>
        <v>14.985835465986328</v>
      </c>
      <c r="R11" s="62">
        <f t="shared" si="0"/>
        <v>281.43027991043078</v>
      </c>
      <c r="S11" s="62">
        <f ca="1">AVERAGE(OFFSET($R$3,0,0,'Données projet'!$E$9+1,1))-AVERAGE(OFFSET($H$3,0,0,'Données projet'!$E$9+1,1))</f>
        <v>104.72098571815286</v>
      </c>
      <c r="T11" s="62">
        <f t="shared" si="34"/>
        <v>517.31320443860409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19.850000000000001</v>
      </c>
      <c r="N12" s="14">
        <f>IF('Données projet'!$A$36&gt;35,N11+M12-V11,IF(A12&lt;'Données projet'!$A$36,$K$205^A12,IF(A12='Données projet'!$A$36,'Données projet'!$B$36,N11+M12-V11)))</f>
        <v>14.772558825269</v>
      </c>
      <c r="O12" s="14">
        <f>N12*VLOOKUP('Données projet'!$B$9,Paramètres!$A$1:$I$89,3,0)*VLOOKUP('Données projet'!$B$9,Paramètres!$A$1:$I$89,5,0)</f>
        <v>8.4575853786430084</v>
      </c>
      <c r="P12" s="14">
        <f t="shared" si="33"/>
        <v>3.0399537455593793</v>
      </c>
      <c r="Q12" s="22">
        <f t="shared" si="2"/>
        <v>20.024880641319154</v>
      </c>
      <c r="R12" s="62">
        <f t="shared" si="0"/>
        <v>287.69154730798584</v>
      </c>
      <c r="S12" s="62">
        <f ca="1">AVERAGE(OFFSET($R$3,0,0,'Données projet'!$E$9+1,1))-AVERAGE(OFFSET($H$3,0,0,'Données projet'!$E$9+1,1))</f>
        <v>104.72098571815286</v>
      </c>
      <c r="T12" s="62">
        <f t="shared" si="34"/>
        <v>517.31320443860409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19.850000000000001</v>
      </c>
      <c r="N13" s="14">
        <f>IF('Données projet'!$A$36&gt;35,N12+M13-V12,IF(A13&lt;'Données projet'!$A$36,$K$205^A13,IF(A13='Données projet'!$A$36,'Données projet'!$B$36,N12+M13-V12)))</f>
        <v>19.924858845171286</v>
      </c>
      <c r="O13" s="14">
        <f>N13*VLOOKUP('Données projet'!$B$9,Paramètres!$A$1:$I$89,3,0)*VLOOKUP('Données projet'!$B$9,Paramètres!$A$1:$I$89,5,0)</f>
        <v>11.407380186037466</v>
      </c>
      <c r="P13" s="14">
        <f t="shared" si="33"/>
        <v>3.959875577330016</v>
      </c>
      <c r="Q13" s="22">
        <f t="shared" si="2"/>
        <v>26.764637121198362</v>
      </c>
      <c r="R13" s="62">
        <f t="shared" si="0"/>
        <v>295.65352601008721</v>
      </c>
      <c r="S13" s="62">
        <f ca="1">AVERAGE(OFFSET($R$3,0,0,'Données projet'!$E$9+1,1))-AVERAGE(OFFSET($H$3,0,0,'Données projet'!$E$9+1,1))</f>
        <v>104.72098571815286</v>
      </c>
      <c r="T13" s="62">
        <f t="shared" si="34"/>
        <v>517.31320443860409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19.850000000000001</v>
      </c>
      <c r="N14" s="14">
        <f>IF('Données projet'!$A$36&gt;35,N13+M14-V13,IF(A14&lt;'Données projet'!$A$36,$K$205^A14,IF(A14='Données projet'!$A$36,'Données projet'!$B$36,N13+M14-V13)))</f>
        <v>26.874152588982582</v>
      </c>
      <c r="O14" s="14">
        <f>N14*VLOOKUP('Données projet'!$B$9,Paramètres!$A$1:$I$89,3,0)*VLOOKUP('Données projet'!$B$9,Paramètres!$A$1:$I$89,5,0)</f>
        <v>15.385989840244308</v>
      </c>
      <c r="P14" s="14">
        <f t="shared" si="33"/>
        <v>5.1581753869907452</v>
      </c>
      <c r="Q14" s="22">
        <f t="shared" si="2"/>
        <v>35.781087770767719</v>
      </c>
      <c r="R14" s="62">
        <f t="shared" si="0"/>
        <v>305.89219888187887</v>
      </c>
      <c r="S14" s="62">
        <f ca="1">AVERAGE(OFFSET($R$3,0,0,'Données projet'!$E$9+1,1))-AVERAGE(OFFSET($H$3,0,0,'Données projet'!$E$9+1,1))</f>
        <v>104.72098571815286</v>
      </c>
      <c r="T14" s="62">
        <f t="shared" si="34"/>
        <v>517.31320443860409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19.850000000000001</v>
      </c>
      <c r="N15" s="14">
        <f>IF('Données projet'!$A$36&gt;35,N14+M15-V14,IF(A15&lt;'Données projet'!$A$36,$K$205^A15,IF(A15='Données projet'!$A$36,'Données projet'!$B$36,N14+M15-V14)))</f>
        <v>36.247186641974459</v>
      </c>
      <c r="O15" s="14">
        <f>N15*VLOOKUP('Données projet'!$B$9,Paramètres!$A$1:$I$89,3,0)*VLOOKUP('Données projet'!$B$9,Paramètres!$A$1:$I$89,5,0)</f>
        <v>20.752239296263216</v>
      </c>
      <c r="P15" s="14">
        <f t="shared" si="33"/>
        <v>6.7190932652729956</v>
      </c>
      <c r="Q15" s="22">
        <f t="shared" si="2"/>
        <v>47.84590421134223</v>
      </c>
      <c r="R15" s="62">
        <f t="shared" si="0"/>
        <v>319.17923754467552</v>
      </c>
      <c r="S15" s="62">
        <f ca="1">AVERAGE(OFFSET($R$3,0,0,'Données projet'!$E$9+1,1))-AVERAGE(OFFSET($H$3,0,0,'Données projet'!$E$9+1,1))</f>
        <v>104.72098571815286</v>
      </c>
      <c r="T15" s="62">
        <f t="shared" si="34"/>
        <v>517.31320443860409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19.850000000000001</v>
      </c>
      <c r="N16" s="14">
        <f>IF('Données projet'!$A$36&gt;35,N15+M16-V15,IF(A16&lt;'Données projet'!$A$36,$K$205^A16,IF(A16='Données projet'!$A$36,'Données projet'!$B$36,N15+M16-V15)))</f>
        <v>48.889301164300356</v>
      </c>
      <c r="O16" s="14">
        <f>N16*VLOOKUP('Données projet'!$B$9,Paramètres!$A$1:$I$89,3,0)*VLOOKUP('Données projet'!$B$9,Paramètres!$A$1:$I$89,5,0)</f>
        <v>27.99010270258524</v>
      </c>
      <c r="P16" s="14">
        <f t="shared" si="33"/>
        <v>8.7523612363586221</v>
      </c>
      <c r="Q16" s="22">
        <f t="shared" si="2"/>
        <v>63.993124693660555</v>
      </c>
      <c r="R16" s="62">
        <f t="shared" si="0"/>
        <v>336.54868024921609</v>
      </c>
      <c r="S16" s="62">
        <f ca="1">AVERAGE(OFFSET($R$3,0,0,'Données projet'!$E$9+1,1))-AVERAGE(OFFSET($H$3,0,0,'Données projet'!$E$9+1,1))</f>
        <v>104.72098571815286</v>
      </c>
      <c r="T16" s="62">
        <f t="shared" si="34"/>
        <v>517.31320443860409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19.850000000000001</v>
      </c>
      <c r="N17" s="14">
        <f>IF('Données projet'!$A$36&gt;35,N16+M17-V16,IF(A17&lt;'Données projet'!$A$36,$K$205^A17,IF(A17='Données projet'!$A$36,'Données projet'!$B$36,N16+M17-V16)))</f>
        <v>65.940669877143975</v>
      </c>
      <c r="O17" s="14">
        <f>N17*VLOOKUP('Données projet'!$B$9,Paramètres!$A$1:$I$89,3,0)*VLOOKUP('Données projet'!$B$9,Paramètres!$A$1:$I$89,5,0)</f>
        <v>37.752352318062471</v>
      </c>
      <c r="P17" s="14">
        <f t="shared" si="33"/>
        <v>11.400917383842959</v>
      </c>
      <c r="Q17" s="22">
        <f t="shared" si="2"/>
        <v>85.608611397485276</v>
      </c>
      <c r="R17" s="62">
        <f t="shared" si="0"/>
        <v>359.38638917526305</v>
      </c>
      <c r="S17" s="62">
        <f ca="1">AVERAGE(OFFSET($R$3,0,0,'Données projet'!$E$9+1,1))-AVERAGE(OFFSET($H$3,0,0,'Données projet'!$E$9+1,1))</f>
        <v>104.72098571815286</v>
      </c>
      <c r="T17" s="62">
        <f t="shared" si="34"/>
        <v>517.31320443860409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19.850000000000001</v>
      </c>
      <c r="N18" s="14">
        <f>IF('Données projet'!$A$36&gt;35,N17+M18-V17,IF(A18&lt;'Données projet'!$A$36,$K$205^A18,IF(A18='Données projet'!$A$36,'Données projet'!$B$36,N17+M18-V17)))</f>
        <v>88.939130654245801</v>
      </c>
      <c r="O18" s="14">
        <f>N18*VLOOKUP('Données projet'!$B$9,Paramètres!$A$1:$I$89,3,0)*VLOOKUP('Données projet'!$B$9,Paramètres!$A$1:$I$89,5,0)</f>
        <v>50.919431082168806</v>
      </c>
      <c r="P18" s="14">
        <f t="shared" si="33"/>
        <v>14.85095435198131</v>
      </c>
      <c r="Q18" s="22">
        <f t="shared" si="2"/>
        <v>114.55008796447811</v>
      </c>
      <c r="R18" s="62">
        <f t="shared" si="0"/>
        <v>389.55008796447811</v>
      </c>
      <c r="S18" s="62">
        <f ca="1">AVERAGE(OFFSET($R$3,0,0,'Données projet'!$E$9+1,1))-AVERAGE(OFFSET($H$3,0,0,'Données projet'!$E$9+1,1))</f>
        <v>104.72098571815286</v>
      </c>
      <c r="T18" s="62">
        <f t="shared" si="34"/>
        <v>517.31320443860409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19.850000000000001</v>
      </c>
      <c r="N19" s="14">
        <f>IF('Données projet'!$A$36&gt;35,N18+M19-V18,IF(A19&lt;'Données projet'!$A$36,$K$205^A19,IF(A19='Données projet'!$A$36,'Données projet'!$B$36,N18+M19-V18)))</f>
        <v>119.95888085866706</v>
      </c>
      <c r="O19" s="14">
        <f>N19*VLOOKUP('Données projet'!$B$9,Paramètres!$A$1:$I$89,3,0)*VLOOKUP('Données projet'!$B$9,Paramètres!$A$1:$I$89,5,0)</f>
        <v>68.678858469204059</v>
      </c>
      <c r="P19" s="14">
        <f t="shared" si="33"/>
        <v>19.345008628620594</v>
      </c>
      <c r="Q19" s="22">
        <f t="shared" si="2"/>
        <v>153.30823519537793</v>
      </c>
      <c r="R19" s="62">
        <f t="shared" si="0"/>
        <v>429.53045741760013</v>
      </c>
      <c r="S19" s="62">
        <f ca="1">AVERAGE(OFFSET($R$3,0,0,'Données projet'!$E$9+1,1))-AVERAGE(OFFSET($H$3,0,0,'Données projet'!$E$9+1,1))</f>
        <v>104.72098571815286</v>
      </c>
      <c r="T19" s="62">
        <f t="shared" si="34"/>
        <v>517.31320443860409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19.850000000000001</v>
      </c>
      <c r="N20" s="14">
        <f>IF('Données projet'!$A$36&gt;35,N19+M20-V19,IF(A20&lt;'Données projet'!$A$36,$K$205^A20,IF(A20='Données projet'!$A$36,'Données projet'!$B$36,N19+M20-V19)))</f>
        <v>161.79754615329054</v>
      </c>
      <c r="O20" s="14">
        <f>N20*VLOOKUP('Données projet'!$B$9,Paramètres!$A$1:$I$89,3,0)*VLOOKUP('Données projet'!$B$9,Paramètres!$A$1:$I$89,5,0)</f>
        <v>92.632331123681894</v>
      </c>
      <c r="P20" s="14">
        <f t="shared" si="33"/>
        <v>25.199010782191127</v>
      </c>
      <c r="Q20" s="22">
        <f t="shared" si="2"/>
        <v>205.22292048606218</v>
      </c>
      <c r="R20" s="62">
        <f t="shared" si="0"/>
        <v>482.66736493050666</v>
      </c>
      <c r="S20" s="62">
        <f ca="1">AVERAGE(OFFSET($R$3,0,0,'Données projet'!$E$9+1,1))-AVERAGE(OFFSET($H$3,0,0,'Données projet'!$E$9+1,1))</f>
        <v>104.72098571815286</v>
      </c>
      <c r="T20" s="62">
        <f t="shared" si="34"/>
        <v>517.31320443860409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19.850000000000001</v>
      </c>
      <c r="N21" s="14">
        <f>IF('Données projet'!$A$36&gt;35,N20+M21-V20,IF(A21&lt;'Données projet'!$A$36,$K$205^A21,IF(A21='Données projet'!$A$36,'Données projet'!$B$36,N20+M21-V20)))</f>
        <v>218.22849424603302</v>
      </c>
      <c r="O21" s="14">
        <f>N21*VLOOKUP('Données projet'!$B$9,Paramètres!$A$1:$I$89,3,0)*VLOOKUP('Données projet'!$B$9,Paramètres!$A$1:$I$89,5,0)</f>
        <v>124.94017752573883</v>
      </c>
      <c r="P21" s="14">
        <f t="shared" si="33"/>
        <v>32.824495278928339</v>
      </c>
      <c r="Q21" s="22">
        <f t="shared" si="2"/>
        <v>274.77347180146199</v>
      </c>
      <c r="R21" s="62">
        <f t="shared" si="0"/>
        <v>553.44013846812868</v>
      </c>
      <c r="S21" s="62">
        <f ca="1">AVERAGE(OFFSET($R$3,0,0,'Données projet'!$E$9+1,1))-AVERAGE(OFFSET($H$3,0,0,'Données projet'!$E$9+1,1))</f>
        <v>104.72098571815286</v>
      </c>
      <c r="T21" s="62">
        <f t="shared" si="34"/>
        <v>517.31320443860409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19.850000000000001</v>
      </c>
      <c r="N22" s="14">
        <f>IF('Données projet'!$A$36&gt;35,N21+M22-V21,IF(A22&lt;'Données projet'!$A$36,$K$205^A22,IF(A22='Données projet'!$A$36,'Données projet'!$B$36,N21+M22-V21)))</f>
        <v>294.34114937547417</v>
      </c>
      <c r="O22" s="14">
        <f>N22*VLOOKUP('Données projet'!$B$9,Paramètres!$A$1:$I$89,3,0)*VLOOKUP('Données projet'!$B$9,Paramètres!$A$1:$I$89,5,0)</f>
        <v>168.51619484044647</v>
      </c>
      <c r="P22" s="14">
        <f t="shared" si="33"/>
        <v>42.75753122332295</v>
      </c>
      <c r="Q22" s="22">
        <f t="shared" si="2"/>
        <v>367.96840622773175</v>
      </c>
      <c r="R22" s="62">
        <f t="shared" si="0"/>
        <v>647.85729511662066</v>
      </c>
      <c r="S22" s="62">
        <f ca="1">AVERAGE(OFFSET($R$3,0,0,'Données projet'!$E$9+1,1))-AVERAGE(OFFSET($H$3,0,0,'Données projet'!$E$9+1,1))</f>
        <v>104.72098571815286</v>
      </c>
      <c r="T22" s="62">
        <f t="shared" si="34"/>
        <v>517.31320443860409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397</v>
      </c>
      <c r="L23" s="13">
        <f>VLOOKUP(A23,'Données projet'!$A$35:$I$55,9,0)</f>
        <v>19.850000000000001</v>
      </c>
      <c r="M23" s="13">
        <f t="array" ref="M23">INDEX(L:L,MIN(IF(ISNUMBER(L23:L219),ROW(L23:L219),"")))</f>
        <v>19.850000000000001</v>
      </c>
      <c r="N23" s="14">
        <f>IF('Données projet'!$A$36&gt;35,N22+M23-V22,IF(A23&lt;'Données projet'!$A$36,$K$205^A23,IF(A23='Données projet'!$A$36,'Données projet'!$B$36,N22+M23-V22)))</f>
        <v>397</v>
      </c>
      <c r="O23" s="14">
        <f>N23*VLOOKUP('Données projet'!$B$9,Paramètres!$A$1:$I$89,3,0)*VLOOKUP('Données projet'!$B$9,Paramètres!$A$1:$I$89,5,0)</f>
        <v>227.29043999999999</v>
      </c>
      <c r="P23" s="14">
        <f t="shared" si="33"/>
        <v>55.696407843536626</v>
      </c>
      <c r="Q23" s="22">
        <f t="shared" si="2"/>
        <v>492.86875999415957</v>
      </c>
      <c r="R23" s="62">
        <f t="shared" si="0"/>
        <v>773.97987110527072</v>
      </c>
      <c r="S23" s="62">
        <f ca="1">AVERAGE(OFFSET($R$3,0,0,'Données projet'!$E$9+1,1))-AVERAGE(OFFSET($H$3,0,0,'Données projet'!$E$9+1,1))</f>
        <v>104.72098571815286</v>
      </c>
      <c r="T23" s="62">
        <f t="shared" si="34"/>
        <v>517.31320443860409</v>
      </c>
      <c r="U23" s="16">
        <f>IF(ISNA(VLOOKUP(A23,'Données projet'!$A$35:$I$55,3,0)),0,VLOOKUP(A23,'Données projet'!$A$35:$I$55,3,0))</f>
        <v>1</v>
      </c>
      <c r="V23" s="16">
        <f>IF(ISNA(VLOOKUP(A23,'Données projet'!$A$35:$I$55,4,0)),0,VLOOKUP(A23,'Données projet'!$A$35:$I$55,4,0))</f>
        <v>397</v>
      </c>
      <c r="W23" s="17">
        <f>IF(ISNA(VLOOKUP(A23,'Données projet'!$A$35:$I$55,5,0)),0%,VLOOKUP(A23,'Données projet'!$A$35:$I$55,5,0)*VLOOKUP('Données projet'!$B$9,Paramètres!$A$1:$I$89,7,0))</f>
        <v>0.42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0.3</v>
      </c>
      <c r="Z23" s="23">
        <f>EXP(-LN(2)/35)*Z22+(1-EXP(-LN(2)/35))/(LN(2)/35)*V23*W23*VLOOKUP('Données projet'!$B$9,Paramètres!$A$1:$I$89,3,0)*0.475*44/12</f>
        <v>105.53039656782471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64.336394271750322</v>
      </c>
      <c r="AC23" s="24">
        <f t="shared" si="3"/>
        <v>169.86679083957503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0</v>
      </c>
      <c r="N24" s="14">
        <f>IF('Données projet'!$A$36&gt;35,N23+M24-V23,IF(A24&lt;'Données projet'!$A$36,$K$205^A24,IF(A24='Données projet'!$A$36,'Données projet'!$B$36,N23+M24-V23)))</f>
        <v>0</v>
      </c>
      <c r="O24" s="14">
        <f>N24*VLOOKUP('Données projet'!$B$9,Paramètres!$A$1:$I$89,3,0)*VLOOKUP('Données projet'!$B$9,Paramètres!$A$1:$I$89,5,0)</f>
        <v>0</v>
      </c>
      <c r="P24" s="14" t="e">
        <f t="shared" si="33"/>
        <v>#NUM!</v>
      </c>
      <c r="Q24" s="22" t="e">
        <f t="shared" si="2"/>
        <v>#NUM!</v>
      </c>
      <c r="R24" s="62" t="e">
        <f t="shared" si="0"/>
        <v>#NUM!</v>
      </c>
      <c r="S24" s="62">
        <f ca="1">AVERAGE(OFFSET($R$3,0,0,'Données projet'!$E$9+1,1))-AVERAGE(OFFSET($H$3,0,0,'Données projet'!$E$9+1,1))</f>
        <v>104.72098571815286</v>
      </c>
      <c r="T24" s="62">
        <f t="shared" si="34"/>
        <v>517.31320443860409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103.46100985831585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45.492700666646009</v>
      </c>
      <c r="AC24" s="24">
        <f t="shared" si="3"/>
        <v>148.95371052496185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0</v>
      </c>
      <c r="N25" s="14">
        <f>IF('Données projet'!$A$36&gt;35,N24+M25-V24,IF(A25&lt;'Données projet'!$A$36,$K$205^A25,IF(A25='Données projet'!$A$36,'Données projet'!$B$36,N24+M25-V24)))</f>
        <v>0</v>
      </c>
      <c r="O25" s="14">
        <f>N25*VLOOKUP('Données projet'!$B$9,Paramètres!$A$1:$I$89,3,0)*VLOOKUP('Données projet'!$B$9,Paramètres!$A$1:$I$89,5,0)</f>
        <v>0</v>
      </c>
      <c r="P25" s="14" t="e">
        <f t="shared" si="33"/>
        <v>#NUM!</v>
      </c>
      <c r="Q25" s="22" t="e">
        <f t="shared" si="2"/>
        <v>#NUM!</v>
      </c>
      <c r="R25" s="62" t="e">
        <f t="shared" si="0"/>
        <v>#NUM!</v>
      </c>
      <c r="S25" s="62">
        <f ca="1">AVERAGE(OFFSET($R$3,0,0,'Données projet'!$E$9+1,1))-AVERAGE(OFFSET($H$3,0,0,'Données projet'!$E$9+1,1))</f>
        <v>104.72098571815286</v>
      </c>
      <c r="T25" s="62">
        <f t="shared" si="34"/>
        <v>517.31320443860409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101.43220255997919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32.168197135875168</v>
      </c>
      <c r="AC25" s="24">
        <f t="shared" si="3"/>
        <v>133.60039969585435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0</v>
      </c>
      <c r="N26" s="14">
        <f>IF('Données projet'!$A$36&gt;35,N25+M26-V25,IF(A26&lt;'Données projet'!$A$36,$K$205^A26,IF(A26='Données projet'!$A$36,'Données projet'!$B$36,N25+M26-V25)))</f>
        <v>0</v>
      </c>
      <c r="O26" s="14">
        <f>N26*VLOOKUP('Données projet'!$B$9,Paramètres!$A$1:$I$89,3,0)*VLOOKUP('Données projet'!$B$9,Paramètres!$A$1:$I$89,5,0)</f>
        <v>0</v>
      </c>
      <c r="P26" s="14" t="e">
        <f t="shared" si="33"/>
        <v>#NUM!</v>
      </c>
      <c r="Q26" s="22" t="e">
        <f t="shared" si="2"/>
        <v>#NUM!</v>
      </c>
      <c r="R26" s="62" t="e">
        <f t="shared" si="0"/>
        <v>#NUM!</v>
      </c>
      <c r="S26" s="62">
        <f ca="1">AVERAGE(OFFSET($R$3,0,0,'Données projet'!$E$9+1,1))-AVERAGE(OFFSET($H$3,0,0,'Données projet'!$E$9+1,1))</f>
        <v>104.72098571815286</v>
      </c>
      <c r="T26" s="62">
        <f t="shared" si="34"/>
        <v>517.31320443860409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99.443178935312645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22.746350333323008</v>
      </c>
      <c r="AC26" s="24">
        <f t="shared" si="3"/>
        <v>122.18952926863565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0</v>
      </c>
      <c r="N27" s="14">
        <f>IF('Données projet'!$A$36&gt;35,N26+M27-V26,IF(A27&lt;'Données projet'!$A$36,$K$205^A27,IF(A27='Données projet'!$A$36,'Données projet'!$B$36,N26+M27-V26)))</f>
        <v>0</v>
      </c>
      <c r="O27" s="14">
        <f>N27*VLOOKUP('Données projet'!$B$9,Paramètres!$A$1:$I$89,3,0)*VLOOKUP('Données projet'!$B$9,Paramètres!$A$1:$I$89,5,0)</f>
        <v>0</v>
      </c>
      <c r="P27" s="14" t="e">
        <f t="shared" si="33"/>
        <v>#NUM!</v>
      </c>
      <c r="Q27" s="22" t="e">
        <f t="shared" si="2"/>
        <v>#NUM!</v>
      </c>
      <c r="R27" s="62" t="e">
        <f t="shared" si="0"/>
        <v>#NUM!</v>
      </c>
      <c r="S27" s="62">
        <f ca="1">AVERAGE(OFFSET($R$3,0,0,'Données projet'!$E$9+1,1))-AVERAGE(OFFSET($H$3,0,0,'Données projet'!$E$9+1,1))</f>
        <v>104.72098571815286</v>
      </c>
      <c r="T27" s="62">
        <f t="shared" si="34"/>
        <v>517.31320443860409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97.493158850741196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16.084098567937584</v>
      </c>
      <c r="AC27" s="24">
        <f t="shared" si="3"/>
        <v>113.57725741867878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0</v>
      </c>
      <c r="N28" s="14">
        <f>IF('Données projet'!$A$36&gt;35,N27+M28-V27,IF(A28&lt;'Données projet'!$A$36,$K$205^A28,IF(A28='Données projet'!$A$36,'Données projet'!$B$36,N27+M28-V27)))</f>
        <v>0</v>
      </c>
      <c r="O28" s="14">
        <f>N28*VLOOKUP('Données projet'!$B$9,Paramètres!$A$1:$I$89,3,0)*VLOOKUP('Données projet'!$B$9,Paramètres!$A$1:$I$89,5,0)</f>
        <v>0</v>
      </c>
      <c r="P28" s="14" t="e">
        <f t="shared" si="33"/>
        <v>#NUM!</v>
      </c>
      <c r="Q28" s="22" t="e">
        <f t="shared" si="2"/>
        <v>#NUM!</v>
      </c>
      <c r="R28" s="62" t="e">
        <f t="shared" si="0"/>
        <v>#NUM!</v>
      </c>
      <c r="S28" s="62">
        <f ca="1">AVERAGE(OFFSET($R$3,0,0,'Données projet'!$E$9+1,1))-AVERAGE(OFFSET($H$3,0,0,'Données projet'!$E$9+1,1))</f>
        <v>104.72098571815286</v>
      </c>
      <c r="T28" s="62">
        <f t="shared" si="34"/>
        <v>517.31320443860409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95.581377470633385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11.373175166661504</v>
      </c>
      <c r="AC28" s="24">
        <f t="shared" si="3"/>
        <v>106.95455263729488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0</v>
      </c>
      <c r="N29" s="14">
        <f>IF('Données projet'!$A$36&gt;35,N28+M29-V28,IF(A29&lt;'Données projet'!$A$36,$K$205^A29,IF(A29='Données projet'!$A$36,'Données projet'!$B$36,N28+M29-V28)))</f>
        <v>0</v>
      </c>
      <c r="O29" s="14">
        <f>N29*VLOOKUP('Données projet'!$B$9,Paramètres!$A$1:$I$89,3,0)*VLOOKUP('Données projet'!$B$9,Paramètres!$A$1:$I$89,5,0)</f>
        <v>0</v>
      </c>
      <c r="P29" s="14" t="e">
        <f t="shared" si="33"/>
        <v>#NUM!</v>
      </c>
      <c r="Q29" s="22" t="e">
        <f t="shared" si="2"/>
        <v>#NUM!</v>
      </c>
      <c r="R29" s="62" t="e">
        <f t="shared" si="0"/>
        <v>#NUM!</v>
      </c>
      <c r="S29" s="62">
        <f ca="1">AVERAGE(OFFSET($R$3,0,0,'Données projet'!$E$9+1,1))-AVERAGE(OFFSET($H$3,0,0,'Données projet'!$E$9+1,1))</f>
        <v>104.72098571815286</v>
      </c>
      <c r="T29" s="62">
        <f t="shared" si="34"/>
        <v>517.31320443860409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93.707084957317988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8.042049283968792</v>
      </c>
      <c r="AC29" s="24">
        <f t="shared" si="3"/>
        <v>101.74913424128678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0</v>
      </c>
      <c r="N30" s="14">
        <f>IF('Données projet'!$A$36&gt;35,N29+M30-V29,IF(A30&lt;'Données projet'!$A$36,$K$205^A30,IF(A30='Données projet'!$A$36,'Données projet'!$B$36,N29+M30-V29)))</f>
        <v>0</v>
      </c>
      <c r="O30" s="14">
        <f>N30*VLOOKUP('Données projet'!$B$9,Paramètres!$A$1:$I$89,3,0)*VLOOKUP('Données projet'!$B$9,Paramètres!$A$1:$I$89,5,0)</f>
        <v>0</v>
      </c>
      <c r="P30" s="14" t="e">
        <f t="shared" si="33"/>
        <v>#NUM!</v>
      </c>
      <c r="Q30" s="22" t="e">
        <f t="shared" si="2"/>
        <v>#NUM!</v>
      </c>
      <c r="R30" s="62" t="e">
        <f t="shared" si="0"/>
        <v>#NUM!</v>
      </c>
      <c r="S30" s="62">
        <f ca="1">AVERAGE(OFFSET($R$3,0,0,'Données projet'!$E$9+1,1))-AVERAGE(OFFSET($H$3,0,0,'Données projet'!$E$9+1,1))</f>
        <v>104.72098571815286</v>
      </c>
      <c r="T30" s="62">
        <f t="shared" si="34"/>
        <v>517.31320443860409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91.86954617698315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5.686587583330752</v>
      </c>
      <c r="AC30" s="24">
        <f t="shared" si="3"/>
        <v>97.556133760313898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0</v>
      </c>
      <c r="N31" s="14">
        <f>IF('Données projet'!$A$36&gt;35,N30+M31-V30,IF(A31&lt;'Données projet'!$A$36,$K$205^A31,IF(A31='Données projet'!$A$36,'Données projet'!$B$36,N30+M31-V30)))</f>
        <v>0</v>
      </c>
      <c r="O31" s="14">
        <f>N31*VLOOKUP('Données projet'!$B$9,Paramètres!$A$1:$I$89,3,0)*VLOOKUP('Données projet'!$B$9,Paramètres!$A$1:$I$89,5,0)</f>
        <v>0</v>
      </c>
      <c r="P31" s="14" t="e">
        <f t="shared" si="33"/>
        <v>#NUM!</v>
      </c>
      <c r="Q31" s="22" t="e">
        <f t="shared" si="2"/>
        <v>#NUM!</v>
      </c>
      <c r="R31" s="62" t="e">
        <f t="shared" si="0"/>
        <v>#NUM!</v>
      </c>
      <c r="S31" s="62">
        <f ca="1">AVERAGE(OFFSET($R$3,0,0,'Données projet'!$E$9+1,1))-AVERAGE(OFFSET($H$3,0,0,'Données projet'!$E$9+1,1))</f>
        <v>104.72098571815286</v>
      </c>
      <c r="T31" s="62">
        <f t="shared" si="34"/>
        <v>517.31320443860409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90.068040411342693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4.021024641984396</v>
      </c>
      <c r="AC31" s="24">
        <f t="shared" si="3"/>
        <v>94.08906505332709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0</v>
      </c>
      <c r="N32" s="14">
        <f>IF('Données projet'!$A$36&gt;35,N31+M32-V31,IF(A32&lt;'Données projet'!$A$36,$K$205^A32,IF(A32='Données projet'!$A$36,'Données projet'!$B$36,N31+M32-V31)))</f>
        <v>0</v>
      </c>
      <c r="O32" s="14">
        <f>N32*VLOOKUP('Données projet'!$B$9,Paramètres!$A$1:$I$89,3,0)*VLOOKUP('Données projet'!$B$9,Paramètres!$A$1:$I$89,5,0)</f>
        <v>0</v>
      </c>
      <c r="P32" s="14" t="e">
        <f t="shared" si="33"/>
        <v>#NUM!</v>
      </c>
      <c r="Q32" s="22" t="e">
        <f t="shared" si="2"/>
        <v>#NUM!</v>
      </c>
      <c r="R32" s="62" t="e">
        <f t="shared" si="0"/>
        <v>#NUM!</v>
      </c>
      <c r="S32" s="62">
        <f ca="1">AVERAGE(OFFSET($R$3,0,0,'Données projet'!$E$9+1,1))-AVERAGE(OFFSET($H$3,0,0,'Données projet'!$E$9+1,1))</f>
        <v>104.72098571815286</v>
      </c>
      <c r="T32" s="62">
        <f t="shared" si="34"/>
        <v>517.31320443860409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88.30186107495642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2.843293791665376</v>
      </c>
      <c r="AC32" s="24">
        <f t="shared" si="3"/>
        <v>91.145154866621795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0</v>
      </c>
      <c r="N33" s="14">
        <f>IF('Données projet'!$A$36&gt;35,N32+M33-V32,IF(A33&lt;'Données projet'!$A$36,$K$205^A33,IF(A33='Données projet'!$A$36,'Données projet'!$B$36,N32+M33-V32)))</f>
        <v>0</v>
      </c>
      <c r="O33" s="14">
        <f>N33*VLOOKUP('Données projet'!$B$9,Paramètres!$A$1:$I$89,3,0)*VLOOKUP('Données projet'!$B$9,Paramètres!$A$1:$I$89,5,0)</f>
        <v>0</v>
      </c>
      <c r="P33" s="14" t="e">
        <f t="shared" si="33"/>
        <v>#NUM!</v>
      </c>
      <c r="Q33" s="22" t="e">
        <f t="shared" si="2"/>
        <v>#NUM!</v>
      </c>
      <c r="R33" s="62" t="e">
        <f t="shared" si="0"/>
        <v>#NUM!</v>
      </c>
      <c r="S33" s="62">
        <f ca="1">AVERAGE(OFFSET($R$3,0,0,'Données projet'!$E$9+1,1))-AVERAGE(OFFSET($H$3,0,0,'Données projet'!$E$9+1,1))</f>
        <v>104.72098571815286</v>
      </c>
      <c r="T33" s="62">
        <f t="shared" si="34"/>
        <v>517.31320443860409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86.570315438093658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2.010512320992198</v>
      </c>
      <c r="AC33" s="24">
        <f t="shared" si="3"/>
        <v>88.580827759085849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0</v>
      </c>
      <c r="O34" s="14">
        <f>N34*VLOOKUP('Données projet'!$B$9,Paramètres!$A$1:$I$89,3,0)*VLOOKUP('Données projet'!$B$9,Paramètres!$A$1:$I$89,5,0)</f>
        <v>0</v>
      </c>
      <c r="P34" s="14" t="e">
        <f t="shared" si="33"/>
        <v>#NUM!</v>
      </c>
      <c r="Q34" s="22" t="e">
        <f t="shared" si="2"/>
        <v>#NUM!</v>
      </c>
      <c r="R34" s="62" t="e">
        <f t="shared" si="0"/>
        <v>#NUM!</v>
      </c>
      <c r="S34" s="62">
        <f ca="1">AVERAGE(OFFSET($R$3,0,0,'Données projet'!$E$9+1,1))-AVERAGE(OFFSET($H$3,0,0,'Données projet'!$E$9+1,1))</f>
        <v>104.72098571815286</v>
      </c>
      <c r="T34" s="62">
        <f t="shared" si="34"/>
        <v>517.31320443860409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84.872724355031224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1.421646895832688</v>
      </c>
      <c r="AC34" s="24">
        <f t="shared" si="3"/>
        <v>86.294371250863918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0</v>
      </c>
      <c r="O35" s="14">
        <f>N35*VLOOKUP('Données projet'!$B$9,Paramètres!$A$1:$I$89,3,0)*VLOOKUP('Données projet'!$B$9,Paramètres!$A$1:$I$89,5,0)</f>
        <v>0</v>
      </c>
      <c r="P35" s="14" t="e">
        <f t="shared" si="33"/>
        <v>#NUM!</v>
      </c>
      <c r="Q35" s="22" t="e">
        <f t="shared" ref="Q35:Q66" si="53">(O35+P35)*0.475*44/12</f>
        <v>#NUM!</v>
      </c>
      <c r="R35" s="62" t="e">
        <f t="shared" si="0"/>
        <v>#NUM!</v>
      </c>
      <c r="S35" s="62">
        <f ca="1">AVERAGE(OFFSET($R$3,0,0,'Données projet'!$E$9+1,1))-AVERAGE(OFFSET($H$3,0,0,'Données projet'!$E$9+1,1))</f>
        <v>104.72098571815286</v>
      </c>
      <c r="T35" s="62">
        <f t="shared" si="34"/>
        <v>517.31320443860409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83.208421997679324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1.005256160496099</v>
      </c>
      <c r="AC35" s="24">
        <f t="shared" si="3"/>
        <v>84.213678158175426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0</v>
      </c>
      <c r="O36" s="14">
        <f>N36*VLOOKUP('Données projet'!$B$9,Paramètres!$A$1:$I$89,3,0)*VLOOKUP('Données projet'!$B$9,Paramètres!$A$1:$I$89,5,0)</f>
        <v>0</v>
      </c>
      <c r="P36" s="14" t="e">
        <f t="shared" si="33"/>
        <v>#NUM!</v>
      </c>
      <c r="Q36" s="22" t="e">
        <f t="shared" si="53"/>
        <v>#NUM!</v>
      </c>
      <c r="R36" s="62" t="e">
        <f t="shared" si="0"/>
        <v>#NUM!</v>
      </c>
      <c r="S36" s="62">
        <f ca="1">AVERAGE(OFFSET($R$3,0,0,'Données projet'!$E$9+1,1))-AVERAGE(OFFSET($H$3,0,0,'Données projet'!$E$9+1,1))</f>
        <v>104.72098571815286</v>
      </c>
      <c r="T36" s="62">
        <f t="shared" si="34"/>
        <v>517.31320443860409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81.576755594430892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0.710823447916344</v>
      </c>
      <c r="AC36" s="24">
        <f t="shared" si="3"/>
        <v>82.287579042347232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0</v>
      </c>
      <c r="O37" s="14">
        <f>N37*VLOOKUP('Données projet'!$B$9,Paramètres!$A$1:$I$89,3,0)*VLOOKUP('Données projet'!$B$9,Paramètres!$A$1:$I$89,5,0)</f>
        <v>0</v>
      </c>
      <c r="P37" s="14" t="e">
        <f t="shared" si="33"/>
        <v>#NUM!</v>
      </c>
      <c r="Q37" s="22" t="e">
        <f t="shared" si="53"/>
        <v>#NUM!</v>
      </c>
      <c r="R37" s="62" t="e">
        <f t="shared" si="0"/>
        <v>#NUM!</v>
      </c>
      <c r="S37" s="62">
        <f ca="1">AVERAGE(OFFSET($R$3,0,0,'Données projet'!$E$9+1,1))-AVERAGE(OFFSET($H$3,0,0,'Données projet'!$E$9+1,1))</f>
        <v>104.72098571815286</v>
      </c>
      <c r="T37" s="62">
        <f t="shared" si="34"/>
        <v>517.31320443860409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79.977085174131929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0.5026280802480495</v>
      </c>
      <c r="AC37" s="24">
        <f t="shared" si="3"/>
        <v>80.479713254379973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0</v>
      </c>
      <c r="O38" s="14">
        <f>N38*VLOOKUP('Données projet'!$B$9,Paramètres!$A$1:$I$89,3,0)*VLOOKUP('Données projet'!$B$9,Paramètres!$A$1:$I$89,5,0)</f>
        <v>0</v>
      </c>
      <c r="P38" s="14" t="e">
        <f t="shared" si="33"/>
        <v>#NUM!</v>
      </c>
      <c r="Q38" s="22" t="e">
        <f t="shared" si="53"/>
        <v>#NUM!</v>
      </c>
      <c r="R38" s="62" t="e">
        <f t="shared" si="0"/>
        <v>#NUM!</v>
      </c>
      <c r="S38" s="62">
        <f ca="1">AVERAGE(OFFSET($R$3,0,0,'Données projet'!$E$9+1,1))-AVERAGE(OFFSET($H$3,0,0,'Données projet'!$E$9+1,1))</f>
        <v>104.72098571815286</v>
      </c>
      <c r="T38" s="62">
        <f t="shared" si="34"/>
        <v>517.31320443860409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78.408783315072412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0.355411723958172</v>
      </c>
      <c r="AC38" s="24">
        <f t="shared" si="3"/>
        <v>78.764195039030582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0</v>
      </c>
      <c r="O39" s="14">
        <f>N39*VLOOKUP('Données projet'!$B$9,Paramètres!$A$1:$I$89,3,0)*VLOOKUP('Données projet'!$B$9,Paramètres!$A$1:$I$89,5,0)</f>
        <v>0</v>
      </c>
      <c r="P39" s="14" t="e">
        <f t="shared" si="33"/>
        <v>#NUM!</v>
      </c>
      <c r="Q39" s="22" t="e">
        <f t="shared" si="53"/>
        <v>#NUM!</v>
      </c>
      <c r="R39" s="62" t="e">
        <f t="shared" si="0"/>
        <v>#NUM!</v>
      </c>
      <c r="S39" s="62">
        <f ca="1">AVERAGE(OFFSET($R$3,0,0,'Données projet'!$E$9+1,1))-AVERAGE(OFFSET($H$3,0,0,'Données projet'!$E$9+1,1))</f>
        <v>104.72098571815286</v>
      </c>
      <c r="T39" s="62">
        <f t="shared" si="34"/>
        <v>517.31320443860409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76.871234898899374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0.25131404012402475</v>
      </c>
      <c r="AC39" s="24">
        <f t="shared" si="3"/>
        <v>77.122548939023403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0</v>
      </c>
      <c r="O40" s="14">
        <f>N40*VLOOKUP('Données projet'!$B$9,Paramètres!$A$1:$I$89,3,0)*VLOOKUP('Données projet'!$B$9,Paramètres!$A$1:$I$89,5,0)</f>
        <v>0</v>
      </c>
      <c r="P40" s="14" t="e">
        <f t="shared" si="33"/>
        <v>#NUM!</v>
      </c>
      <c r="Q40" s="22" t="e">
        <f t="shared" si="53"/>
        <v>#NUM!</v>
      </c>
      <c r="R40" s="62" t="e">
        <f t="shared" si="0"/>
        <v>#NUM!</v>
      </c>
      <c r="S40" s="62">
        <f ca="1">AVERAGE(OFFSET($R$3,0,0,'Données projet'!$E$9+1,1))-AVERAGE(OFFSET($H$3,0,0,'Données projet'!$E$9+1,1))</f>
        <v>104.72098571815286</v>
      </c>
      <c r="T40" s="62">
        <f t="shared" si="34"/>
        <v>517.31320443860409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75.363836869355552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0.177705861979086</v>
      </c>
      <c r="AC40" s="24">
        <f t="shared" si="3"/>
        <v>75.541542731334644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0</v>
      </c>
      <c r="O41" s="14">
        <f>N41*VLOOKUP('Données projet'!$B$9,Paramètres!$A$1:$I$89,3,0)*VLOOKUP('Données projet'!$B$9,Paramètres!$A$1:$I$89,5,0)</f>
        <v>0</v>
      </c>
      <c r="P41" s="14" t="e">
        <f t="shared" si="33"/>
        <v>#NUM!</v>
      </c>
      <c r="Q41" s="22" t="e">
        <f t="shared" si="53"/>
        <v>#NUM!</v>
      </c>
      <c r="R41" s="62" t="e">
        <f t="shared" si="0"/>
        <v>#NUM!</v>
      </c>
      <c r="S41" s="62">
        <f ca="1">AVERAGE(OFFSET($R$3,0,0,'Données projet'!$E$9+1,1))-AVERAGE(OFFSET($H$3,0,0,'Données projet'!$E$9+1,1))</f>
        <v>104.72098571815286</v>
      </c>
      <c r="T41" s="62">
        <f t="shared" si="34"/>
        <v>517.31320443860409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73.885997995749079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0.12565702006201238</v>
      </c>
      <c r="AC41" s="24">
        <f t="shared" si="3"/>
        <v>74.011655015811087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0</v>
      </c>
      <c r="O42" s="14">
        <f>N42*VLOOKUP('Données projet'!$B$9,Paramètres!$A$1:$I$89,3,0)*VLOOKUP('Données projet'!$B$9,Paramètres!$A$1:$I$89,5,0)</f>
        <v>0</v>
      </c>
      <c r="P42" s="14" t="e">
        <f t="shared" si="33"/>
        <v>#NUM!</v>
      </c>
      <c r="Q42" s="22" t="e">
        <f t="shared" si="53"/>
        <v>#NUM!</v>
      </c>
      <c r="R42" s="62" t="e">
        <f t="shared" si="0"/>
        <v>#NUM!</v>
      </c>
      <c r="S42" s="62">
        <f ca="1">AVERAGE(OFFSET($R$3,0,0,'Données projet'!$E$9+1,1))-AVERAGE(OFFSET($H$3,0,0,'Données projet'!$E$9+1,1))</f>
        <v>104.72098571815286</v>
      </c>
      <c r="T42" s="62">
        <f t="shared" si="34"/>
        <v>517.31320443860409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72.437138641061324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8.8852930989543E-2</v>
      </c>
      <c r="AC42" s="24">
        <f t="shared" si="3"/>
        <v>72.52599157205087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0</v>
      </c>
      <c r="O43" s="14">
        <f>N43*VLOOKUP('Données projet'!$B$9,Paramètres!$A$1:$I$89,3,0)*VLOOKUP('Données projet'!$B$9,Paramètres!$A$1:$I$89,5,0)</f>
        <v>0</v>
      </c>
      <c r="P43" s="14" t="e">
        <f t="shared" si="33"/>
        <v>#NUM!</v>
      </c>
      <c r="Q43" s="22" t="e">
        <f t="shared" si="53"/>
        <v>#NUM!</v>
      </c>
      <c r="R43" s="62" t="e">
        <f t="shared" si="0"/>
        <v>#NUM!</v>
      </c>
      <c r="S43" s="62">
        <f ca="1">AVERAGE(OFFSET($R$3,0,0,'Données projet'!$E$9+1,1))-AVERAGE(OFFSET($H$3,0,0,'Données projet'!$E$9+1,1))</f>
        <v>104.72098571815286</v>
      </c>
      <c r="T43" s="62">
        <f t="shared" si="34"/>
        <v>517.31320443860409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71.016690534602049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6.2828510031006188E-2</v>
      </c>
      <c r="AC43" s="24">
        <f t="shared" si="3"/>
        <v>71.079519044633059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0</v>
      </c>
      <c r="O44" s="14">
        <f>N44*VLOOKUP('Données projet'!$B$9,Paramètres!$A$1:$I$89,3,0)*VLOOKUP('Données projet'!$B$9,Paramètres!$A$1:$I$89,5,0)</f>
        <v>0</v>
      </c>
      <c r="P44" s="14" t="e">
        <f t="shared" si="33"/>
        <v>#NUM!</v>
      </c>
      <c r="Q44" s="22" t="e">
        <f t="shared" si="53"/>
        <v>#NUM!</v>
      </c>
      <c r="R44" s="62" t="e">
        <f t="shared" si="0"/>
        <v>#NUM!</v>
      </c>
      <c r="S44" s="62">
        <f ca="1">AVERAGE(OFFSET($R$3,0,0,'Données projet'!$E$9+1,1))-AVERAGE(OFFSET($H$3,0,0,'Données projet'!$E$9+1,1))</f>
        <v>104.72098571815286</v>
      </c>
      <c r="T44" s="62">
        <f t="shared" si="34"/>
        <v>517.31320443860409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69.62409654912264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4.44264654947715E-2</v>
      </c>
      <c r="AC44" s="24">
        <f t="shared" si="3"/>
        <v>69.668523014617406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0</v>
      </c>
      <c r="O45" s="14">
        <f>N45*VLOOKUP('Données projet'!$B$9,Paramètres!$A$1:$I$89,3,0)*VLOOKUP('Données projet'!$B$9,Paramètres!$A$1:$I$89,5,0)</f>
        <v>0</v>
      </c>
      <c r="P45" s="14" t="e">
        <f t="shared" si="33"/>
        <v>#NUM!</v>
      </c>
      <c r="Q45" s="22" t="e">
        <f t="shared" si="53"/>
        <v>#NUM!</v>
      </c>
      <c r="R45" s="62" t="e">
        <f t="shared" si="0"/>
        <v>#NUM!</v>
      </c>
      <c r="S45" s="62">
        <f ca="1">AVERAGE(OFFSET($R$3,0,0,'Données projet'!$E$9+1,1))-AVERAGE(OFFSET($H$3,0,0,'Données projet'!$E$9+1,1))</f>
        <v>104.72098571815286</v>
      </c>
      <c r="T45" s="62">
        <f t="shared" si="34"/>
        <v>517.31320443860409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68.258810482300021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3.1414255015503094E-2</v>
      </c>
      <c r="AC45" s="24">
        <f t="shared" si="3"/>
        <v>68.290224737315526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0</v>
      </c>
      <c r="O46" s="14">
        <f>N46*VLOOKUP('Données projet'!$B$9,Paramètres!$A$1:$I$89,3,0)*VLOOKUP('Données projet'!$B$9,Paramètres!$A$1:$I$89,5,0)</f>
        <v>0</v>
      </c>
      <c r="P46" s="14" t="e">
        <f t="shared" si="33"/>
        <v>#NUM!</v>
      </c>
      <c r="Q46" s="22" t="e">
        <f t="shared" si="53"/>
        <v>#NUM!</v>
      </c>
      <c r="R46" s="62" t="e">
        <f t="shared" si="0"/>
        <v>#NUM!</v>
      </c>
      <c r="S46" s="62">
        <f ca="1">AVERAGE(OFFSET($R$3,0,0,'Données projet'!$E$9+1,1))-AVERAGE(OFFSET($H$3,0,0,'Données projet'!$E$9+1,1))</f>
        <v>104.72098571815286</v>
      </c>
      <c r="T46" s="62">
        <f t="shared" si="34"/>
        <v>517.31320443860409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66.920296842505522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2.221323274738575E-2</v>
      </c>
      <c r="AC46" s="24">
        <f t="shared" si="3"/>
        <v>66.942510075252912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0</v>
      </c>
      <c r="O47" s="14">
        <f>N47*VLOOKUP('Données projet'!$B$9,Paramètres!$A$1:$I$89,3,0)*VLOOKUP('Données projet'!$B$9,Paramètres!$A$1:$I$89,5,0)</f>
        <v>0</v>
      </c>
      <c r="P47" s="14" t="e">
        <f t="shared" si="33"/>
        <v>#NUM!</v>
      </c>
      <c r="Q47" s="22" t="e">
        <f t="shared" si="53"/>
        <v>#NUM!</v>
      </c>
      <c r="R47" s="62" t="e">
        <f t="shared" si="0"/>
        <v>#NUM!</v>
      </c>
      <c r="S47" s="62">
        <f ca="1">AVERAGE(OFFSET($R$3,0,0,'Données projet'!$E$9+1,1))-AVERAGE(OFFSET($H$3,0,0,'Données projet'!$E$9+1,1))</f>
        <v>104.72098571815286</v>
      </c>
      <c r="T47" s="62">
        <f t="shared" si="34"/>
        <v>517.31320443860409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65.608030638774679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1.5707127507751547E-2</v>
      </c>
      <c r="AC47" s="24">
        <f t="shared" si="3"/>
        <v>65.623737766282431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0</v>
      </c>
      <c r="O48" s="14">
        <f>N48*VLOOKUP('Données projet'!$B$9,Paramètres!$A$1:$I$89,3,0)*VLOOKUP('Données projet'!$B$9,Paramètres!$A$1:$I$89,5,0)</f>
        <v>0</v>
      </c>
      <c r="P48" s="14" t="e">
        <f t="shared" si="33"/>
        <v>#NUM!</v>
      </c>
      <c r="Q48" s="22" t="e">
        <f t="shared" si="53"/>
        <v>#NUM!</v>
      </c>
      <c r="R48" s="62" t="e">
        <f t="shared" si="0"/>
        <v>#NUM!</v>
      </c>
      <c r="S48" s="62">
        <f ca="1">AVERAGE(OFFSET($R$3,0,0,'Données projet'!$E$9+1,1))-AVERAGE(OFFSET($H$3,0,0,'Données projet'!$E$9+1,1))</f>
        <v>104.72098571815286</v>
      </c>
      <c r="T48" s="62">
        <f t="shared" si="34"/>
        <v>517.31320443860409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64.321497174895654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1.1106616373692875E-2</v>
      </c>
      <c r="AC48" s="24">
        <f t="shared" si="3"/>
        <v>64.332603791269349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0</v>
      </c>
      <c r="O49" s="14">
        <f>N49*VLOOKUP('Données projet'!$B$9,Paramètres!$A$1:$I$89,3,0)*VLOOKUP('Données projet'!$B$9,Paramètres!$A$1:$I$89,5,0)</f>
        <v>0</v>
      </c>
      <c r="P49" s="14" t="e">
        <f t="shared" si="33"/>
        <v>#NUM!</v>
      </c>
      <c r="Q49" s="22" t="e">
        <f t="shared" si="53"/>
        <v>#NUM!</v>
      </c>
      <c r="R49" s="62" t="e">
        <f t="shared" si="0"/>
        <v>#NUM!</v>
      </c>
      <c r="S49" s="62">
        <f ca="1">AVERAGE(OFFSET($R$3,0,0,'Données projet'!$E$9+1,1))-AVERAGE(OFFSET($H$3,0,0,'Données projet'!$E$9+1,1))</f>
        <v>104.72098571815286</v>
      </c>
      <c r="T49" s="62">
        <f t="shared" si="34"/>
        <v>517.31320443860409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63.060191847535364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7.8535637538757735E-3</v>
      </c>
      <c r="AC49" s="24">
        <f t="shared" si="3"/>
        <v>63.068045411289241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0</v>
      </c>
      <c r="O50" s="14">
        <f>N50*VLOOKUP('Données projet'!$B$9,Paramètres!$A$1:$I$89,3,0)*VLOOKUP('Données projet'!$B$9,Paramètres!$A$1:$I$89,5,0)</f>
        <v>0</v>
      </c>
      <c r="P50" s="14" t="e">
        <f t="shared" si="33"/>
        <v>#NUM!</v>
      </c>
      <c r="Q50" s="22" t="e">
        <f t="shared" si="53"/>
        <v>#NUM!</v>
      </c>
      <c r="R50" s="62" t="e">
        <f t="shared" si="0"/>
        <v>#NUM!</v>
      </c>
      <c r="S50" s="62">
        <f ca="1">AVERAGE(OFFSET($R$3,0,0,'Données projet'!$E$9+1,1))-AVERAGE(OFFSET($H$3,0,0,'Données projet'!$E$9+1,1))</f>
        <v>104.72098571815286</v>
      </c>
      <c r="T50" s="62">
        <f t="shared" si="34"/>
        <v>517.31320443860409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61.823619948324328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5.5533081868464375E-3</v>
      </c>
      <c r="AC50" s="24">
        <f t="shared" si="3"/>
        <v>61.829173256511176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0</v>
      </c>
      <c r="O51" s="14">
        <f>N51*VLOOKUP('Données projet'!$B$9,Paramètres!$A$1:$I$89,3,0)*VLOOKUP('Données projet'!$B$9,Paramètres!$A$1:$I$89,5,0)</f>
        <v>0</v>
      </c>
      <c r="P51" s="14" t="e">
        <f t="shared" si="33"/>
        <v>#NUM!</v>
      </c>
      <c r="Q51" s="22" t="e">
        <f t="shared" si="53"/>
        <v>#NUM!</v>
      </c>
      <c r="R51" s="62" t="e">
        <f t="shared" si="0"/>
        <v>#NUM!</v>
      </c>
      <c r="S51" s="62">
        <f ca="1">AVERAGE(OFFSET($R$3,0,0,'Données projet'!$E$9+1,1))-AVERAGE(OFFSET($H$3,0,0,'Données projet'!$E$9+1,1))</f>
        <v>104.72098571815286</v>
      </c>
      <c r="T51" s="62">
        <f t="shared" si="34"/>
        <v>517.31320443860409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60.611296469822435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3.9267818769378867E-3</v>
      </c>
      <c r="AC51" s="24">
        <f t="shared" si="3"/>
        <v>60.615223251699369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0</v>
      </c>
      <c r="O52" s="14">
        <f>N52*VLOOKUP('Données projet'!$B$9,Paramètres!$A$1:$I$89,3,0)*VLOOKUP('Données projet'!$B$9,Paramètres!$A$1:$I$89,5,0)</f>
        <v>0</v>
      </c>
      <c r="P52" s="14" t="e">
        <f t="shared" si="33"/>
        <v>#NUM!</v>
      </c>
      <c r="Q52" s="22" t="e">
        <f t="shared" si="53"/>
        <v>#NUM!</v>
      </c>
      <c r="R52" s="62" t="e">
        <f t="shared" si="0"/>
        <v>#NUM!</v>
      </c>
      <c r="S52" s="62">
        <f ca="1">AVERAGE(OFFSET($R$3,0,0,'Données projet'!$E$9+1,1))-AVERAGE(OFFSET($H$3,0,0,'Données projet'!$E$9+1,1))</f>
        <v>104.72098571815286</v>
      </c>
      <c r="T52" s="62">
        <f t="shared" si="34"/>
        <v>517.31320443860409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59.422745915289653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2.7766540934232187E-3</v>
      </c>
      <c r="AC52" s="24">
        <f t="shared" si="3"/>
        <v>59.425522569383077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0</v>
      </c>
      <c r="O53" s="14">
        <f>N53*VLOOKUP('Données projet'!$B$9,Paramètres!$A$1:$I$89,3,0)*VLOOKUP('Données projet'!$B$9,Paramètres!$A$1:$I$89,5,0)</f>
        <v>0</v>
      </c>
      <c r="P53" s="14" t="e">
        <f t="shared" si="33"/>
        <v>#NUM!</v>
      </c>
      <c r="Q53" s="22" t="e">
        <f t="shared" si="53"/>
        <v>#NUM!</v>
      </c>
      <c r="R53" s="62" t="e">
        <f t="shared" si="0"/>
        <v>#NUM!</v>
      </c>
      <c r="S53" s="62">
        <f ca="1">AVERAGE(OFFSET($R$3,0,0,'Données projet'!$E$9+1,1))-AVERAGE(OFFSET($H$3,0,0,'Données projet'!$E$9+1,1))</f>
        <v>104.72098571815286</v>
      </c>
      <c r="T53" s="62">
        <f t="shared" si="34"/>
        <v>517.31320443860409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58.257502112187005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1.9633909384689434E-3</v>
      </c>
      <c r="AC53" s="24">
        <f t="shared" si="3"/>
        <v>58.259465503125476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0</v>
      </c>
      <c r="O54" s="14">
        <f>N54*VLOOKUP('Données projet'!$B$9,Paramètres!$A$1:$I$89,3,0)*VLOOKUP('Données projet'!$B$9,Paramètres!$A$1:$I$89,5,0)</f>
        <v>0</v>
      </c>
      <c r="P54" s="14" t="e">
        <f t="shared" si="33"/>
        <v>#NUM!</v>
      </c>
      <c r="Q54" s="22" t="e">
        <f t="shared" si="53"/>
        <v>#NUM!</v>
      </c>
      <c r="R54" s="62" t="e">
        <f t="shared" si="0"/>
        <v>#NUM!</v>
      </c>
      <c r="S54" s="62">
        <f ca="1">AVERAGE(OFFSET($R$3,0,0,'Données projet'!$E$9+1,1))-AVERAGE(OFFSET($H$3,0,0,'Données projet'!$E$9+1,1))</f>
        <v>104.72098571815286</v>
      </c>
      <c r="T54" s="62">
        <f t="shared" si="34"/>
        <v>517.31320443860409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57.115108029334657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1.3883270467116094E-3</v>
      </c>
      <c r="AC54" s="24">
        <f t="shared" si="3"/>
        <v>57.116496356381369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0</v>
      </c>
      <c r="O55" s="14">
        <f>N55*VLOOKUP('Données projet'!$B$9,Paramètres!$A$1:$I$89,3,0)*VLOOKUP('Données projet'!$B$9,Paramètres!$A$1:$I$89,5,0)</f>
        <v>0</v>
      </c>
      <c r="P55" s="14" t="e">
        <f t="shared" si="33"/>
        <v>#NUM!</v>
      </c>
      <c r="Q55" s="22" t="e">
        <f t="shared" si="53"/>
        <v>#NUM!</v>
      </c>
      <c r="R55" s="62" t="e">
        <f t="shared" si="0"/>
        <v>#NUM!</v>
      </c>
      <c r="S55" s="62">
        <f ca="1">AVERAGE(OFFSET($R$3,0,0,'Données projet'!$E$9+1,1))-AVERAGE(OFFSET($H$3,0,0,'Données projet'!$E$9+1,1))</f>
        <v>104.72098571815286</v>
      </c>
      <c r="T55" s="62">
        <f t="shared" si="34"/>
        <v>517.31320443860409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55.995115597655456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9.8169546923447168E-4</v>
      </c>
      <c r="AC55" s="24">
        <f t="shared" si="3"/>
        <v>55.996097293124691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0</v>
      </c>
      <c r="O56" s="14">
        <f>N56*VLOOKUP('Données projet'!$B$9,Paramètres!$A$1:$I$89,3,0)*VLOOKUP('Données projet'!$B$9,Paramètres!$A$1:$I$89,5,0)</f>
        <v>0</v>
      </c>
      <c r="P56" s="14" t="e">
        <f t="shared" si="33"/>
        <v>#NUM!</v>
      </c>
      <c r="Q56" s="22" t="e">
        <f t="shared" si="53"/>
        <v>#NUM!</v>
      </c>
      <c r="R56" s="62" t="e">
        <f t="shared" si="0"/>
        <v>#NUM!</v>
      </c>
      <c r="S56" s="62">
        <f ca="1">AVERAGE(OFFSET($R$3,0,0,'Données projet'!$E$9+1,1))-AVERAGE(OFFSET($H$3,0,0,'Données projet'!$E$9+1,1))</f>
        <v>104.72098571815286</v>
      </c>
      <c r="T56" s="62">
        <f t="shared" si="34"/>
        <v>517.31320443860409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54.897085534433558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6.9416352335580469E-4</v>
      </c>
      <c r="AC56" s="24">
        <f t="shared" si="3"/>
        <v>54.897779697956913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0</v>
      </c>
      <c r="O57" s="14">
        <f>N57*VLOOKUP('Données projet'!$B$9,Paramètres!$A$1:$I$89,3,0)*VLOOKUP('Données projet'!$B$9,Paramètres!$A$1:$I$89,5,0)</f>
        <v>0</v>
      </c>
      <c r="P57" s="14" t="e">
        <f t="shared" si="33"/>
        <v>#NUM!</v>
      </c>
      <c r="Q57" s="22" t="e">
        <f t="shared" si="53"/>
        <v>#NUM!</v>
      </c>
      <c r="R57" s="62" t="e">
        <f t="shared" si="0"/>
        <v>#NUM!</v>
      </c>
      <c r="S57" s="62">
        <f ca="1">AVERAGE(OFFSET($R$3,0,0,'Données projet'!$E$9+1,1))-AVERAGE(OFFSET($H$3,0,0,'Données projet'!$E$9+1,1))</f>
        <v>104.72098571815286</v>
      </c>
      <c r="T57" s="62">
        <f t="shared" si="34"/>
        <v>517.31320443860409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53.820587171019227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4.9084773461723584E-4</v>
      </c>
      <c r="AC57" s="24">
        <f t="shared" si="3"/>
        <v>53.821078018753845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0</v>
      </c>
      <c r="O58" s="14">
        <f>N58*VLOOKUP('Données projet'!$B$9,Paramètres!$A$1:$I$89,3,0)*VLOOKUP('Données projet'!$B$9,Paramètres!$A$1:$I$89,5,0)</f>
        <v>0</v>
      </c>
      <c r="P58" s="14" t="e">
        <f t="shared" si="33"/>
        <v>#NUM!</v>
      </c>
      <c r="Q58" s="22" t="e">
        <f t="shared" si="53"/>
        <v>#NUM!</v>
      </c>
      <c r="R58" s="62" t="e">
        <f t="shared" si="0"/>
        <v>#NUM!</v>
      </c>
      <c r="S58" s="62">
        <f ca="1">AVERAGE(OFFSET($R$3,0,0,'Données projet'!$E$9+1,1))-AVERAGE(OFFSET($H$3,0,0,'Données projet'!$E$9+1,1))</f>
        <v>104.72098571815286</v>
      </c>
      <c r="T58" s="62">
        <f t="shared" si="34"/>
        <v>517.31320443860409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52.765198283912284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3.4708176167790234E-4</v>
      </c>
      <c r="AC58" s="24">
        <f t="shared" si="3"/>
        <v>52.765545365673958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0</v>
      </c>
      <c r="O59" s="14">
        <f>N59*VLOOKUP('Données projet'!$B$9,Paramètres!$A$1:$I$89,3,0)*VLOOKUP('Données projet'!$B$9,Paramètres!$A$1:$I$89,5,0)</f>
        <v>0</v>
      </c>
      <c r="P59" s="14" t="e">
        <f t="shared" si="33"/>
        <v>#NUM!</v>
      </c>
      <c r="Q59" s="22" t="e">
        <f t="shared" si="53"/>
        <v>#NUM!</v>
      </c>
      <c r="R59" s="62" t="e">
        <f t="shared" si="0"/>
        <v>#NUM!</v>
      </c>
      <c r="S59" s="62">
        <f ca="1">AVERAGE(OFFSET($R$3,0,0,'Données projet'!$E$9+1,1))-AVERAGE(OFFSET($H$3,0,0,'Données projet'!$E$9+1,1))</f>
        <v>104.72098571815286</v>
      </c>
      <c r="T59" s="62">
        <f t="shared" si="34"/>
        <v>517.31320443860409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51.730504929157853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2.4542386730861792E-4</v>
      </c>
      <c r="AC59" s="24">
        <f t="shared" si="3"/>
        <v>51.730750353025158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0</v>
      </c>
      <c r="O60" s="14">
        <f>N60*VLOOKUP('Données projet'!$B$9,Paramètres!$A$1:$I$89,3,0)*VLOOKUP('Données projet'!$B$9,Paramètres!$A$1:$I$89,5,0)</f>
        <v>0</v>
      </c>
      <c r="P60" s="14" t="e">
        <f t="shared" si="33"/>
        <v>#NUM!</v>
      </c>
      <c r="Q60" s="22" t="e">
        <f t="shared" si="53"/>
        <v>#NUM!</v>
      </c>
      <c r="R60" s="62" t="e">
        <f t="shared" si="0"/>
        <v>#NUM!</v>
      </c>
      <c r="S60" s="62">
        <f ca="1">AVERAGE(OFFSET($R$3,0,0,'Données projet'!$E$9+1,1))-AVERAGE(OFFSET($H$3,0,0,'Données projet'!$E$9+1,1))</f>
        <v>104.72098571815286</v>
      </c>
      <c r="T60" s="62">
        <f t="shared" si="34"/>
        <v>517.31320443860409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50.716101279989523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1.7354088083895117E-4</v>
      </c>
      <c r="AC60" s="24">
        <f t="shared" si="3"/>
        <v>50.71627482087036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0</v>
      </c>
      <c r="O61" s="14">
        <f>N61*VLOOKUP('Données projet'!$B$9,Paramètres!$A$1:$I$89,3,0)*VLOOKUP('Données projet'!$B$9,Paramètres!$A$1:$I$89,5,0)</f>
        <v>0</v>
      </c>
      <c r="P61" s="14" t="e">
        <f t="shared" si="33"/>
        <v>#NUM!</v>
      </c>
      <c r="Q61" s="22" t="e">
        <f t="shared" si="53"/>
        <v>#NUM!</v>
      </c>
      <c r="R61" s="62" t="e">
        <f t="shared" si="0"/>
        <v>#NUM!</v>
      </c>
      <c r="S61" s="62">
        <f ca="1">AVERAGE(OFFSET($R$3,0,0,'Données projet'!$E$9+1,1))-AVERAGE(OFFSET($H$3,0,0,'Données projet'!$E$9+1,1))</f>
        <v>104.72098571815286</v>
      </c>
      <c r="T61" s="62">
        <f t="shared" si="34"/>
        <v>517.31320443860409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49.721589467656251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1.2271193365430896E-4</v>
      </c>
      <c r="AC61" s="24">
        <f t="shared" si="3"/>
        <v>49.721712179589908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0</v>
      </c>
      <c r="O62" s="14">
        <f>N62*VLOOKUP('Données projet'!$B$9,Paramètres!$A$1:$I$89,3,0)*VLOOKUP('Données projet'!$B$9,Paramètres!$A$1:$I$89,5,0)</f>
        <v>0</v>
      </c>
      <c r="P62" s="14" t="e">
        <f t="shared" si="33"/>
        <v>#NUM!</v>
      </c>
      <c r="Q62" s="22" t="e">
        <f t="shared" si="53"/>
        <v>#NUM!</v>
      </c>
      <c r="R62" s="62" t="e">
        <f t="shared" si="0"/>
        <v>#NUM!</v>
      </c>
      <c r="S62" s="62">
        <f ca="1">AVERAGE(OFFSET($R$3,0,0,'Données projet'!$E$9+1,1))-AVERAGE(OFFSET($H$3,0,0,'Données projet'!$E$9+1,1))</f>
        <v>104.72098571815286</v>
      </c>
      <c r="T62" s="62">
        <f t="shared" si="34"/>
        <v>517.31320443860409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48.746579425370527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8.6770440419475586E-5</v>
      </c>
      <c r="AC62" s="24">
        <f t="shared" si="3"/>
        <v>48.746666195810946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0</v>
      </c>
      <c r="O63" s="14">
        <f>N63*VLOOKUP('Données projet'!$B$9,Paramètres!$A$1:$I$89,3,0)*VLOOKUP('Données projet'!$B$9,Paramètres!$A$1:$I$89,5,0)</f>
        <v>0</v>
      </c>
      <c r="P63" s="14" t="e">
        <f t="shared" si="33"/>
        <v>#NUM!</v>
      </c>
      <c r="Q63" s="22" t="e">
        <f t="shared" si="53"/>
        <v>#NUM!</v>
      </c>
      <c r="R63" s="62" t="e">
        <f t="shared" si="0"/>
        <v>#NUM!</v>
      </c>
      <c r="S63" s="62">
        <f ca="1">AVERAGE(OFFSET($R$3,0,0,'Données projet'!$E$9+1,1))-AVERAGE(OFFSET($H$3,0,0,'Données projet'!$E$9+1,1))</f>
        <v>104.72098571815286</v>
      </c>
      <c r="T63" s="62">
        <f t="shared" si="34"/>
        <v>517.31320443860409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47.790688735316621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6.135596682715448E-5</v>
      </c>
      <c r="AC63" s="24">
        <f t="shared" si="3"/>
        <v>47.790750091283449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0</v>
      </c>
      <c r="O64" s="14">
        <f>N64*VLOOKUP('Données projet'!$B$9,Paramètres!$A$1:$I$89,3,0)*VLOOKUP('Données projet'!$B$9,Paramètres!$A$1:$I$89,5,0)</f>
        <v>0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104.72098571815286</v>
      </c>
      <c r="T64" s="62">
        <f t="shared" si="34"/>
        <v>517.31320443860409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46.853542478658923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4.3385220209737793E-5</v>
      </c>
      <c r="AC64" s="24">
        <f t="shared" si="3"/>
        <v>46.853585863879132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0</v>
      </c>
      <c r="O65" s="14">
        <f>N65*VLOOKUP('Données projet'!$B$9,Paramètres!$A$1:$I$89,3,0)*VLOOKUP('Données projet'!$B$9,Paramètres!$A$1:$I$89,5,0)</f>
        <v>0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104.72098571815286</v>
      </c>
      <c r="T65" s="62">
        <f t="shared" si="34"/>
        <v>517.31320443860409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45.934773088491504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3.067798341357724E-5</v>
      </c>
      <c r="AC65" s="24">
        <f t="shared" si="3"/>
        <v>45.934803766474914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0</v>
      </c>
      <c r="O66" s="14">
        <f>N66*VLOOKUP('Données projet'!$B$9,Paramètres!$A$1:$I$89,3,0)*VLOOKUP('Données projet'!$B$9,Paramètres!$A$1:$I$89,5,0)</f>
        <v>0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104.72098571815286</v>
      </c>
      <c r="T66" s="62">
        <f t="shared" si="34"/>
        <v>517.31320443860409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45.034020205671276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2.1692610104868896E-5</v>
      </c>
      <c r="AC66" s="24">
        <f t="shared" si="3"/>
        <v>45.03404189828138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0</v>
      </c>
      <c r="O67" s="14">
        <f>N67*VLOOKUP('Données projet'!$B$9,Paramètres!$A$1:$I$89,3,0)*VLOOKUP('Données projet'!$B$9,Paramètres!$A$1:$I$89,5,0)</f>
        <v>0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104.72098571815286</v>
      </c>
      <c r="T67" s="62">
        <f t="shared" si="34"/>
        <v>517.31320443860409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44.150930537478146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1.533899170678862E-5</v>
      </c>
      <c r="AC67" s="24">
        <f t="shared" si="3"/>
        <v>44.150945876469855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0</v>
      </c>
      <c r="O68" s="14">
        <f>N68*VLOOKUP('Données projet'!$B$9,Paramètres!$A$1:$I$89,3,0)*VLOOKUP('Données projet'!$B$9,Paramètres!$A$1:$I$89,5,0)</f>
        <v>0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104.72098571815286</v>
      </c>
      <c r="T68" s="62">
        <f t="shared" si="34"/>
        <v>517.31320443860409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43.285157719046772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1.0846305052434448E-5</v>
      </c>
      <c r="AC68" s="24">
        <f t="shared" ref="AC68:AC131" si="57">SUM(Z68:AB68)</f>
        <v>43.285168565351825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0</v>
      </c>
      <c r="O69" s="14">
        <f>N69*VLOOKUP('Données projet'!$B$9,Paramètres!$A$1:$I$89,3,0)*VLOOKUP('Données projet'!$B$9,Paramètres!$A$1:$I$89,5,0)</f>
        <v>0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104.72098571815286</v>
      </c>
      <c r="T69" s="62">
        <f t="shared" ref="T69:T132" si="88">$T$3</f>
        <v>517.31320443860409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42.436362177515555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7.66949585339431E-6</v>
      </c>
      <c r="AC69" s="24">
        <f t="shared" si="57"/>
        <v>42.436369847011406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0</v>
      </c>
      <c r="O70" s="14">
        <f>N70*VLOOKUP('Données projet'!$B$9,Paramètres!$A$1:$I$89,3,0)*VLOOKUP('Données projet'!$B$9,Paramètres!$A$1:$I$89,5,0)</f>
        <v>0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104.72098571815286</v>
      </c>
      <c r="T70" s="62">
        <f t="shared" si="88"/>
        <v>517.31320443860409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41.604210998839605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5.4231525262172241E-6</v>
      </c>
      <c r="AC70" s="24">
        <f t="shared" si="57"/>
        <v>41.604216421992135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0</v>
      </c>
      <c r="O71" s="14">
        <f>N71*VLOOKUP('Données projet'!$B$9,Paramètres!$A$1:$I$89,3,0)*VLOOKUP('Données projet'!$B$9,Paramètres!$A$1:$I$89,5,0)</f>
        <v>0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104.72098571815286</v>
      </c>
      <c r="T71" s="62">
        <f t="shared" si="88"/>
        <v>517.31320443860409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40.788377797215389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3.834747926697155E-6</v>
      </c>
      <c r="AC71" s="24">
        <f t="shared" si="57"/>
        <v>40.788381631963318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0</v>
      </c>
      <c r="O72" s="14">
        <f>N72*VLOOKUP('Données projet'!$B$9,Paramètres!$A$1:$I$89,3,0)*VLOOKUP('Données projet'!$B$9,Paramètres!$A$1:$I$89,5,0)</f>
        <v>0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104.72098571815286</v>
      </c>
      <c r="T72" s="62">
        <f t="shared" si="88"/>
        <v>517.31320443860409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39.988542587065908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2.7115762631086121E-6</v>
      </c>
      <c r="AC72" s="24">
        <f t="shared" si="57"/>
        <v>39.988545298642173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0</v>
      </c>
      <c r="O73" s="14">
        <f>N73*VLOOKUP('Données projet'!$B$9,Paramètres!$A$1:$I$89,3,0)*VLOOKUP('Données projet'!$B$9,Paramètres!$A$1:$I$89,5,0)</f>
        <v>0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104.72098571815286</v>
      </c>
      <c r="T73" s="62">
        <f t="shared" si="88"/>
        <v>517.31320443860409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39.204391657536149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1.9173739633485775E-6</v>
      </c>
      <c r="AC73" s="24">
        <f t="shared" si="57"/>
        <v>39.204393574910114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0</v>
      </c>
      <c r="O74" s="14">
        <f>N74*VLOOKUP('Données projet'!$B$9,Paramètres!$A$1:$I$89,3,0)*VLOOKUP('Données projet'!$B$9,Paramètres!$A$1:$I$89,5,0)</f>
        <v>0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104.72098571815286</v>
      </c>
      <c r="T74" s="62">
        <f t="shared" si="88"/>
        <v>517.31320443860409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38.43561744944963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1.355788131554306E-6</v>
      </c>
      <c r="AC74" s="24">
        <f t="shared" si="57"/>
        <v>38.435618805237759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0</v>
      </c>
      <c r="O75" s="14">
        <f>N75*VLOOKUP('Données projet'!$B$9,Paramètres!$A$1:$I$89,3,0)*VLOOKUP('Données projet'!$B$9,Paramètres!$A$1:$I$89,5,0)</f>
        <v>0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104.72098571815286</v>
      </c>
      <c r="T75" s="62">
        <f t="shared" si="88"/>
        <v>517.31320443860409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37.681918434677719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9.5868698167428875E-7</v>
      </c>
      <c r="AC75" s="24">
        <f t="shared" si="57"/>
        <v>37.681919393364701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0</v>
      </c>
      <c r="O76" s="14">
        <f>N76*VLOOKUP('Données projet'!$B$9,Paramètres!$A$1:$I$89,3,0)*VLOOKUP('Données projet'!$B$9,Paramètres!$A$1:$I$89,5,0)</f>
        <v>0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104.72098571815286</v>
      </c>
      <c r="T76" s="62">
        <f t="shared" si="88"/>
        <v>517.31320443860409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36.942998997874483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6.7789406577715301E-7</v>
      </c>
      <c r="AC76" s="24">
        <f t="shared" si="57"/>
        <v>36.942999675768547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0</v>
      </c>
      <c r="O77" s="14">
        <f>N77*VLOOKUP('Données projet'!$B$9,Paramètres!$A$1:$I$89,3,0)*VLOOKUP('Données projet'!$B$9,Paramètres!$A$1:$I$89,5,0)</f>
        <v>0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104.72098571815286</v>
      </c>
      <c r="T77" s="62">
        <f t="shared" si="88"/>
        <v>517.31320443860409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36.218569320530605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4.7934349083714438E-7</v>
      </c>
      <c r="AC77" s="24">
        <f t="shared" si="57"/>
        <v>36.218569799874096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0</v>
      </c>
      <c r="O78" s="14">
        <f>N78*VLOOKUP('Données projet'!$B$9,Paramètres!$A$1:$I$89,3,0)*VLOOKUP('Données projet'!$B$9,Paramètres!$A$1:$I$89,5,0)</f>
        <v>0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104.72098571815286</v>
      </c>
      <c r="T78" s="62">
        <f t="shared" si="88"/>
        <v>517.31320443860409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35.508345267300967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3.3894703288857651E-7</v>
      </c>
      <c r="AC78" s="24">
        <f t="shared" si="57"/>
        <v>35.508345606248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0</v>
      </c>
      <c r="O79" s="14">
        <f>N79*VLOOKUP('Données projet'!$B$9,Paramètres!$A$1:$I$89,3,0)*VLOOKUP('Données projet'!$B$9,Paramètres!$A$1:$I$89,5,0)</f>
        <v>0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104.72098571815286</v>
      </c>
      <c r="T79" s="62">
        <f t="shared" si="88"/>
        <v>517.31320443860409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34.812048274561263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2.3967174541857219E-7</v>
      </c>
      <c r="AC79" s="24">
        <f t="shared" si="57"/>
        <v>34.812048514233005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0</v>
      </c>
      <c r="O80" s="14">
        <f>N80*VLOOKUP('Données projet'!$B$9,Paramètres!$A$1:$I$89,3,0)*VLOOKUP('Données projet'!$B$9,Paramètres!$A$1:$I$89,5,0)</f>
        <v>0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104.72098571815286</v>
      </c>
      <c r="T80" s="62">
        <f t="shared" si="88"/>
        <v>517.31320443860409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34.129405241149954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1.6947351644428825E-7</v>
      </c>
      <c r="AC80" s="24">
        <f t="shared" si="57"/>
        <v>34.12940541062347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0</v>
      </c>
      <c r="O81" s="14">
        <f>N81*VLOOKUP('Données projet'!$B$9,Paramètres!$A$1:$I$89,3,0)*VLOOKUP('Données projet'!$B$9,Paramètres!$A$1:$I$89,5,0)</f>
        <v>0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104.72098571815286</v>
      </c>
      <c r="T81" s="62">
        <f t="shared" si="88"/>
        <v>517.31320443860409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33.460148421252704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1.1983587270928609E-7</v>
      </c>
      <c r="AC81" s="24">
        <f t="shared" si="57"/>
        <v>33.460148541088579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0</v>
      </c>
      <c r="O82" s="14">
        <f>N82*VLOOKUP('Données projet'!$B$9,Paramètres!$A$1:$I$89,3,0)*VLOOKUP('Données projet'!$B$9,Paramètres!$A$1:$I$89,5,0)</f>
        <v>0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104.72098571815286</v>
      </c>
      <c r="T82" s="62">
        <f t="shared" si="88"/>
        <v>517.31320443860409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32.80401531938729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8.4736758222144127E-8</v>
      </c>
      <c r="AC82" s="24">
        <f t="shared" si="57"/>
        <v>32.804015404124051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0</v>
      </c>
      <c r="O83" s="14">
        <f>N83*VLOOKUP('Données projet'!$B$9,Paramètres!$A$1:$I$89,3,0)*VLOOKUP('Données projet'!$B$9,Paramètres!$A$1:$I$89,5,0)</f>
        <v>0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104.72098571815286</v>
      </c>
      <c r="T83" s="62">
        <f t="shared" si="88"/>
        <v>517.31320443860409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32.160748587447777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5.9917936354643047E-8</v>
      </c>
      <c r="AC83" s="24">
        <f t="shared" si="57"/>
        <v>32.160748647365715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0</v>
      </c>
      <c r="O84" s="14">
        <f>N84*VLOOKUP('Données projet'!$B$9,Paramètres!$A$1:$I$89,3,0)*VLOOKUP('Données projet'!$B$9,Paramètres!$A$1:$I$89,5,0)</f>
        <v>0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104.72098571815286</v>
      </c>
      <c r="T84" s="62">
        <f t="shared" si="88"/>
        <v>517.31320443860409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31.530095923767632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4.2368379111072063E-8</v>
      </c>
      <c r="AC84" s="24">
        <f t="shared" si="57"/>
        <v>31.530095966136013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0</v>
      </c>
      <c r="O85" s="14">
        <f>N85*VLOOKUP('Données projet'!$B$9,Paramètres!$A$1:$I$89,3,0)*VLOOKUP('Données projet'!$B$9,Paramètres!$A$1:$I$89,5,0)</f>
        <v>0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104.72098571815286</v>
      </c>
      <c r="T85" s="62">
        <f t="shared" si="88"/>
        <v>517.31320443860409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30.911809974162114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2.9958968177321524E-8</v>
      </c>
      <c r="AC85" s="24">
        <f t="shared" si="57"/>
        <v>30.911810004121083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0</v>
      </c>
      <c r="O86" s="14">
        <f>N86*VLOOKUP('Données projet'!$B$9,Paramètres!$A$1:$I$89,3,0)*VLOOKUP('Données projet'!$B$9,Paramètres!$A$1:$I$89,5,0)</f>
        <v>0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104.72098571815286</v>
      </c>
      <c r="T86" s="62">
        <f t="shared" si="88"/>
        <v>517.31320443860409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30.305648234911168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2.1184189555536032E-8</v>
      </c>
      <c r="AC86" s="24">
        <f t="shared" si="57"/>
        <v>30.305648256095356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0</v>
      </c>
      <c r="O87" s="14">
        <f>N87*VLOOKUP('Données projet'!$B$9,Paramètres!$A$1:$I$89,3,0)*VLOOKUP('Données projet'!$B$9,Paramètres!$A$1:$I$89,5,0)</f>
        <v>0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104.72098571815286</v>
      </c>
      <c r="T87" s="62">
        <f t="shared" si="88"/>
        <v>517.31320443860409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29.711372957644777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1.4979484088660762E-8</v>
      </c>
      <c r="AC87" s="24">
        <f t="shared" si="57"/>
        <v>29.711372972624261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0</v>
      </c>
      <c r="O88" s="14">
        <f>N88*VLOOKUP('Données projet'!$B$9,Paramètres!$A$1:$I$89,3,0)*VLOOKUP('Données projet'!$B$9,Paramètres!$A$1:$I$89,5,0)</f>
        <v>0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104.72098571815286</v>
      </c>
      <c r="T88" s="62">
        <f t="shared" si="88"/>
        <v>517.31320443860409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29.128751056093453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1.0592094777768016E-8</v>
      </c>
      <c r="AC88" s="24">
        <f t="shared" si="57"/>
        <v>29.128751066685549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0</v>
      </c>
      <c r="O89" s="14">
        <f>N89*VLOOKUP('Données projet'!$B$9,Paramètres!$A$1:$I$89,3,0)*VLOOKUP('Données projet'!$B$9,Paramètres!$A$1:$I$89,5,0)</f>
        <v>0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104.72098571815286</v>
      </c>
      <c r="T89" s="62">
        <f t="shared" si="88"/>
        <v>517.31320443860409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28.557554014667279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7.4897420443303809E-9</v>
      </c>
      <c r="AC89" s="24">
        <f t="shared" si="57"/>
        <v>28.557554022157021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0</v>
      </c>
      <c r="O90" s="14">
        <f>N90*VLOOKUP('Données projet'!$B$9,Paramètres!$A$1:$I$89,3,0)*VLOOKUP('Données projet'!$B$9,Paramètres!$A$1:$I$89,5,0)</f>
        <v>0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104.72098571815286</v>
      </c>
      <c r="T90" s="62">
        <f t="shared" si="88"/>
        <v>517.31320443860409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27.997557798827678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5.2960473888840079E-9</v>
      </c>
      <c r="AC90" s="24">
        <f t="shared" si="57"/>
        <v>27.997557804123726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0</v>
      </c>
      <c r="O91" s="14">
        <f>N91*VLOOKUP('Données projet'!$B$9,Paramètres!$A$1:$I$89,3,0)*VLOOKUP('Données projet'!$B$9,Paramètres!$A$1:$I$89,5,0)</f>
        <v>0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104.72098571815286</v>
      </c>
      <c r="T91" s="62">
        <f t="shared" si="88"/>
        <v>517.31320443860409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27.448542767216729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3.7448710221651904E-9</v>
      </c>
      <c r="AC91" s="24">
        <f t="shared" si="57"/>
        <v>27.448542770961598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0</v>
      </c>
      <c r="O92" s="14">
        <f>N92*VLOOKUP('Données projet'!$B$9,Paramètres!$A$1:$I$89,3,0)*VLOOKUP('Données projet'!$B$9,Paramètres!$A$1:$I$89,5,0)</f>
        <v>0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104.72098571815286</v>
      </c>
      <c r="T92" s="62">
        <f t="shared" si="88"/>
        <v>517.31320443860409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26.910293585509567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2.648023694442004E-9</v>
      </c>
      <c r="AC92" s="24">
        <f t="shared" si="57"/>
        <v>26.91029358815759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0</v>
      </c>
      <c r="O93" s="14">
        <f>N93*VLOOKUP('Données projet'!$B$9,Paramètres!$A$1:$I$89,3,0)*VLOOKUP('Données projet'!$B$9,Paramètres!$A$1:$I$89,5,0)</f>
        <v>0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104.72098571815286</v>
      </c>
      <c r="T93" s="62">
        <f t="shared" si="88"/>
        <v>517.31320443860409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26.382599141956099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1.8724355110825952E-9</v>
      </c>
      <c r="AC93" s="24">
        <f t="shared" si="57"/>
        <v>26.382599143828536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0</v>
      </c>
      <c r="O94" s="14">
        <f>N94*VLOOKUP('Données projet'!$B$9,Paramètres!$A$1:$I$89,3,0)*VLOOKUP('Données projet'!$B$9,Paramètres!$A$1:$I$89,5,0)</f>
        <v>0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104.72098571815286</v>
      </c>
      <c r="T94" s="62">
        <f t="shared" si="88"/>
        <v>517.31320443860409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25.865252464578884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1.324011847221002E-9</v>
      </c>
      <c r="AC94" s="24">
        <f t="shared" si="57"/>
        <v>25.865252465902895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0</v>
      </c>
      <c r="O95" s="14">
        <f>N95*VLOOKUP('Données projet'!$B$9,Paramètres!$A$1:$I$89,3,0)*VLOOKUP('Données projet'!$B$9,Paramètres!$A$1:$I$89,5,0)</f>
        <v>0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104.72098571815286</v>
      </c>
      <c r="T95" s="62">
        <f t="shared" si="88"/>
        <v>517.31320443860409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25.358050639994719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9.3621775554129761E-10</v>
      </c>
      <c r="AC95" s="24">
        <f t="shared" si="57"/>
        <v>25.358050640930937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0</v>
      </c>
      <c r="O96" s="14">
        <f>N96*VLOOKUP('Données projet'!$B$9,Paramètres!$A$1:$I$89,3,0)*VLOOKUP('Données projet'!$B$9,Paramètres!$A$1:$I$89,5,0)</f>
        <v>0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104.72098571815286</v>
      </c>
      <c r="T96" s="62">
        <f t="shared" si="88"/>
        <v>517.31320443860409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24.860794733828087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6.6200592361050099E-10</v>
      </c>
      <c r="AC96" s="24">
        <f t="shared" si="57"/>
        <v>24.860794734490092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0</v>
      </c>
      <c r="O97" s="14">
        <f>N97*VLOOKUP('Données projet'!$B$9,Paramètres!$A$1:$I$89,3,0)*VLOOKUP('Données projet'!$B$9,Paramètres!$A$1:$I$89,5,0)</f>
        <v>0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104.72098571815286</v>
      </c>
      <c r="T97" s="62">
        <f t="shared" si="88"/>
        <v>517.31320443860409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24.373289712685224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4.6810887777064881E-10</v>
      </c>
      <c r="AC97" s="24">
        <f t="shared" si="57"/>
        <v>24.373289713153333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0</v>
      </c>
      <c r="O98" s="14">
        <f>N98*VLOOKUP('Données projet'!$B$9,Paramètres!$A$1:$I$89,3,0)*VLOOKUP('Données projet'!$B$9,Paramètres!$A$1:$I$89,5,0)</f>
        <v>0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104.72098571815286</v>
      </c>
      <c r="T98" s="62">
        <f t="shared" si="88"/>
        <v>517.31320443860409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23.895344367658272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3.3100296180525049E-10</v>
      </c>
      <c r="AC98" s="24">
        <f t="shared" si="57"/>
        <v>23.895344367989274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0</v>
      </c>
      <c r="O99" s="14">
        <f>N99*VLOOKUP('Données projet'!$B$9,Paramètres!$A$1:$I$89,3,0)*VLOOKUP('Données projet'!$B$9,Paramètres!$A$1:$I$89,5,0)</f>
        <v>0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104.72098571815286</v>
      </c>
      <c r="T99" s="62">
        <f t="shared" si="88"/>
        <v>517.31320443860409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23.426771239329423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2.340544388853244E-10</v>
      </c>
      <c r="AC99" s="24">
        <f t="shared" si="57"/>
        <v>23.426771239563475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0</v>
      </c>
      <c r="O100" s="14">
        <f>N100*VLOOKUP('Données projet'!$B$9,Paramètres!$A$1:$I$89,3,0)*VLOOKUP('Données projet'!$B$9,Paramètres!$A$1:$I$89,5,0)</f>
        <v>0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104.72098571815286</v>
      </c>
      <c r="T100" s="62">
        <f t="shared" si="88"/>
        <v>517.31320443860409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22.967386544245716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1.6550148090262525E-10</v>
      </c>
      <c r="AC100" s="24">
        <f t="shared" si="57"/>
        <v>22.96738654441122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0</v>
      </c>
      <c r="O101" s="14">
        <f>N101*VLOOKUP('Données projet'!$B$9,Paramètres!$A$1:$I$89,3,0)*VLOOKUP('Données projet'!$B$9,Paramètres!$A$1:$I$89,5,0)</f>
        <v>0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104.72098571815286</v>
      </c>
      <c r="T101" s="62">
        <f t="shared" si="88"/>
        <v>517.31320443860409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22.517010102835602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1.170272194426622E-10</v>
      </c>
      <c r="AC101" s="24">
        <f t="shared" si="57"/>
        <v>22.517010102952629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0</v>
      </c>
      <c r="O102" s="14">
        <f>N102*VLOOKUP('Données projet'!$B$9,Paramètres!$A$1:$I$89,3,0)*VLOOKUP('Données projet'!$B$9,Paramètres!$A$1:$I$89,5,0)</f>
        <v>0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104.72098571815286</v>
      </c>
      <c r="T102" s="62">
        <f t="shared" si="88"/>
        <v>517.31320443860409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22.075465268739038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8.2750740451312624E-11</v>
      </c>
      <c r="AC102" s="24">
        <f t="shared" si="57"/>
        <v>22.075465268821787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0</v>
      </c>
      <c r="O103" s="14">
        <f>N103*VLOOKUP('Données projet'!$B$9,Paramètres!$A$1:$I$89,3,0)*VLOOKUP('Données projet'!$B$9,Paramètres!$A$1:$I$89,5,0)</f>
        <v>0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104.72098571815286</v>
      </c>
      <c r="T103" s="62">
        <f t="shared" si="88"/>
        <v>517.31320443860409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21.642578859523351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5.8513609721331101E-11</v>
      </c>
      <c r="AC103" s="24">
        <f t="shared" si="57"/>
        <v>21.642578859581864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0</v>
      </c>
      <c r="O104" s="14">
        <f>N104*VLOOKUP('Données projet'!$B$9,Paramètres!$A$1:$I$89,3,0)*VLOOKUP('Données projet'!$B$9,Paramètres!$A$1:$I$89,5,0)</f>
        <v>0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104.72098571815286</v>
      </c>
      <c r="T104" s="62">
        <f t="shared" si="88"/>
        <v>517.31320443860409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21.218181088757746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4.1375370225656312E-11</v>
      </c>
      <c r="AC104" s="24">
        <f t="shared" si="57"/>
        <v>21.21818108879912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0</v>
      </c>
      <c r="O105" s="14">
        <f>N105*VLOOKUP('Données projet'!$B$9,Paramètres!$A$1:$I$89,3,0)*VLOOKUP('Données projet'!$B$9,Paramètres!$A$1:$I$89,5,0)</f>
        <v>0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104.72098571815286</v>
      </c>
      <c r="T105" s="62">
        <f t="shared" si="88"/>
        <v>517.31320443860409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20.802105499419774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2.925680486066555E-11</v>
      </c>
      <c r="AC105" s="24">
        <f t="shared" si="57"/>
        <v>20.802105499449031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0</v>
      </c>
      <c r="O106" s="14">
        <f>N106*VLOOKUP('Données projet'!$B$9,Paramètres!$A$1:$I$89,3,0)*VLOOKUP('Données projet'!$B$9,Paramètres!$A$1:$I$89,5,0)</f>
        <v>0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104.72098571815286</v>
      </c>
      <c r="T106" s="62">
        <f t="shared" si="88"/>
        <v>517.31320443860409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20.394188898607666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2.0687685112828156E-11</v>
      </c>
      <c r="AC106" s="24">
        <f t="shared" si="57"/>
        <v>20.394188898628354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0</v>
      </c>
      <c r="O107" s="14">
        <f>N107*VLOOKUP('Données projet'!$B$9,Paramètres!$A$1:$I$89,3,0)*VLOOKUP('Données projet'!$B$9,Paramètres!$A$1:$I$89,5,0)</f>
        <v>0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104.72098571815286</v>
      </c>
      <c r="T107" s="62">
        <f t="shared" si="88"/>
        <v>517.31320443860409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19.994271293532925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1.4628402430332775E-11</v>
      </c>
      <c r="AC107" s="24">
        <f t="shared" si="57"/>
        <v>19.994271293547556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0</v>
      </c>
      <c r="O108" s="14">
        <f>N108*VLOOKUP('Données projet'!$B$9,Paramètres!$A$1:$I$89,3,0)*VLOOKUP('Données projet'!$B$9,Paramètres!$A$1:$I$89,5,0)</f>
        <v>0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104.72098571815286</v>
      </c>
      <c r="T108" s="62">
        <f t="shared" si="88"/>
        <v>517.31320443860409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19.602195828768046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1.0343842556414078E-11</v>
      </c>
      <c r="AC108" s="24">
        <f t="shared" si="57"/>
        <v>19.602195828778392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0</v>
      </c>
      <c r="O109" s="14">
        <f>N109*VLOOKUP('Données projet'!$B$9,Paramètres!$A$1:$I$89,3,0)*VLOOKUP('Données projet'!$B$9,Paramètres!$A$1:$I$89,5,0)</f>
        <v>0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104.72098571815286</v>
      </c>
      <c r="T109" s="62">
        <f t="shared" si="88"/>
        <v>517.31320443860409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19.217808724724787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7.3142012151663876E-12</v>
      </c>
      <c r="AC109" s="24">
        <f t="shared" si="57"/>
        <v>19.217808724732102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0</v>
      </c>
      <c r="O110" s="14">
        <f>N110*VLOOKUP('Données projet'!$B$9,Paramètres!$A$1:$I$89,3,0)*VLOOKUP('Données projet'!$B$9,Paramètres!$A$1:$I$89,5,0)</f>
        <v>0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104.72098571815286</v>
      </c>
      <c r="T110" s="62">
        <f t="shared" si="88"/>
        <v>517.31320443860409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18.840959217338835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5.171921278207039E-12</v>
      </c>
      <c r="AC110" s="24">
        <f t="shared" si="57"/>
        <v>18.840959217344007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0</v>
      </c>
      <c r="O111" s="14">
        <f>N111*VLOOKUP('Données projet'!$B$9,Paramètres!$A$1:$I$89,3,0)*VLOOKUP('Données projet'!$B$9,Paramètres!$A$1:$I$89,5,0)</f>
        <v>0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104.72098571815286</v>
      </c>
      <c r="T111" s="62">
        <f t="shared" si="88"/>
        <v>517.31320443860409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18.471499498937217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3.6571006075831938E-12</v>
      </c>
      <c r="AC111" s="24">
        <f t="shared" si="57"/>
        <v>18.471499498940872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0</v>
      </c>
      <c r="O112" s="14">
        <f>N112*VLOOKUP('Données projet'!$B$9,Paramètres!$A$1:$I$89,3,0)*VLOOKUP('Données projet'!$B$9,Paramètres!$A$1:$I$89,5,0)</f>
        <v>0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104.72098571815286</v>
      </c>
      <c r="T112" s="62">
        <f t="shared" si="88"/>
        <v>517.31320443860409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18.109284660265278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2.5859606391035195E-12</v>
      </c>
      <c r="AC112" s="24">
        <f t="shared" si="57"/>
        <v>18.109284660267864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0</v>
      </c>
      <c r="O113" s="14">
        <f>N113*VLOOKUP('Données projet'!$B$9,Paramètres!$A$1:$I$89,3,0)*VLOOKUP('Données projet'!$B$9,Paramètres!$A$1:$I$89,5,0)</f>
        <v>0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104.72098571815286</v>
      </c>
      <c r="T113" s="62">
        <f t="shared" si="88"/>
        <v>517.31320443860409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17.754172633650459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1.8285503037915969E-12</v>
      </c>
      <c r="AC113" s="24">
        <f t="shared" si="57"/>
        <v>17.754172633652288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0</v>
      </c>
      <c r="O114" s="14">
        <f>N114*VLOOKUP('Données projet'!$B$9,Paramètres!$A$1:$I$89,3,0)*VLOOKUP('Données projet'!$B$9,Paramètres!$A$1:$I$89,5,0)</f>
        <v>0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104.72098571815286</v>
      </c>
      <c r="T114" s="62">
        <f t="shared" si="88"/>
        <v>517.31320443860409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17.406024137280607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1.2929803195517597E-12</v>
      </c>
      <c r="AC114" s="24">
        <f t="shared" si="57"/>
        <v>17.4060241372819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0</v>
      </c>
      <c r="O115" s="14">
        <f>N115*VLOOKUP('Données projet'!$B$9,Paramètres!$A$1:$I$89,3,0)*VLOOKUP('Données projet'!$B$9,Paramètres!$A$1:$I$89,5,0)</f>
        <v>0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104.72098571815286</v>
      </c>
      <c r="T115" s="62">
        <f t="shared" si="88"/>
        <v>517.31320443860409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17.064702620574952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9.1427515189579845E-13</v>
      </c>
      <c r="AC115" s="24">
        <f t="shared" si="57"/>
        <v>17.064702620575865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0</v>
      </c>
      <c r="O116" s="14">
        <f>N116*VLOOKUP('Données projet'!$B$9,Paramètres!$A$1:$I$89,3,0)*VLOOKUP('Données projet'!$B$9,Paramètres!$A$1:$I$89,5,0)</f>
        <v>0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104.72098571815286</v>
      </c>
      <c r="T116" s="62">
        <f t="shared" si="88"/>
        <v>517.31320443860409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16.730074210626327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6.4649015977587987E-13</v>
      </c>
      <c r="AC116" s="24">
        <f t="shared" si="57"/>
        <v>16.730074210626974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0</v>
      </c>
      <c r="O117" s="14">
        <f>N117*VLOOKUP('Données projet'!$B$9,Paramètres!$A$1:$I$89,3,0)*VLOOKUP('Données projet'!$B$9,Paramètres!$A$1:$I$89,5,0)</f>
        <v>0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104.72098571815286</v>
      </c>
      <c r="T117" s="62">
        <f t="shared" si="88"/>
        <v>517.31320443860409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16.40200765969362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4.5713757594789922E-13</v>
      </c>
      <c r="AC117" s="24">
        <f t="shared" si="57"/>
        <v>16.402007659694078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0</v>
      </c>
      <c r="O118" s="14">
        <f>N118*VLOOKUP('Données projet'!$B$9,Paramètres!$A$1:$I$89,3,0)*VLOOKUP('Données projet'!$B$9,Paramètres!$A$1:$I$89,5,0)</f>
        <v>0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104.72098571815286</v>
      </c>
      <c r="T118" s="62">
        <f t="shared" si="88"/>
        <v>517.31320443860409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16.080374293723864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3.2324507988793994E-13</v>
      </c>
      <c r="AC118" s="24">
        <f t="shared" si="57"/>
        <v>16.080374293724187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projet'!$B$9,Paramètres!$A$1:$I$89,3,0)*VLOOKUP('Données projet'!$B$9,Paramètres!$A$1:$I$89,5,0)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104.72098571815286</v>
      </c>
      <c r="T119" s="62">
        <f t="shared" si="88"/>
        <v>517.31320443860409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15.765047961883793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2.2856878797394961E-13</v>
      </c>
      <c r="AC119" s="24">
        <f t="shared" si="57"/>
        <v>15.765047961884022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projet'!$B$9,Paramètres!$A$1:$I$89,3,0)*VLOOKUP('Données projet'!$B$9,Paramètres!$A$1:$I$89,5,0)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104.72098571815286</v>
      </c>
      <c r="T120" s="62">
        <f t="shared" si="88"/>
        <v>517.31320443860409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15.455904987081034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1.6162253994396997E-13</v>
      </c>
      <c r="AC120" s="24">
        <f t="shared" si="57"/>
        <v>15.455904987081196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projet'!$B$9,Paramètres!$A$1:$I$89,3,0)*VLOOKUP('Données projet'!$B$9,Paramètres!$A$1:$I$89,5,0)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104.72098571815286</v>
      </c>
      <c r="T121" s="62">
        <f t="shared" si="88"/>
        <v>517.31320443860409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15.152824117455561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1.1428439398697481E-13</v>
      </c>
      <c r="AC121" s="24">
        <f t="shared" si="57"/>
        <v>15.152824117455674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projet'!$B$9,Paramètres!$A$1:$I$89,3,0)*VLOOKUP('Données projet'!$B$9,Paramètres!$A$1:$I$89,5,0)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104.72098571815286</v>
      </c>
      <c r="T122" s="62">
        <f t="shared" si="88"/>
        <v>517.31320443860409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14.855686478822367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8.0811269971984984E-14</v>
      </c>
      <c r="AC122" s="24">
        <f t="shared" si="57"/>
        <v>14.855686478822447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projet'!$B$9,Paramètres!$A$1:$I$89,3,0)*VLOOKUP('Données projet'!$B$9,Paramètres!$A$1:$I$89,5,0)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104.72098571815286</v>
      </c>
      <c r="T123" s="62">
        <f t="shared" si="88"/>
        <v>517.31320443860409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14.564375528046705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5.7142196993487403E-14</v>
      </c>
      <c r="AC123" s="24">
        <f t="shared" si="57"/>
        <v>14.564375528046762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projet'!$B$9,Paramètres!$A$1:$I$89,3,0)*VLOOKUP('Données projet'!$B$9,Paramètres!$A$1:$I$89,5,0)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104.72098571815286</v>
      </c>
      <c r="T124" s="62">
        <f t="shared" si="88"/>
        <v>517.31320443860409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14.27877700733362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4.0405634985992492E-14</v>
      </c>
      <c r="AC124" s="24">
        <f t="shared" si="57"/>
        <v>14.278777007333661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projet'!$B$9,Paramètres!$A$1:$I$89,3,0)*VLOOKUP('Données projet'!$B$9,Paramètres!$A$1:$I$89,5,0)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104.72098571815286</v>
      </c>
      <c r="T125" s="62">
        <f t="shared" si="88"/>
        <v>517.31320443860409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13.99877889941382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2.8571098496743702E-14</v>
      </c>
      <c r="AC125" s="24">
        <f t="shared" si="57"/>
        <v>13.998778899413848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projet'!$B$9,Paramètres!$A$1:$I$89,3,0)*VLOOKUP('Données projet'!$B$9,Paramètres!$A$1:$I$89,5,0)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104.72098571815286</v>
      </c>
      <c r="T126" s="62">
        <f t="shared" si="88"/>
        <v>517.31320443860409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13.724271383608345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2.0202817492996246E-14</v>
      </c>
      <c r="AC126" s="24">
        <f t="shared" si="57"/>
        <v>13.724271383608365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projet'!$B$9,Paramètres!$A$1:$I$89,3,0)*VLOOKUP('Données projet'!$B$9,Paramètres!$A$1:$I$89,5,0)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104.72098571815286</v>
      </c>
      <c r="T127" s="62">
        <f t="shared" si="88"/>
        <v>517.31320443860409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13.455146792754764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1.4285549248371851E-14</v>
      </c>
      <c r="AC127" s="24">
        <f t="shared" si="57"/>
        <v>13.455146792754778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projet'!$B$9,Paramètres!$A$1:$I$89,3,0)*VLOOKUP('Données projet'!$B$9,Paramètres!$A$1:$I$89,5,0)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104.72098571815286</v>
      </c>
      <c r="T128" s="62">
        <f t="shared" si="88"/>
        <v>517.31320443860409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13.19129957097803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1.0101408746498123E-14</v>
      </c>
      <c r="AC128" s="24">
        <f t="shared" si="57"/>
        <v>13.191299570978041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projet'!$B$9,Paramètres!$A$1:$I$89,3,0)*VLOOKUP('Données projet'!$B$9,Paramètres!$A$1:$I$89,5,0)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104.72098571815286</v>
      </c>
      <c r="T129" s="62">
        <f t="shared" si="88"/>
        <v>517.31320443860409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12.932626232289422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7.1427746241859254E-15</v>
      </c>
      <c r="AC129" s="24">
        <f t="shared" si="57"/>
        <v>12.932626232289429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projet'!$B$9,Paramètres!$A$1:$I$89,3,0)*VLOOKUP('Données projet'!$B$9,Paramètres!$A$1:$I$89,5,0)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104.72098571815286</v>
      </c>
      <c r="T130" s="62">
        <f t="shared" si="88"/>
        <v>517.31320443860409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12.679025319997342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5.0507043732490615E-15</v>
      </c>
      <c r="AC130" s="24">
        <f t="shared" si="57"/>
        <v>12.679025319997347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projet'!$B$9,Paramètres!$A$1:$I$89,3,0)*VLOOKUP('Données projet'!$B$9,Paramètres!$A$1:$I$89,5,0)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104.72098571815286</v>
      </c>
      <c r="T131" s="62">
        <f t="shared" si="88"/>
        <v>517.31320443860409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12.430397366914026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3.5713873120929627E-15</v>
      </c>
      <c r="AC131" s="24">
        <f t="shared" si="57"/>
        <v>12.430397366914029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projet'!$B$9,Paramètres!$A$1:$I$89,3,0)*VLOOKUP('Données projet'!$B$9,Paramètres!$A$1:$I$89,5,0)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104.72098571815286</v>
      </c>
      <c r="T132" s="62">
        <f t="shared" si="88"/>
        <v>517.31320443860409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12.186644856342596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2.5253521866245308E-15</v>
      </c>
      <c r="AC132" s="24">
        <f t="shared" ref="AC132:AC153" si="111">SUM(Z132:AB132)</f>
        <v>12.186644856342598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projet'!$B$9,Paramètres!$A$1:$I$89,3,0)*VLOOKUP('Données projet'!$B$9,Paramètres!$A$1:$I$89,5,0)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104.72098571815286</v>
      </c>
      <c r="T133" s="62">
        <f t="shared" ref="T133:T196" si="142">$T$3</f>
        <v>517.31320443860409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11.947672183829122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1.7856936560464813E-15</v>
      </c>
      <c r="AC133" s="24">
        <f t="shared" si="111"/>
        <v>11.947672183829123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projet'!$B$9,Paramètres!$A$1:$I$89,3,0)*VLOOKUP('Données projet'!$B$9,Paramètres!$A$1:$I$89,5,0)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104.72098571815286</v>
      </c>
      <c r="T134" s="62">
        <f t="shared" si="142"/>
        <v>517.31320443860409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11.713385619664697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1.2626760933122654E-15</v>
      </c>
      <c r="AC134" s="24">
        <f t="shared" si="111"/>
        <v>11.713385619664699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projet'!$B$9,Paramètres!$A$1:$I$89,3,0)*VLOOKUP('Données projet'!$B$9,Paramètres!$A$1:$I$89,5,0)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104.72098571815286</v>
      </c>
      <c r="T135" s="62">
        <f t="shared" si="142"/>
        <v>517.31320443860409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11.483693272122844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8.9284682802324067E-16</v>
      </c>
      <c r="AC135" s="24">
        <f t="shared" si="111"/>
        <v>11.483693272122846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projet'!$B$9,Paramètres!$A$1:$I$89,3,0)*VLOOKUP('Données projet'!$B$9,Paramètres!$A$1:$I$89,5,0)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104.72098571815286</v>
      </c>
      <c r="T136" s="62">
        <f t="shared" si="142"/>
        <v>517.31320443860409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11.258505051417787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6.3133804665613269E-16</v>
      </c>
      <c r="AC136" s="24">
        <f t="shared" si="111"/>
        <v>11.258505051417787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projet'!$B$9,Paramètres!$A$1:$I$89,3,0)*VLOOKUP('Données projet'!$B$9,Paramètres!$A$1:$I$89,5,0)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104.72098571815286</v>
      </c>
      <c r="T137" s="62">
        <f t="shared" si="142"/>
        <v>517.31320443860409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11.037732634369505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4.4642341401162034E-16</v>
      </c>
      <c r="AC137" s="24">
        <f t="shared" si="111"/>
        <v>11.037732634369505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projet'!$B$9,Paramètres!$A$1:$I$89,3,0)*VLOOKUP('Données projet'!$B$9,Paramètres!$A$1:$I$89,5,0)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104.72098571815286</v>
      </c>
      <c r="T138" s="62">
        <f t="shared" si="142"/>
        <v>517.31320443860409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10.821289429761661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3.1566902332806634E-16</v>
      </c>
      <c r="AC138" s="24">
        <f t="shared" si="111"/>
        <v>10.821289429761661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projet'!$B$9,Paramètres!$A$1:$I$89,3,0)*VLOOKUP('Données projet'!$B$9,Paramètres!$A$1:$I$89,5,0)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104.72098571815286</v>
      </c>
      <c r="T139" s="62">
        <f t="shared" si="142"/>
        <v>517.31320443860409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10.609090544378859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2.2321170700581017E-16</v>
      </c>
      <c r="AC139" s="24">
        <f t="shared" si="111"/>
        <v>10.609090544378859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projet'!$B$9,Paramètres!$A$1:$I$89,3,0)*VLOOKUP('Données projet'!$B$9,Paramètres!$A$1:$I$89,5,0)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104.72098571815286</v>
      </c>
      <c r="T140" s="62">
        <f t="shared" si="142"/>
        <v>517.31320443860409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10.401052749709873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1.5783451166403317E-16</v>
      </c>
      <c r="AC140" s="24">
        <f t="shared" si="111"/>
        <v>10.401052749709873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projet'!$B$9,Paramètres!$A$1:$I$89,3,0)*VLOOKUP('Données projet'!$B$9,Paramètres!$A$1:$I$89,5,0)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104.72098571815286</v>
      </c>
      <c r="T141" s="62">
        <f t="shared" si="142"/>
        <v>517.31320443860409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10.197094449303821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1.1160585350290508E-16</v>
      </c>
      <c r="AC141" s="24">
        <f t="shared" si="111"/>
        <v>10.197094449303821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projet'!$B$9,Paramètres!$A$1:$I$89,3,0)*VLOOKUP('Données projet'!$B$9,Paramètres!$A$1:$I$89,5,0)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104.72098571815286</v>
      </c>
      <c r="T142" s="62">
        <f t="shared" si="142"/>
        <v>517.31320443860409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9.9971356467664503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7.8917255832016586E-17</v>
      </c>
      <c r="AC142" s="24">
        <f t="shared" si="111"/>
        <v>9.9971356467664503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projet'!$B$9,Paramètres!$A$1:$I$89,3,0)*VLOOKUP('Données projet'!$B$9,Paramètres!$A$1:$I$89,5,0)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104.72098571815286</v>
      </c>
      <c r="T143" s="62">
        <f t="shared" si="142"/>
        <v>517.31320443860409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9.8010979143840125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5.5802926751452542E-17</v>
      </c>
      <c r="AC143" s="24">
        <f t="shared" si="111"/>
        <v>9.8010979143840125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projet'!$B$9,Paramètres!$A$1:$I$89,3,0)*VLOOKUP('Données projet'!$B$9,Paramètres!$A$1:$I$89,5,0)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104.72098571815286</v>
      </c>
      <c r="T144" s="62">
        <f t="shared" si="142"/>
        <v>517.31320443860409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9.6089043623623827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3.9458627916008293E-17</v>
      </c>
      <c r="AC144" s="24">
        <f t="shared" si="111"/>
        <v>9.6089043623623827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projet'!$B$9,Paramètres!$A$1:$I$89,3,0)*VLOOKUP('Données projet'!$B$9,Paramètres!$A$1:$I$89,5,0)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104.72098571815286</v>
      </c>
      <c r="T145" s="62">
        <f t="shared" si="142"/>
        <v>517.31320443860409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9.4204796086694067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2.7901463375726271E-17</v>
      </c>
      <c r="AC145" s="24">
        <f t="shared" si="111"/>
        <v>9.4204796086694067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projet'!$B$9,Paramètres!$A$1:$I$89,3,0)*VLOOKUP('Données projet'!$B$9,Paramètres!$A$1:$I$89,5,0)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104.72098571815286</v>
      </c>
      <c r="T146" s="62">
        <f t="shared" si="142"/>
        <v>517.31320443860409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9.2357497494685976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1.9729313958004146E-17</v>
      </c>
      <c r="AC146" s="24">
        <f t="shared" si="111"/>
        <v>9.2357497494685976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projet'!$B$9,Paramètres!$A$1:$I$89,3,0)*VLOOKUP('Données projet'!$B$9,Paramètres!$A$1:$I$89,5,0)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104.72098571815286</v>
      </c>
      <c r="T147" s="62">
        <f t="shared" si="142"/>
        <v>517.31320443860409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9.0546423301326282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1.3950731687863136E-17</v>
      </c>
      <c r="AC147" s="24">
        <f t="shared" si="111"/>
        <v>9.0546423301326282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projet'!$B$9,Paramètres!$A$1:$I$89,3,0)*VLOOKUP('Données projet'!$B$9,Paramètres!$A$1:$I$89,5,0)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104.72098571815286</v>
      </c>
      <c r="T148" s="62">
        <f t="shared" si="142"/>
        <v>517.31320443860409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8.8770863168252188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9.8646569790020732E-18</v>
      </c>
      <c r="AC148" s="24">
        <f t="shared" si="111"/>
        <v>8.8770863168252188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projet'!$B$9,Paramètres!$A$1:$I$89,3,0)*VLOOKUP('Données projet'!$B$9,Paramètres!$A$1:$I$89,5,0)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104.72098571815286</v>
      </c>
      <c r="T149" s="62">
        <f t="shared" si="142"/>
        <v>517.31320443860409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8.7030120686402928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6.9753658439315678E-18</v>
      </c>
      <c r="AC149" s="24">
        <f t="shared" si="111"/>
        <v>8.7030120686402928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projet'!$B$9,Paramètres!$A$1:$I$89,3,0)*VLOOKUP('Données projet'!$B$9,Paramètres!$A$1:$I$89,5,0)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104.72098571815286</v>
      </c>
      <c r="T150" s="62">
        <f t="shared" si="142"/>
        <v>517.31320443860409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8.5323513102874653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4.9323284895010366E-18</v>
      </c>
      <c r="AC150" s="24">
        <f t="shared" si="111"/>
        <v>8.5323513102874653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projet'!$B$9,Paramètres!$A$1:$I$89,3,0)*VLOOKUP('Données projet'!$B$9,Paramètres!$A$1:$I$89,5,0)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104.72098571815286</v>
      </c>
      <c r="T151" s="62">
        <f t="shared" si="142"/>
        <v>517.31320443860409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8.3650371053131529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3.4876829219657839E-18</v>
      </c>
      <c r="AC151" s="24">
        <f t="shared" si="111"/>
        <v>8.3650371053131529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projet'!$B$9,Paramètres!$A$1:$I$89,3,0)*VLOOKUP('Données projet'!$B$9,Paramètres!$A$1:$I$89,5,0)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104.72098571815286</v>
      </c>
      <c r="T152" s="62">
        <f t="shared" si="142"/>
        <v>517.31320443860409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8.2010038298467993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2.4661642447505183E-18</v>
      </c>
      <c r="AC152" s="24">
        <f t="shared" si="111"/>
        <v>8.2010038298467993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projet'!$B$9,Paramètres!$A$1:$I$89,3,0)*VLOOKUP('Données projet'!$B$9,Paramètres!$A$1:$I$89,5,0)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104.72098571815286</v>
      </c>
      <c r="T153" s="62">
        <f t="shared" si="142"/>
        <v>517.31320443860409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8.0401871468619213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1.7438414609828919E-18</v>
      </c>
      <c r="AC153" s="24">
        <f t="shared" si="111"/>
        <v>8.0401871468619213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projet'!$B$9,Paramètres!$A$1:$I$89,3,0)*VLOOKUP('Données projet'!$B$9,Paramètres!$A$1:$I$89,5,0)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104.72098571815286</v>
      </c>
      <c r="T154" s="62">
        <f t="shared" si="142"/>
        <v>517.31320443860409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7.8825239809418859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1.2330821223752592E-18</v>
      </c>
      <c r="AC154" s="24">
        <f t="shared" ref="AC154:AC203" si="163">SUM(Z154:AB154)</f>
        <v>7.8825239809418859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projet'!$B$9,Paramètres!$A$1:$I$89,3,0)*VLOOKUP('Données projet'!$B$9,Paramètres!$A$1:$I$89,5,0)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104.72098571815286</v>
      </c>
      <c r="T155" s="62">
        <f t="shared" si="142"/>
        <v>517.31320443860409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7.7279524935405064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8.7192073049144597E-19</v>
      </c>
      <c r="AC155" s="24">
        <f t="shared" si="163"/>
        <v>7.7279524935405064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projet'!$B$9,Paramètres!$A$1:$I$89,3,0)*VLOOKUP('Données projet'!$B$9,Paramètres!$A$1:$I$89,5,0)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104.72098571815286</v>
      </c>
      <c r="T156" s="62">
        <f t="shared" si="142"/>
        <v>517.31320443860409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7.5764120587277706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6.1654106118762958E-19</v>
      </c>
      <c r="AC156" s="24">
        <f t="shared" si="163"/>
        <v>7.5764120587277706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projet'!$B$9,Paramètres!$A$1:$I$89,3,0)*VLOOKUP('Données projet'!$B$9,Paramètres!$A$1:$I$89,5,0)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104.72098571815286</v>
      </c>
      <c r="T157" s="62">
        <f t="shared" si="142"/>
        <v>517.31320443860409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7.4278432394111737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4.3596036524572298E-19</v>
      </c>
      <c r="AC157" s="24">
        <f t="shared" si="163"/>
        <v>7.4278432394111737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projet'!$B$9,Paramètres!$A$1:$I$89,3,0)*VLOOKUP('Données projet'!$B$9,Paramètres!$A$1:$I$89,5,0)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104.72098571815286</v>
      </c>
      <c r="T158" s="62">
        <f t="shared" si="142"/>
        <v>517.31320443860409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7.2821877640233437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3.0827053059381479E-19</v>
      </c>
      <c r="AC158" s="24">
        <f t="shared" si="163"/>
        <v>7.2821877640233437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projet'!$B$9,Paramètres!$A$1:$I$89,3,0)*VLOOKUP('Données projet'!$B$9,Paramètres!$A$1:$I$89,5,0)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104.72098571815286</v>
      </c>
      <c r="T159" s="62">
        <f t="shared" si="142"/>
        <v>517.31320443860409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7.139388503666801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2.1798018262286149E-19</v>
      </c>
      <c r="AC159" s="24">
        <f t="shared" si="163"/>
        <v>7.139388503666801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projet'!$B$9,Paramètres!$A$1:$I$89,3,0)*VLOOKUP('Données projet'!$B$9,Paramètres!$A$1:$I$89,5,0)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104.72098571815286</v>
      </c>
      <c r="T160" s="62">
        <f t="shared" si="142"/>
        <v>517.31320443860409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6.9993894497069018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1.5413526529690739E-19</v>
      </c>
      <c r="AC160" s="24">
        <f t="shared" si="163"/>
        <v>6.9993894497069018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projet'!$B$9,Paramètres!$A$1:$I$89,3,0)*VLOOKUP('Données projet'!$B$9,Paramètres!$A$1:$I$89,5,0)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104.72098571815286</v>
      </c>
      <c r="T161" s="62">
        <f t="shared" si="142"/>
        <v>517.31320443860409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6.8621356918041645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1.0899009131143075E-19</v>
      </c>
      <c r="AC161" s="24">
        <f t="shared" si="163"/>
        <v>6.8621356918041645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projet'!$B$9,Paramètres!$A$1:$I$89,3,0)*VLOOKUP('Données projet'!$B$9,Paramètres!$A$1:$I$89,5,0)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104.72098571815286</v>
      </c>
      <c r="T162" s="62">
        <f t="shared" si="142"/>
        <v>517.31320443860409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6.7275733963773741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7.7067632648453697E-20</v>
      </c>
      <c r="AC162" s="24">
        <f t="shared" si="163"/>
        <v>6.7275733963773741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projet'!$B$9,Paramètres!$A$1:$I$89,3,0)*VLOOKUP('Données projet'!$B$9,Paramètres!$A$1:$I$89,5,0)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104.72098571815286</v>
      </c>
      <c r="T163" s="62">
        <f t="shared" si="142"/>
        <v>517.31320443860409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6.595649785489007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5.4495045655715373E-20</v>
      </c>
      <c r="AC163" s="24">
        <f t="shared" si="163"/>
        <v>6.595649785489007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projet'!$B$9,Paramètres!$A$1:$I$89,3,0)*VLOOKUP('Données projet'!$B$9,Paramètres!$A$1:$I$89,5,0)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104.72098571815286</v>
      </c>
      <c r="T164" s="62">
        <f t="shared" si="142"/>
        <v>517.31320443860409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6.4663131161447032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3.8533816324226849E-20</v>
      </c>
      <c r="AC164" s="24">
        <f t="shared" si="163"/>
        <v>6.4663131161447032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projet'!$B$9,Paramètres!$A$1:$I$89,3,0)*VLOOKUP('Données projet'!$B$9,Paramètres!$A$1:$I$89,5,0)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104.72098571815286</v>
      </c>
      <c r="T165" s="62">
        <f t="shared" si="142"/>
        <v>517.31320443860409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6.3395126599986629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2.7247522827857687E-20</v>
      </c>
      <c r="AC165" s="24">
        <f t="shared" si="163"/>
        <v>6.3395126599986629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projet'!$B$9,Paramètres!$A$1:$I$89,3,0)*VLOOKUP('Données projet'!$B$9,Paramètres!$A$1:$I$89,5,0)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104.72098571815286</v>
      </c>
      <c r="T166" s="62">
        <f t="shared" si="142"/>
        <v>517.31320443860409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6.2151986834570048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1.9266908162113424E-20</v>
      </c>
      <c r="AC166" s="24">
        <f t="shared" si="163"/>
        <v>6.2151986834570048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projet'!$B$9,Paramètres!$A$1:$I$89,3,0)*VLOOKUP('Données projet'!$B$9,Paramètres!$A$1:$I$89,5,0)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104.72098571815286</v>
      </c>
      <c r="T167" s="62">
        <f t="shared" si="142"/>
        <v>517.31320443860409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6.0933224281712901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1.3623761413928843E-20</v>
      </c>
      <c r="AC167" s="24">
        <f t="shared" si="163"/>
        <v>6.0933224281712901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projet'!$B$9,Paramètres!$A$1:$I$89,3,0)*VLOOKUP('Données projet'!$B$9,Paramètres!$A$1:$I$89,5,0)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104.72098571815286</v>
      </c>
      <c r="T168" s="62">
        <f t="shared" si="142"/>
        <v>517.31320443860409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5.9738360919145528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9.6334540810567122E-21</v>
      </c>
      <c r="AC168" s="24">
        <f t="shared" si="163"/>
        <v>5.9738360919145528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projet'!$B$9,Paramètres!$A$1:$I$89,3,0)*VLOOKUP('Données projet'!$B$9,Paramètres!$A$1:$I$89,5,0)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104.72098571815286</v>
      </c>
      <c r="T169" s="62">
        <f t="shared" si="142"/>
        <v>517.31320443860409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5.8566928098323405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6.8118807069644216E-21</v>
      </c>
      <c r="AC169" s="24">
        <f t="shared" si="163"/>
        <v>5.8566928098323405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projet'!$B$9,Paramètres!$A$1:$I$89,3,0)*VLOOKUP('Données projet'!$B$9,Paramètres!$A$1:$I$89,5,0)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104.72098571815286</v>
      </c>
      <c r="T170" s="62">
        <f t="shared" si="142"/>
        <v>517.31320443860409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5.741846636061414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4.8167270405283561E-21</v>
      </c>
      <c r="AC170" s="24">
        <f t="shared" si="163"/>
        <v>5.741846636061414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projet'!$B$9,Paramètres!$A$1:$I$89,3,0)*VLOOKUP('Données projet'!$B$9,Paramètres!$A$1:$I$89,5,0)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104.72098571815286</v>
      </c>
      <c r="T171" s="62">
        <f t="shared" si="142"/>
        <v>517.31320443860409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5.6292525257088863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3.4059403534822108E-21</v>
      </c>
      <c r="AC171" s="24">
        <f t="shared" si="163"/>
        <v>5.6292525257088863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projet'!$B$9,Paramètres!$A$1:$I$89,3,0)*VLOOKUP('Données projet'!$B$9,Paramètres!$A$1:$I$89,5,0)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104.72098571815286</v>
      </c>
      <c r="T172" s="62">
        <f t="shared" si="142"/>
        <v>517.31320443860409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5.5188663171847452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2.408363520264178E-21</v>
      </c>
      <c r="AC172" s="24">
        <f t="shared" si="163"/>
        <v>5.5188663171847452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projet'!$B$9,Paramètres!$A$1:$I$89,3,0)*VLOOKUP('Données projet'!$B$9,Paramètres!$A$1:$I$89,5,0)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104.72098571815286</v>
      </c>
      <c r="T173" s="62">
        <f t="shared" si="142"/>
        <v>517.31320443860409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5.4106447148808234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1.7029701767411054E-21</v>
      </c>
      <c r="AC173" s="24">
        <f t="shared" si="163"/>
        <v>5.4106447148808234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projet'!$B$9,Paramètres!$A$1:$I$89,3,0)*VLOOKUP('Données projet'!$B$9,Paramètres!$A$1:$I$89,5,0)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104.72098571815286</v>
      </c>
      <c r="T174" s="62">
        <f t="shared" si="142"/>
        <v>517.31320443860409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5.3045452721894222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1.204181760132089E-21</v>
      </c>
      <c r="AC174" s="24">
        <f t="shared" si="163"/>
        <v>5.3045452721894222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projet'!$B$9,Paramètres!$A$1:$I$89,3,0)*VLOOKUP('Données projet'!$B$9,Paramètres!$A$1:$I$89,5,0)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104.72098571815286</v>
      </c>
      <c r="T175" s="62">
        <f t="shared" si="142"/>
        <v>517.31320443860409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5.2005263748549293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8.514850883705527E-22</v>
      </c>
      <c r="AC175" s="24">
        <f t="shared" si="163"/>
        <v>5.2005263748549293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projet'!$B$9,Paramètres!$A$1:$I$89,3,0)*VLOOKUP('Données projet'!$B$9,Paramètres!$A$1:$I$89,5,0)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104.72098571815286</v>
      </c>
      <c r="T176" s="62">
        <f t="shared" si="142"/>
        <v>517.31320443860409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5.0985472246519032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6.0209088006604451E-22</v>
      </c>
      <c r="AC176" s="24">
        <f t="shared" si="163"/>
        <v>5.0985472246519032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projet'!$B$9,Paramètres!$A$1:$I$89,3,0)*VLOOKUP('Données projet'!$B$9,Paramètres!$A$1:$I$89,5,0)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104.72098571815286</v>
      </c>
      <c r="T177" s="62">
        <f t="shared" si="142"/>
        <v>517.31320443860409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4.9985678233832189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4.2574254418527635E-22</v>
      </c>
      <c r="AC177" s="24">
        <f t="shared" si="163"/>
        <v>4.9985678233832189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projet'!$B$9,Paramètres!$A$1:$I$89,3,0)*VLOOKUP('Données projet'!$B$9,Paramètres!$A$1:$I$89,5,0)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104.72098571815286</v>
      </c>
      <c r="T178" s="62">
        <f t="shared" si="142"/>
        <v>517.31320443860409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4.900548957192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3.0104544003302225E-22</v>
      </c>
      <c r="AC178" s="24">
        <f t="shared" si="163"/>
        <v>4.900548957192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projet'!$B$9,Paramètres!$A$1:$I$89,3,0)*VLOOKUP('Données projet'!$B$9,Paramètres!$A$1:$I$89,5,0)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104.72098571815286</v>
      </c>
      <c r="T179" s="62">
        <f t="shared" si="142"/>
        <v>517.31320443860409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4.804452181181186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2.1287127209263818E-22</v>
      </c>
      <c r="AC179" s="24">
        <f t="shared" si="163"/>
        <v>4.804452181181186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projet'!$B$9,Paramètres!$A$1:$I$89,3,0)*VLOOKUP('Données projet'!$B$9,Paramètres!$A$1:$I$89,5,0)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104.72098571815286</v>
      </c>
      <c r="T180" s="62">
        <f t="shared" si="142"/>
        <v>517.31320443860409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4.710239804334698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1.5052272001651113E-22</v>
      </c>
      <c r="AC180" s="24">
        <f t="shared" si="163"/>
        <v>4.710239804334698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projet'!$B$9,Paramètres!$A$1:$I$89,3,0)*VLOOKUP('Données projet'!$B$9,Paramètres!$A$1:$I$89,5,0)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104.72098571815286</v>
      </c>
      <c r="T181" s="62">
        <f t="shared" si="142"/>
        <v>517.31320443860409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4.6178748747342935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1.0643563604631909E-22</v>
      </c>
      <c r="AC181" s="24">
        <f t="shared" si="163"/>
        <v>4.6178748747342935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projet'!$B$9,Paramètres!$A$1:$I$89,3,0)*VLOOKUP('Données projet'!$B$9,Paramètres!$A$1:$I$89,5,0)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104.72098571815286</v>
      </c>
      <c r="T182" s="62">
        <f t="shared" si="142"/>
        <v>517.31320443860409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4.5273211650663088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7.5261360008255564E-23</v>
      </c>
      <c r="AC182" s="24">
        <f t="shared" si="163"/>
        <v>4.5273211650663088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projet'!$B$9,Paramètres!$A$1:$I$89,3,0)*VLOOKUP('Données projet'!$B$9,Paramètres!$A$1:$I$89,5,0)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104.72098571815286</v>
      </c>
      <c r="T183" s="62">
        <f t="shared" si="142"/>
        <v>517.31320443860409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4.4385431584126041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5.3217818023159544E-23</v>
      </c>
      <c r="AC183" s="24">
        <f t="shared" si="163"/>
        <v>4.4385431584126041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projet'!$B$9,Paramètres!$A$1:$I$89,3,0)*VLOOKUP('Données projet'!$B$9,Paramètres!$A$1:$I$89,5,0)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104.72098571815286</v>
      </c>
      <c r="T184" s="62">
        <f t="shared" si="142"/>
        <v>517.31320443860409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4.351506034320141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3.7630680004127782E-23</v>
      </c>
      <c r="AC184" s="24">
        <f t="shared" si="163"/>
        <v>4.351506034320141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projet'!$B$9,Paramètres!$A$1:$I$89,3,0)*VLOOKUP('Données projet'!$B$9,Paramètres!$A$1:$I$89,5,0)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104.72098571815286</v>
      </c>
      <c r="T185" s="62">
        <f t="shared" si="142"/>
        <v>517.31320443860409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4.2661756551437282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2.6608909011579772E-23</v>
      </c>
      <c r="AC185" s="24">
        <f t="shared" si="163"/>
        <v>4.2661756551437282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projet'!$B$9,Paramètres!$A$1:$I$89,3,0)*VLOOKUP('Données projet'!$B$9,Paramètres!$A$1:$I$89,5,0)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104.72098571815286</v>
      </c>
      <c r="T186" s="62">
        <f t="shared" si="142"/>
        <v>517.31320443860409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4.182518552656572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1.8815340002063891E-23</v>
      </c>
      <c r="AC186" s="24">
        <f t="shared" si="163"/>
        <v>4.182518552656572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projet'!$B$9,Paramètres!$A$1:$I$89,3,0)*VLOOKUP('Données projet'!$B$9,Paramètres!$A$1:$I$89,5,0)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104.72098571815286</v>
      </c>
      <c r="T187" s="62">
        <f t="shared" si="142"/>
        <v>517.31320443860409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4.1005019149233952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1.3304454505789886E-23</v>
      </c>
      <c r="AC187" s="24">
        <f t="shared" si="163"/>
        <v>4.1005019149233952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projet'!$B$9,Paramètres!$A$1:$I$89,3,0)*VLOOKUP('Données projet'!$B$9,Paramètres!$A$1:$I$89,5,0)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104.72098571815286</v>
      </c>
      <c r="T188" s="62">
        <f t="shared" si="142"/>
        <v>517.31320443860409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4.0200935734309562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9.4076700010319455E-24</v>
      </c>
      <c r="AC188" s="24">
        <f t="shared" si="163"/>
        <v>4.0200935734309562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projet'!$B$9,Paramètres!$A$1:$I$89,3,0)*VLOOKUP('Données projet'!$B$9,Paramètres!$A$1:$I$89,5,0)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104.72098571815286</v>
      </c>
      <c r="T189" s="62">
        <f t="shared" si="142"/>
        <v>517.31320443860409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3.9412619904709385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6.652227252894943E-24</v>
      </c>
      <c r="AC189" s="24">
        <f t="shared" si="163"/>
        <v>3.9412619904709385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projet'!$B$9,Paramètres!$A$1:$I$89,3,0)*VLOOKUP('Données projet'!$B$9,Paramètres!$A$1:$I$89,5,0)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104.72098571815286</v>
      </c>
      <c r="T190" s="62">
        <f t="shared" si="142"/>
        <v>517.31320443860409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3.8639762467702488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4.7038350005159727E-24</v>
      </c>
      <c r="AC190" s="24">
        <f t="shared" si="163"/>
        <v>3.8639762467702488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projet'!$B$9,Paramètres!$A$1:$I$89,3,0)*VLOOKUP('Données projet'!$B$9,Paramètres!$A$1:$I$89,5,0)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104.72098571815286</v>
      </c>
      <c r="T191" s="62">
        <f t="shared" si="142"/>
        <v>517.31320443860409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3.7882060293638808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3.3261136264474715E-24</v>
      </c>
      <c r="AC191" s="24">
        <f t="shared" si="163"/>
        <v>3.7882060293638808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projet'!$B$9,Paramètres!$A$1:$I$89,3,0)*VLOOKUP('Données projet'!$B$9,Paramètres!$A$1:$I$89,5,0)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104.72098571815286</v>
      </c>
      <c r="T192" s="62">
        <f t="shared" si="142"/>
        <v>517.31320443860409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3.7139216197055824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2.3519175002579864E-24</v>
      </c>
      <c r="AC192" s="24">
        <f t="shared" si="163"/>
        <v>3.7139216197055824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projet'!$B$9,Paramètres!$A$1:$I$89,3,0)*VLOOKUP('Données projet'!$B$9,Paramètres!$A$1:$I$89,5,0)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104.72098571815286</v>
      </c>
      <c r="T193" s="62">
        <f t="shared" si="142"/>
        <v>517.31320443860409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3.6410938820116674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1.6630568132237358E-24</v>
      </c>
      <c r="AC193" s="24">
        <f t="shared" si="163"/>
        <v>3.6410938820116674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projet'!$B$9,Paramètres!$A$1:$I$89,3,0)*VLOOKUP('Données projet'!$B$9,Paramètres!$A$1:$I$89,5,0)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104.72098571815286</v>
      </c>
      <c r="T194" s="62">
        <f t="shared" si="142"/>
        <v>517.31320443860409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3.5696942518333961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1.1759587501289932E-24</v>
      </c>
      <c r="AC194" s="24">
        <f t="shared" si="163"/>
        <v>3.5696942518333961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projet'!$B$9,Paramètres!$A$1:$I$89,3,0)*VLOOKUP('Données projet'!$B$9,Paramètres!$A$1:$I$89,5,0)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104.72098571815286</v>
      </c>
      <c r="T195" s="62">
        <f t="shared" si="142"/>
        <v>517.31320443860409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3.4996947248534465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8.3152840661186788E-25</v>
      </c>
      <c r="AC195" s="24">
        <f t="shared" si="163"/>
        <v>3.4996947248534465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projet'!$B$9,Paramètres!$A$1:$I$89,3,0)*VLOOKUP('Données projet'!$B$9,Paramètres!$A$1:$I$89,5,0)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104.72098571815286</v>
      </c>
      <c r="T196" s="62">
        <f t="shared" si="142"/>
        <v>517.31320443860409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3.4310678459020778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5.8797937506449659E-25</v>
      </c>
      <c r="AC196" s="24">
        <f t="shared" si="163"/>
        <v>3.4310678459020778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projet'!$B$9,Paramètres!$A$1:$I$89,3,0)*VLOOKUP('Données projet'!$B$9,Paramètres!$A$1:$I$89,5,0)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104.72098571815286</v>
      </c>
      <c r="T197" s="62">
        <f t="shared" ref="T197:T203" si="204">$T$3</f>
        <v>517.31320443860409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3.3637866981886826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4.1576420330593394E-25</v>
      </c>
      <c r="AC197" s="24">
        <f t="shared" si="163"/>
        <v>3.3637866981886826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projet'!$B$9,Paramètres!$A$1:$I$89,3,0)*VLOOKUP('Données projet'!$B$9,Paramètres!$A$1:$I$89,5,0)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104.72098571815286</v>
      </c>
      <c r="T198" s="62">
        <f t="shared" si="204"/>
        <v>517.31320443860409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3.2978248927444991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2.939896875322483E-25</v>
      </c>
      <c r="AC198" s="24">
        <f t="shared" si="163"/>
        <v>3.2978248927444991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projet'!$B$9,Paramètres!$A$1:$I$89,3,0)*VLOOKUP('Données projet'!$B$9,Paramètres!$A$1:$I$89,5,0)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104.72098571815286</v>
      </c>
      <c r="T199" s="62">
        <f t="shared" si="204"/>
        <v>517.31320443860409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3.2331565580723476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2.0788210165296697E-25</v>
      </c>
      <c r="AC199" s="24">
        <f t="shared" si="163"/>
        <v>3.2331565580723476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projet'!$B$9,Paramètres!$A$1:$I$89,3,0)*VLOOKUP('Données projet'!$B$9,Paramètres!$A$1:$I$89,5,0)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104.72098571815286</v>
      </c>
      <c r="T200" s="62">
        <f t="shared" si="204"/>
        <v>517.31320443860409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3.1697563299993274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1.4699484376612415E-25</v>
      </c>
      <c r="AC200" s="24">
        <f t="shared" si="163"/>
        <v>3.1697563299993274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projet'!$B$9,Paramètres!$A$1:$I$89,3,0)*VLOOKUP('Données projet'!$B$9,Paramètres!$A$1:$I$89,5,0)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104.72098571815286</v>
      </c>
      <c r="T201" s="62">
        <f t="shared" si="204"/>
        <v>517.31320443860409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3.1075993417284984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1.0394105082648348E-25</v>
      </c>
      <c r="AC201" s="24">
        <f t="shared" si="163"/>
        <v>3.1075993417284984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projet'!$B$9,Paramètres!$A$1:$I$89,3,0)*VLOOKUP('Données projet'!$B$9,Paramètres!$A$1:$I$89,5,0)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104.72098571815286</v>
      </c>
      <c r="T202" s="62">
        <f t="shared" si="204"/>
        <v>517.31320443860409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3.0466612140856411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7.3497421883062074E-26</v>
      </c>
      <c r="AC202" s="24">
        <f t="shared" si="163"/>
        <v>3.0466612140856411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projet'!$B$9,Paramètres!$A$1:$I$89,3,0)*VLOOKUP('Données projet'!$B$9,Paramètres!$A$1:$I$89,5,0)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104.72098571815286</v>
      </c>
      <c r="T203" s="62">
        <f t="shared" si="204"/>
        <v>517.31320443860409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2.9869180459572724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5.1970525413241742E-26</v>
      </c>
      <c r="AC203" s="24">
        <f t="shared" si="163"/>
        <v>2.9869180459572724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1.3487750552117679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>
    <pageSetUpPr fitToPage="1"/>
  </sheetPr>
  <dimension ref="A1:BJ357"/>
  <sheetViews>
    <sheetView tabSelected="1" workbookViewId="0">
      <selection activeCell="M17" sqref="M17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Peuplier Robusta</v>
      </c>
      <c r="B6" s="155">
        <f>'Données projet'!D9</f>
        <v>9.3000000000000007</v>
      </c>
      <c r="C6" s="156">
        <f ca="1">IF(OR('Données projet'!B9="",'Données projet'!C9="",'Données projet'!C9=0%),0,Calculateur!S3)</f>
        <v>104.72098571815286</v>
      </c>
      <c r="D6" s="156">
        <f>IF(OR('Données projet'!B9="",'Données projet'!C9="",'Données projet'!C9=0%),0,Calculateur!T3)</f>
        <v>517.31320443860409</v>
      </c>
      <c r="E6" s="156">
        <f ca="1">MIN(C6,D6)</f>
        <v>104.72098571815286</v>
      </c>
      <c r="F6" s="156">
        <f ca="1">E6*B6</f>
        <v>973.90516717882167</v>
      </c>
      <c r="G6" s="156">
        <f ca="1">F6*(100%-'Données projet'!$C$24)*(100%-'Données projet'!$C$25)*(100%-'Données projet'!$C$26)*(100%-'Données projet'!$C$27)</f>
        <v>701.21172036875168</v>
      </c>
      <c r="H6" s="157">
        <f>IF(OR('Données projet'!B9="",'Données projet'!C9="",'Données projet'!C9=0%),0,AVERAGE(Calculateur!$AC$3:$AC$33)*B6)</f>
        <v>380.47876681969086</v>
      </c>
      <c r="I6" s="158">
        <f>H6*(100%-'Données projet'!$C$24)*(100%-'Données projet'!$C$25)*(100%-'Données projet'!$C$26)*(100%-'Données projet'!$C$27)</f>
        <v>273.94471211017742</v>
      </c>
      <c r="J6" s="159">
        <f>IF(OR('Données projet'!B9="",'Données projet'!C9="",'Données projet'!C9=0%),0,SUM(Calculateur!$V$3:$V$33)*VLOOKUP('Données projet'!$B$9,Paramètres!$A$1:$I$89,9,0)*B6)</f>
        <v>3802.8630000000007</v>
      </c>
      <c r="K6" s="160">
        <f>J6*(100%-'Données projet'!$C$24)*(100%-'Données projet'!$C$25)*(100%-'Données projet'!$C$26)*(100%-'Données projet'!$C$27)</f>
        <v>2738.0613600000006</v>
      </c>
      <c r="L6" s="161">
        <f ca="1">G6+I6+K6</f>
        <v>3713.2177924789298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973.90516717882167</v>
      </c>
      <c r="G16" s="175">
        <f t="shared" ca="1" si="3"/>
        <v>701.21172036875168</v>
      </c>
      <c r="H16" s="176">
        <f t="shared" si="3"/>
        <v>380.47876681969086</v>
      </c>
      <c r="I16" s="176">
        <f t="shared" si="3"/>
        <v>273.94471211017742</v>
      </c>
      <c r="J16" s="177">
        <f t="shared" si="3"/>
        <v>3802.8630000000007</v>
      </c>
      <c r="K16" s="177">
        <f t="shared" si="3"/>
        <v>2738.0613600000006</v>
      </c>
      <c r="L16" s="178">
        <f t="shared" ca="1" si="3"/>
        <v>3713.2177924789298</v>
      </c>
      <c r="M16" s="25">
        <f ca="1">L16/B6</f>
        <v>399.27073037407843</v>
      </c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Peuplier Robusta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0866141732283472" right="0.70866141732283472" top="0.74803149606299213" bottom="0.74803149606299213" header="0.31496062992125984" footer="0.31496062992125984"/>
  <pageSetup paperSize="9" scale="52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I5" zoomScale="90" zoomScaleNormal="90" workbookViewId="0">
      <selection activeCell="P25" sqref="P25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Peuplier Robusta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9.3000000000000007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Peuplier Robusta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1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20</v>
      </c>
      <c r="B23" s="193">
        <f>'Données projet'!D36</f>
        <v>397</v>
      </c>
      <c r="C23" s="206"/>
      <c r="D23" s="194">
        <f>B23*C23</f>
        <v>0</v>
      </c>
      <c r="E23" s="206"/>
      <c r="F23" s="261"/>
      <c r="H23" s="203"/>
      <c r="I23" s="204"/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0</v>
      </c>
      <c r="B24" s="193">
        <f>'Données projet'!D37</f>
        <v>0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0</v>
      </c>
      <c r="B25" s="193">
        <f>'Données projet'!D38</f>
        <v>0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36">
        <f ca="1">T23-T24</f>
        <v>0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0</v>
      </c>
      <c r="B26" s="193">
        <f>'Données projet'!D39</f>
        <v>0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n'est pas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 t="str">
        <f>IF(O53+1&lt;=MIN('Données projet'!$E$9:$E$18),O53+1,"STOP")</f>
        <v>STOP</v>
      </c>
      <c r="P54" s="197" t="e">
        <f t="shared" si="3"/>
        <v>#VALUE!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 t="e">
        <f>IF(O54+1&lt;=MIN('Données projet'!$E$9:$E$18),O54+1,"STOP")</f>
        <v>#VALUE!</v>
      </c>
      <c r="P55" s="197" t="e">
        <f t="shared" si="3"/>
        <v>#VALUE!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 t="e">
        <f>IF(O55+1&lt;=MIN('Données projet'!$E$9:$E$18),O55+1,"STOP")</f>
        <v>#VALUE!</v>
      </c>
      <c r="P56" s="197" t="e">
        <f t="shared" si="3"/>
        <v>#VALUE!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 t="e">
        <f>IF(O56+1&lt;=MIN('Données projet'!$E$9:$E$18),O56+1,"STOP")</f>
        <v>#VALUE!</v>
      </c>
      <c r="P57" s="197" t="e">
        <f t="shared" si="3"/>
        <v>#VALUE!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 t="e">
        <f>IF(O57+1&lt;=MIN('Données projet'!$E$9:$E$18),O57+1,"STOP")</f>
        <v>#VALUE!</v>
      </c>
      <c r="P58" s="197" t="e">
        <f t="shared" si="3"/>
        <v>#VALUE!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 t="e">
        <f>IF(O58+1&lt;=MIN('Données projet'!$E$9:$E$18),O58+1,"STOP")</f>
        <v>#VALUE!</v>
      </c>
      <c r="P59" s="197" t="e">
        <f t="shared" si="3"/>
        <v>#VALUE!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 t="e">
        <f>IF(O59+1&lt;=MIN('Données projet'!$E$9:$E$18),O59+1,"STOP")</f>
        <v>#VALUE!</v>
      </c>
      <c r="P60" s="197" t="e">
        <f t="shared" si="3"/>
        <v>#VALUE!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 t="e">
        <f>IF(O60+1&lt;=MIN('Données projet'!$E$9:$E$18),O60+1,"STOP")</f>
        <v>#VALUE!</v>
      </c>
      <c r="P61" s="197" t="e">
        <f t="shared" si="3"/>
        <v>#VALUE!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 t="e">
        <f>IF(O61+1&lt;=MIN('Données projet'!$E$9:$E$18),O61+1,"STOP")</f>
        <v>#VALUE!</v>
      </c>
      <c r="P62" s="197" t="e">
        <f t="shared" si="3"/>
        <v>#VALUE!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 t="e">
        <f>IF(O62+1&lt;=MIN('Données projet'!$E$9:$E$18),O62+1,"STOP")</f>
        <v>#VALUE!</v>
      </c>
      <c r="P63" s="197" t="e">
        <f t="shared" si="3"/>
        <v>#VALUE!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e">
        <f>IF(O63+1&lt;=MIN('Données projet'!$E$9:$E$18),O63+1,"STOP")</f>
        <v>#VALUE!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6</vt:i4>
      </vt:variant>
    </vt:vector>
  </HeadingPairs>
  <TitlesOfParts>
    <vt:vector size="13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  <vt:lpstr>REE!Zone_d_impression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PERNEY Cécilia</cp:lastModifiedBy>
  <cp:lastPrinted>2023-01-02T14:22:56Z</cp:lastPrinted>
  <dcterms:created xsi:type="dcterms:W3CDTF">2021-02-01T08:22:39Z</dcterms:created>
  <dcterms:modified xsi:type="dcterms:W3CDTF">2023-05-03T15:20:12Z</dcterms:modified>
</cp:coreProperties>
</file>