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Geoffrey.Rombaut\Desktop\"/>
    </mc:Choice>
  </mc:AlternateContent>
  <bookViews>
    <workbookView xWindow="0" yWindow="0" windowWidth="11748" windowHeight="5316" tabRatio="866" activeTab="1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5" i="1" l="1"/>
  <c r="D53" i="1"/>
  <c r="D50" i="1"/>
  <c r="D47" i="1"/>
  <c r="D44" i="1"/>
  <c r="D41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 l="1"/>
  <c r="B147" i="1" l="1"/>
  <c r="D146" i="1"/>
  <c r="B146" i="1"/>
  <c r="B145" i="1"/>
  <c r="D144" i="1"/>
  <c r="B144" i="1"/>
  <c r="B143" i="1"/>
  <c r="D142" i="1"/>
  <c r="B142" i="1"/>
  <c r="B141" i="1"/>
  <c r="B121" i="1"/>
  <c r="D120" i="1"/>
  <c r="B120" i="1"/>
  <c r="B119" i="1"/>
  <c r="D118" i="1"/>
  <c r="B118" i="1"/>
  <c r="B117" i="1"/>
  <c r="D116" i="1"/>
  <c r="B116" i="1"/>
  <c r="B115" i="1"/>
  <c r="B69" i="1"/>
  <c r="D68" i="1"/>
  <c r="B68" i="1"/>
  <c r="B67" i="1"/>
  <c r="D66" i="1"/>
  <c r="B66" i="1"/>
  <c r="B65" i="1"/>
  <c r="D64" i="1"/>
  <c r="B64" i="1"/>
  <c r="B63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S35" i="2" l="1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DH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FS157" i="2" l="1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X160" i="2" l="1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X197" i="2" l="1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HI201" i="2" l="1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CY24" i="2" l="1"/>
  <c r="CY147" i="2"/>
  <c r="CY187" i="2"/>
  <c r="CY11" i="2"/>
  <c r="CY32" i="2"/>
  <c r="CY27" i="2"/>
  <c r="CY34" i="2"/>
  <c r="CY164" i="2"/>
  <c r="CY51" i="2"/>
  <c r="CY61" i="2"/>
  <c r="CY42" i="2"/>
  <c r="CY49" i="2"/>
  <c r="CY135" i="2"/>
  <c r="CY188" i="2"/>
  <c r="CY33" i="2"/>
  <c r="CY40" i="2"/>
  <c r="CY80" i="2"/>
  <c r="CY183" i="2"/>
  <c r="CY186" i="2"/>
  <c r="CY192" i="2"/>
  <c r="CY66" i="2"/>
  <c r="CY106" i="2"/>
  <c r="CY140" i="2"/>
  <c r="CY87" i="2"/>
  <c r="CY96" i="2"/>
  <c r="CY52" i="2"/>
  <c r="CY114" i="2"/>
  <c r="CY63" i="2"/>
  <c r="CY115" i="2"/>
  <c r="CY15" i="2"/>
  <c r="CY128" i="2"/>
  <c r="CY149" i="2"/>
  <c r="CY141" i="2"/>
  <c r="CY152" i="2"/>
  <c r="CY177" i="2"/>
  <c r="CY138" i="2"/>
  <c r="CY86" i="2"/>
  <c r="CY170" i="2"/>
  <c r="CY127" i="2"/>
  <c r="CY74" i="2"/>
  <c r="CY91" i="2"/>
  <c r="CY93" i="2"/>
  <c r="CY28" i="2"/>
  <c r="CY45" i="2"/>
  <c r="CY39" i="2"/>
  <c r="CY18" i="2"/>
  <c r="CY175" i="2"/>
  <c r="CY163" i="2"/>
  <c r="CY154" i="2"/>
  <c r="CY22" i="2"/>
  <c r="CY31" i="2"/>
  <c r="CY202" i="2"/>
  <c r="CY190" i="2"/>
  <c r="CY167" i="2"/>
  <c r="CY156" i="2"/>
  <c r="CY16" i="2"/>
  <c r="CY185" i="2"/>
  <c r="CY41" i="2"/>
  <c r="CY107" i="2"/>
  <c r="CY123" i="2"/>
  <c r="CY23" i="2"/>
  <c r="CY81" i="2"/>
  <c r="CY134" i="2"/>
  <c r="CY132" i="2"/>
  <c r="CY8" i="2"/>
  <c r="CY126" i="2"/>
  <c r="CY131" i="2"/>
  <c r="CY5" i="2"/>
  <c r="CY98" i="2"/>
  <c r="CY165" i="2"/>
  <c r="CY55" i="2"/>
  <c r="CY174" i="2"/>
  <c r="CY3" i="2"/>
  <c r="C10" i="4" s="1"/>
  <c r="E10" i="4" s="1"/>
  <c r="F10" i="4" s="1"/>
  <c r="G10" i="4" s="1"/>
  <c r="L10" i="4" s="1"/>
  <c r="CY109" i="2"/>
  <c r="CY89" i="2"/>
  <c r="CY144" i="2"/>
  <c r="CY203" i="2"/>
  <c r="CY76" i="2"/>
  <c r="CY95" i="2"/>
  <c r="CY59" i="2"/>
  <c r="CY199" i="2"/>
  <c r="CY84" i="2"/>
  <c r="CY172" i="2"/>
  <c r="CY160" i="2"/>
  <c r="CY70" i="2"/>
  <c r="CY108" i="2"/>
  <c r="CY143" i="2"/>
  <c r="CY166" i="2"/>
  <c r="CY100" i="2"/>
  <c r="CY38" i="2"/>
  <c r="CY116" i="2"/>
  <c r="CY13" i="2"/>
  <c r="CY196" i="2"/>
  <c r="CY120" i="2"/>
  <c r="CY6" i="2"/>
  <c r="CY30" i="2"/>
  <c r="CY102" i="2"/>
  <c r="CY82" i="2"/>
  <c r="CY159" i="2"/>
  <c r="CY48" i="2"/>
  <c r="CY161" i="2"/>
  <c r="CY162" i="2"/>
  <c r="CY58" i="2"/>
  <c r="CY54" i="2"/>
  <c r="CY181" i="2"/>
  <c r="CY191" i="2"/>
  <c r="CY72" i="2"/>
  <c r="CY35" i="2"/>
  <c r="CY64" i="2"/>
  <c r="CY43" i="2"/>
  <c r="CY83" i="2"/>
  <c r="CY53" i="2"/>
  <c r="CY189" i="2"/>
  <c r="CY113" i="2"/>
  <c r="CY20" i="2"/>
  <c r="CY71" i="2"/>
  <c r="CY19" i="2"/>
  <c r="CY36" i="2"/>
  <c r="CY10" i="2"/>
  <c r="CY153" i="2"/>
  <c r="CY75" i="2"/>
  <c r="CY118" i="2"/>
  <c r="CY9" i="2"/>
  <c r="CY124" i="2"/>
  <c r="CY121" i="2"/>
  <c r="CY99" i="2"/>
  <c r="CY104" i="2"/>
  <c r="CY47" i="2"/>
  <c r="CY62" i="2"/>
  <c r="CY88" i="2"/>
  <c r="CY194" i="2"/>
  <c r="CY85" i="2"/>
  <c r="CY69" i="2"/>
  <c r="CY150" i="2"/>
  <c r="CY198" i="2"/>
  <c r="CY12" i="2"/>
  <c r="CY44" i="2"/>
  <c r="CY197" i="2"/>
  <c r="CY14" i="2"/>
  <c r="CY56" i="2"/>
  <c r="CY122" i="2"/>
  <c r="CY195" i="2"/>
  <c r="CY46" i="2"/>
  <c r="CY148" i="2"/>
  <c r="CY67" i="2"/>
  <c r="CY92" i="2"/>
  <c r="CY25" i="2"/>
  <c r="CY193" i="2"/>
  <c r="CY103" i="2"/>
  <c r="CY77" i="2"/>
  <c r="CY37" i="2"/>
  <c r="CY101" i="2"/>
  <c r="CY137" i="2"/>
  <c r="CY168" i="2"/>
  <c r="CY65" i="2"/>
  <c r="CY79" i="2"/>
  <c r="CY180" i="2"/>
  <c r="CY119" i="2"/>
  <c r="CY111" i="2"/>
  <c r="CY200" i="2"/>
  <c r="CY17" i="2"/>
  <c r="CY151" i="2"/>
  <c r="CY133" i="2"/>
  <c r="CY7" i="2"/>
  <c r="CY97" i="2"/>
  <c r="CY176" i="2"/>
  <c r="CY130" i="2"/>
  <c r="CY50" i="2"/>
  <c r="CY182" i="2"/>
  <c r="CY201" i="2"/>
  <c r="CY21" i="2"/>
  <c r="CY155" i="2"/>
  <c r="CY110" i="2"/>
  <c r="CY29" i="2"/>
  <c r="CY129" i="2"/>
  <c r="CY57" i="2"/>
  <c r="CY157" i="2"/>
  <c r="CY173" i="2"/>
  <c r="CY146" i="2"/>
  <c r="CY60" i="2"/>
  <c r="CY125" i="2"/>
  <c r="CY178" i="2"/>
  <c r="CY171" i="2"/>
  <c r="CY184" i="2"/>
  <c r="CY68" i="2"/>
  <c r="CY117" i="2"/>
  <c r="CY136" i="2"/>
  <c r="CY73" i="2"/>
  <c r="CY158" i="2"/>
  <c r="CY26" i="2"/>
  <c r="CY94" i="2"/>
  <c r="CY90" i="2"/>
  <c r="CY4" i="2"/>
  <c r="CY142" i="2"/>
  <c r="CY105" i="2"/>
  <c r="CY112" i="2"/>
  <c r="CY169" i="2"/>
  <c r="CY179" i="2"/>
  <c r="CY139" i="2"/>
  <c r="CY145" i="2"/>
  <c r="CY78" i="2"/>
  <c r="CD60" i="2"/>
  <c r="CD87" i="2"/>
  <c r="CD83" i="2"/>
  <c r="CD115" i="2"/>
  <c r="CD81" i="2"/>
  <c r="CD170" i="2"/>
  <c r="CD110" i="2"/>
  <c r="CD4" i="2"/>
  <c r="CD144" i="2"/>
  <c r="CD119" i="2"/>
  <c r="CD63" i="2"/>
  <c r="CD94" i="2"/>
  <c r="CD27" i="2"/>
  <c r="CD62" i="2"/>
  <c r="CD37" i="2"/>
  <c r="CD7" i="2"/>
  <c r="CD173" i="2"/>
  <c r="CD46" i="2"/>
  <c r="CD38" i="2"/>
  <c r="CD56" i="2"/>
  <c r="CD90" i="2"/>
  <c r="CD92" i="2"/>
  <c r="CD52" i="2"/>
  <c r="CD3" i="2"/>
  <c r="C9" i="4" s="1"/>
  <c r="E9" i="4" s="1"/>
  <c r="F9" i="4" s="1"/>
  <c r="G9" i="4" s="1"/>
  <c r="L9" i="4" s="1"/>
  <c r="CD10" i="2"/>
  <c r="CD14" i="2"/>
  <c r="CD13" i="2"/>
  <c r="CD125" i="2"/>
  <c r="CD164" i="2"/>
  <c r="CD40" i="2"/>
  <c r="CD127" i="2"/>
  <c r="CD9" i="2"/>
  <c r="CD17" i="2"/>
  <c r="CD23" i="2"/>
  <c r="CD120" i="2"/>
  <c r="CD103" i="2"/>
  <c r="CD55" i="2"/>
  <c r="CD12" i="2"/>
  <c r="CD36" i="2"/>
  <c r="CD175" i="2"/>
  <c r="CD149" i="2"/>
  <c r="CD5" i="2"/>
  <c r="CD126" i="2"/>
  <c r="CD153" i="2"/>
  <c r="CD203" i="2"/>
  <c r="CD107" i="2"/>
  <c r="CD79" i="2"/>
  <c r="CD154" i="2"/>
  <c r="CD19" i="2"/>
  <c r="CD25" i="2"/>
  <c r="CD132" i="2"/>
  <c r="CD151" i="2"/>
  <c r="CD185" i="2"/>
  <c r="CD152" i="2"/>
  <c r="CD142" i="2"/>
  <c r="CD196" i="2"/>
  <c r="CD99" i="2"/>
  <c r="CD77" i="2"/>
  <c r="CD150" i="2"/>
  <c r="CD180" i="2"/>
  <c r="CD161" i="2"/>
  <c r="CD33" i="2"/>
  <c r="CD162" i="2"/>
  <c r="CD66" i="2"/>
  <c r="CD155" i="2"/>
  <c r="CD24" i="2"/>
  <c r="CD159" i="2"/>
  <c r="CD80" i="2"/>
  <c r="CD184" i="2"/>
  <c r="CD43" i="2"/>
  <c r="CD21" i="2"/>
  <c r="CD49" i="2"/>
  <c r="CD186" i="2"/>
  <c r="CD182" i="2"/>
  <c r="CD172" i="2"/>
  <c r="CD8" i="2"/>
  <c r="CD133" i="2"/>
  <c r="CD138" i="2"/>
  <c r="CD139" i="2"/>
  <c r="CD113" i="2"/>
  <c r="CD195" i="2"/>
  <c r="CD123" i="2"/>
  <c r="CD30" i="2"/>
  <c r="CD15" i="2"/>
  <c r="CD140" i="2"/>
  <c r="CD112" i="2"/>
  <c r="CD197" i="2"/>
  <c r="CD109" i="2"/>
  <c r="CD194" i="2"/>
  <c r="CD202" i="2"/>
  <c r="CD190" i="2"/>
  <c r="CD167" i="2"/>
  <c r="CD181" i="2"/>
  <c r="CD130" i="2"/>
  <c r="CD176" i="2"/>
  <c r="CD137" i="2"/>
  <c r="CD168" i="2"/>
  <c r="CD111" i="2"/>
  <c r="CD98" i="2"/>
  <c r="CD64" i="2"/>
  <c r="CD122" i="2"/>
  <c r="CD32" i="2"/>
  <c r="CD68" i="2"/>
  <c r="CD74" i="2"/>
  <c r="CD69" i="2"/>
  <c r="CD174" i="2"/>
  <c r="CD117" i="2"/>
  <c r="CD106" i="2"/>
  <c r="CD116" i="2"/>
  <c r="CD93" i="2"/>
  <c r="CD42" i="2"/>
  <c r="CD88" i="2"/>
  <c r="CD57" i="2"/>
  <c r="CD178" i="2"/>
  <c r="CD39" i="2"/>
  <c r="CD183" i="2"/>
  <c r="CD82" i="2"/>
  <c r="CD189" i="2"/>
  <c r="CD70" i="2"/>
  <c r="CD86" i="2"/>
  <c r="CD199" i="2"/>
  <c r="CD101" i="2"/>
  <c r="CD59" i="2"/>
  <c r="CD61" i="2"/>
  <c r="CD158" i="2"/>
  <c r="CD141" i="2"/>
  <c r="CD171" i="2"/>
  <c r="CD169" i="2"/>
  <c r="CD35" i="2"/>
  <c r="CD50" i="2"/>
  <c r="CD177" i="2"/>
  <c r="CD129" i="2"/>
  <c r="CD91" i="2"/>
  <c r="CD18" i="2"/>
  <c r="CD76" i="2"/>
  <c r="CD65" i="2"/>
  <c r="CD89" i="2"/>
  <c r="CD134" i="2"/>
  <c r="CD179" i="2"/>
  <c r="CD6" i="2"/>
  <c r="CD47" i="2"/>
  <c r="CD148" i="2"/>
  <c r="CD128" i="2"/>
  <c r="CD163" i="2"/>
  <c r="CD51" i="2"/>
  <c r="CD11" i="2"/>
  <c r="CD75" i="2"/>
  <c r="CD72" i="2"/>
  <c r="CD45" i="2"/>
  <c r="CD58" i="2"/>
  <c r="CD187" i="2"/>
  <c r="CD29" i="2"/>
  <c r="CD53" i="2"/>
  <c r="CD48" i="2"/>
  <c r="CD192" i="2"/>
  <c r="CD28" i="2"/>
  <c r="CD31" i="2"/>
  <c r="CD84" i="2"/>
  <c r="CD26" i="2"/>
  <c r="CD201" i="2"/>
  <c r="CD73" i="2"/>
  <c r="CD124" i="2"/>
  <c r="CD22" i="2"/>
  <c r="CD131" i="2"/>
  <c r="CD188" i="2"/>
  <c r="CD67" i="2"/>
  <c r="CD198" i="2"/>
  <c r="CD156" i="2"/>
  <c r="CD105" i="2"/>
  <c r="CD166" i="2"/>
  <c r="CD136" i="2"/>
  <c r="CD143" i="2"/>
  <c r="CD118" i="2"/>
  <c r="CD78" i="2"/>
  <c r="CD165" i="2"/>
  <c r="CD193" i="2"/>
  <c r="CD135" i="2"/>
  <c r="CD108" i="2"/>
  <c r="CD200" i="2"/>
  <c r="CD41" i="2"/>
  <c r="CD44" i="2"/>
  <c r="CD54" i="2"/>
  <c r="CD102" i="2"/>
  <c r="CD97" i="2"/>
  <c r="CD20" i="2"/>
  <c r="CD104" i="2"/>
  <c r="CD160" i="2"/>
  <c r="CD145" i="2"/>
  <c r="CD147" i="2"/>
  <c r="CD96" i="2"/>
  <c r="CD121" i="2"/>
  <c r="CD157" i="2"/>
  <c r="CD34" i="2"/>
  <c r="CD191" i="2"/>
  <c r="CD100" i="2"/>
  <c r="CD95" i="2"/>
  <c r="CD114" i="2"/>
  <c r="CD146" i="2"/>
  <c r="CD85" i="2"/>
  <c r="CD71" i="2"/>
  <c r="CD16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<sst xmlns="http://schemas.openxmlformats.org/spreadsheetml/2006/main" count="1174" uniqueCount="324">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</sst>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38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1.4217567752663396</c:v>
                </c:pt>
                <c:pt idx="2">
                  <c:v>1.6496387760333995</c:v>
                </c:pt>
                <c:pt idx="3">
                  <c:v>1.9141825094116696</c:v>
                </c:pt>
                <c:pt idx="4">
                  <c:v>2.2213069404908978</c:v>
                </c:pt>
                <c:pt idx="5">
                  <c:v>2.5778898048880068</c:v>
                </c:pt>
                <c:pt idx="6">
                  <c:v>2.9919233927322302</c:v>
                </c:pt>
                <c:pt idx="7">
                  <c:v>3.472695717358198</c:v>
                </c:pt>
                <c:pt idx="8">
                  <c:v>4.0310012160061346</c:v>
                </c:pt>
                <c:pt idx="9">
                  <c:v>4.6793858090430804</c:v>
                </c:pt>
                <c:pt idx="10">
                  <c:v>5.432431934915944</c:v>
                </c:pt>
                <c:pt idx="11">
                  <c:v>6.3070900985608995</c:v>
                </c:pt>
                <c:pt idx="12">
                  <c:v>7.3230645426796004</c:v>
                </c:pt>
                <c:pt idx="13">
                  <c:v>8.5032618990257713</c:v>
                </c:pt>
                <c:pt idx="14">
                  <c:v>9.8743131296009761</c:v>
                </c:pt>
                <c:pt idx="15">
                  <c:v>11.467180759188034</c:v>
                </c:pt>
                <c:pt idx="16">
                  <c:v>13.31786537027314</c:v>
                </c:pt>
                <c:pt idx="17">
                  <c:v>15.468227624926827</c:v>
                </c:pt>
                <c:pt idx="18">
                  <c:v>17.96694474899018</c:v>
                </c:pt>
                <c:pt idx="19">
                  <c:v>20.870623524111782</c:v>
                </c:pt>
                <c:pt idx="20">
                  <c:v>24.245095455229389</c:v>
                </c:pt>
                <c:pt idx="21">
                  <c:v>28.166923999370677</c:v>
                </c:pt>
                <c:pt idx="22">
                  <c:v>32.725158654475884</c:v>
                </c:pt>
                <c:pt idx="23">
                  <c:v>38.023376428874322</c:v>
                </c:pt>
                <c:pt idx="24">
                  <c:v>44.182057876552157</c:v>
                </c:pt>
                <c:pt idx="25">
                  <c:v>51.341352645956526</c:v>
                </c:pt>
                <c:pt idx="26">
                  <c:v>59.664298532021071</c:v>
                </c:pt>
                <c:pt idx="27">
                  <c:v>69.340568553547996</c:v>
                </c:pt>
                <c:pt idx="28">
                  <c:v>80.590832847134777</c:v>
                </c:pt>
                <c:pt idx="29">
                  <c:v>93.671836461268967</c:v>
                </c:pt>
                <c:pt idx="30">
                  <c:v>108.88231078423301</c:v>
                </c:pt>
                <c:pt idx="31">
                  <c:v>118.03208120289025</c:v>
                </c:pt>
                <c:pt idx="32">
                  <c:v>127.16454093707324</c:v>
                </c:pt>
                <c:pt idx="33">
                  <c:v>136.28111027557466</c:v>
                </c:pt>
                <c:pt idx="34">
                  <c:v>145.38300356865543</c:v>
                </c:pt>
                <c:pt idx="35">
                  <c:v>154.47127040505103</c:v>
                </c:pt>
                <c:pt idx="36">
                  <c:v>164.62257075242445</c:v>
                </c:pt>
                <c:pt idx="37">
                  <c:v>174.75908346315285</c:v>
                </c:pt>
                <c:pt idx="38">
                  <c:v>184.88178804027584</c:v>
                </c:pt>
                <c:pt idx="39">
                  <c:v>194.99154782254652</c:v>
                </c:pt>
                <c:pt idx="40">
                  <c:v>205.08912920241869</c:v>
                </c:pt>
                <c:pt idx="41">
                  <c:v>216.07167176294379</c:v>
                </c:pt>
                <c:pt idx="42">
                  <c:v>227.04137501930674</c:v>
                </c:pt>
                <c:pt idx="43">
                  <c:v>237.99894718169116</c:v>
                </c:pt>
                <c:pt idx="44">
                  <c:v>248.9450258663492</c:v>
                </c:pt>
                <c:pt idx="45">
                  <c:v>259.88018799430489</c:v>
                </c:pt>
                <c:pt idx="46">
                  <c:v>271.49118936448139</c:v>
                </c:pt>
                <c:pt idx="47">
                  <c:v>283.09102384512045</c:v>
                </c:pt>
                <c:pt idx="48">
                  <c:v>294.6802137025349</c:v>
                </c:pt>
                <c:pt idx="49">
                  <c:v>306.25923674841783</c:v>
                </c:pt>
                <c:pt idx="50">
                  <c:v>317.82853169749472</c:v>
                </c:pt>
                <c:pt idx="51">
                  <c:v>329.76706192494242</c:v>
                </c:pt>
                <c:pt idx="52">
                  <c:v>239.62065334927328</c:v>
                </c:pt>
                <c:pt idx="53">
                  <c:v>250.17992771178422</c:v>
                </c:pt>
                <c:pt idx="54">
                  <c:v>260.7290983972735</c:v>
                </c:pt>
                <c:pt idx="55">
                  <c:v>271.26863210148059</c:v>
                </c:pt>
                <c:pt idx="56">
                  <c:v>282.09814713694817</c:v>
                </c:pt>
                <c:pt idx="57">
                  <c:v>292.91834832034198</c:v>
                </c:pt>
                <c:pt idx="58">
                  <c:v>303.72962838128052</c:v>
                </c:pt>
                <c:pt idx="59">
                  <c:v>314.53234979242978</c:v>
                </c:pt>
                <c:pt idx="60">
                  <c:v>325.32684808209291</c:v>
                </c:pt>
                <c:pt idx="61">
                  <c:v>336.42619727682859</c:v>
                </c:pt>
                <c:pt idx="62">
                  <c:v>347.51748449303227</c:v>
                </c:pt>
                <c:pt idx="63">
                  <c:v>358.60100339709629</c:v>
                </c:pt>
                <c:pt idx="64">
                  <c:v>259.98848073094109</c:v>
                </c:pt>
                <c:pt idx="65">
                  <c:v>269.69206696282356</c:v>
                </c:pt>
                <c:pt idx="66">
                  <c:v>279.47428950232273</c:v>
                </c:pt>
                <c:pt idx="67">
                  <c:v>289.2488338563175</c:v>
                </c:pt>
                <c:pt idx="68">
                  <c:v>299.0159962581734</c:v>
                </c:pt>
                <c:pt idx="69">
                  <c:v>308.77605199491023</c:v>
                </c:pt>
                <c:pt idx="70">
                  <c:v>318.52925751795101</c:v>
                </c:pt>
                <c:pt idx="71">
                  <c:v>328.50977739215841</c:v>
                </c:pt>
                <c:pt idx="72">
                  <c:v>338.48360561351461</c:v>
                </c:pt>
                <c:pt idx="73">
                  <c:v>348.45096726512315</c:v>
                </c:pt>
                <c:pt idx="74">
                  <c:v>358.41207349541224</c:v>
                </c:pt>
                <c:pt idx="75">
                  <c:v>368.3671227524876</c:v>
                </c:pt>
                <c:pt idx="76">
                  <c:v>291.90308558346857</c:v>
                </c:pt>
                <c:pt idx="77">
                  <c:v>300.84490171136019</c:v>
                </c:pt>
                <c:pt idx="78">
                  <c:v>309.78080110442289</c:v>
                </c:pt>
                <c:pt idx="79">
                  <c:v>318.71097863597828</c:v>
                </c:pt>
                <c:pt idx="80">
                  <c:v>327.63561735902289</c:v>
                </c:pt>
                <c:pt idx="81">
                  <c:v>336.68255528127548</c:v>
                </c:pt>
                <c:pt idx="82">
                  <c:v>345.72414124031229</c:v>
                </c:pt>
                <c:pt idx="83">
                  <c:v>354.76053503205168</c:v>
                </c:pt>
                <c:pt idx="84">
                  <c:v>363.79188764232754</c:v>
                </c:pt>
                <c:pt idx="85">
                  <c:v>372.818341944037</c:v>
                </c:pt>
                <c:pt idx="86">
                  <c:v>381.89371986785494</c:v>
                </c:pt>
                <c:pt idx="87">
                  <c:v>390.96440874320461</c:v>
                </c:pt>
                <c:pt idx="88">
                  <c:v>316.25754932457295</c:v>
                </c:pt>
                <c:pt idx="89">
                  <c:v>324.40323912652161</c:v>
                </c:pt>
                <c:pt idx="90">
                  <c:v>332.5444091790477</c:v>
                </c:pt>
                <c:pt idx="91">
                  <c:v>340.57661946734987</c:v>
                </c:pt>
                <c:pt idx="92">
                  <c:v>348.60466388116532</c:v>
                </c:pt>
                <c:pt idx="93">
                  <c:v>356.62865196344347</c:v>
                </c:pt>
                <c:pt idx="94">
                  <c:v>364.64868792174479</c:v>
                </c:pt>
                <c:pt idx="95">
                  <c:v>372.66487100231348</c:v>
                </c:pt>
                <c:pt idx="96">
                  <c:v>380.913914562152</c:v>
                </c:pt>
                <c:pt idx="97">
                  <c:v>389.15907303237492</c:v>
                </c:pt>
                <c:pt idx="98">
                  <c:v>397.40044038751142</c:v>
                </c:pt>
                <c:pt idx="99">
                  <c:v>405.63810638397234</c:v>
                </c:pt>
                <c:pt idx="100">
                  <c:v>214.6733510235083</c:v>
                </c:pt>
                <c:pt idx="101">
                  <c:v>220.1489233728546</c:v>
                </c:pt>
                <c:pt idx="102">
                  <c:v>225.62136845497756</c:v>
                </c:pt>
                <c:pt idx="103">
                  <c:v>231.09077296125758</c:v>
                </c:pt>
                <c:pt idx="104">
                  <c:v>236.55721913724756</c:v>
                </c:pt>
                <c:pt idx="105">
                  <c:v>242.02078511048478</c:v>
                </c:pt>
                <c:pt idx="106">
                  <c:v>247.48154518711115</c:v>
                </c:pt>
                <c:pt idx="107">
                  <c:v>252.93957012090684</c:v>
                </c:pt>
                <c:pt idx="108">
                  <c:v>258.39492735785757</c:v>
                </c:pt>
                <c:pt idx="109">
                  <c:v>263.84768125895937</c:v>
                </c:pt>
                <c:pt idx="110">
                  <c:v>4.2330868906469593E-12</c:v>
                </c:pt>
                <c:pt idx="111">
                  <c:v>4.2330868906469593E-12</c:v>
                </c:pt>
                <c:pt idx="112">
                  <c:v>4.2330868906469593E-12</c:v>
                </c:pt>
                <c:pt idx="113">
                  <c:v>4.2330868906469593E-12</c:v>
                </c:pt>
                <c:pt idx="114">
                  <c:v>4.2330868906469593E-12</c:v>
                </c:pt>
                <c:pt idx="115">
                  <c:v>4.2330868906469593E-12</c:v>
                </c:pt>
                <c:pt idx="116">
                  <c:v>4.2330868906469593E-12</c:v>
                </c:pt>
                <c:pt idx="117">
                  <c:v>4.2330868906469593E-12</c:v>
                </c:pt>
                <c:pt idx="118">
                  <c:v>4.2330868906469593E-12</c:v>
                </c:pt>
                <c:pt idx="119">
                  <c:v>4.2330868906469593E-12</c:v>
                </c:pt>
                <c:pt idx="120">
                  <c:v>4.2330868906469593E-12</c:v>
                </c:pt>
                <c:pt idx="121">
                  <c:v>4.2330868906469593E-12</c:v>
                </c:pt>
                <c:pt idx="122">
                  <c:v>4.2330868906469593E-12</c:v>
                </c:pt>
                <c:pt idx="123">
                  <c:v>4.2330868906469593E-12</c:v>
                </c:pt>
                <c:pt idx="124">
                  <c:v>4.2330868906469593E-12</c:v>
                </c:pt>
                <c:pt idx="125">
                  <c:v>4.2330868906469593E-12</c:v>
                </c:pt>
                <c:pt idx="126">
                  <c:v>4.2330868906469593E-12</c:v>
                </c:pt>
                <c:pt idx="127">
                  <c:v>4.2330868906469593E-12</c:v>
                </c:pt>
                <c:pt idx="128">
                  <c:v>4.2330868906469593E-12</c:v>
                </c:pt>
                <c:pt idx="129">
                  <c:v>4.2330868906469593E-12</c:v>
                </c:pt>
                <c:pt idx="130">
                  <c:v>4.2330868906469593E-12</c:v>
                </c:pt>
                <c:pt idx="131">
                  <c:v>4.2330868906469593E-12</c:v>
                </c:pt>
                <c:pt idx="132">
                  <c:v>4.2330868906469593E-12</c:v>
                </c:pt>
                <c:pt idx="133">
                  <c:v>4.2330868906469593E-12</c:v>
                </c:pt>
                <c:pt idx="134">
                  <c:v>4.2330868906469593E-12</c:v>
                </c:pt>
                <c:pt idx="135">
                  <c:v>4.2330868906469593E-12</c:v>
                </c:pt>
                <c:pt idx="136">
                  <c:v>4.2330868906469593E-12</c:v>
                </c:pt>
                <c:pt idx="137">
                  <c:v>4.2330868906469593E-12</c:v>
                </c:pt>
                <c:pt idx="138">
                  <c:v>4.2330868906469593E-12</c:v>
                </c:pt>
                <c:pt idx="139">
                  <c:v>4.2330868906469593E-12</c:v>
                </c:pt>
                <c:pt idx="140">
                  <c:v>4.2330868906469593E-12</c:v>
                </c:pt>
                <c:pt idx="141">
                  <c:v>4.2330868906469593E-12</c:v>
                </c:pt>
                <c:pt idx="142">
                  <c:v>4.2330868906469593E-12</c:v>
                </c:pt>
                <c:pt idx="143">
                  <c:v>4.2330868906469593E-12</c:v>
                </c:pt>
                <c:pt idx="144">
                  <c:v>4.2330868906469593E-12</c:v>
                </c:pt>
                <c:pt idx="145">
                  <c:v>4.2330868906469593E-12</c:v>
                </c:pt>
                <c:pt idx="146">
                  <c:v>4.2330868906469593E-12</c:v>
                </c:pt>
                <c:pt idx="147">
                  <c:v>4.2330868906469593E-12</c:v>
                </c:pt>
                <c:pt idx="148">
                  <c:v>4.2330868906469593E-12</c:v>
                </c:pt>
                <c:pt idx="149">
                  <c:v>4.2330868906469593E-12</c:v>
                </c:pt>
                <c:pt idx="150">
                  <c:v>4.2330868906469593E-12</c:v>
                </c:pt>
                <c:pt idx="151">
                  <c:v>4.2330868906469593E-12</c:v>
                </c:pt>
                <c:pt idx="152">
                  <c:v>4.2330868906469593E-12</c:v>
                </c:pt>
                <c:pt idx="153">
                  <c:v>4.2330868906469593E-12</c:v>
                </c:pt>
                <c:pt idx="154">
                  <c:v>4.2330868906469593E-12</c:v>
                </c:pt>
                <c:pt idx="155">
                  <c:v>4.2330868906469593E-12</c:v>
                </c:pt>
                <c:pt idx="156">
                  <c:v>4.2330868906469593E-12</c:v>
                </c:pt>
                <c:pt idx="157">
                  <c:v>4.2330868906469593E-12</c:v>
                </c:pt>
                <c:pt idx="158">
                  <c:v>4.2330868906469593E-12</c:v>
                </c:pt>
                <c:pt idx="159">
                  <c:v>4.2330868906469593E-12</c:v>
                </c:pt>
                <c:pt idx="160">
                  <c:v>4.2330868906469593E-12</c:v>
                </c:pt>
                <c:pt idx="161">
                  <c:v>4.2330868906469593E-12</c:v>
                </c:pt>
                <c:pt idx="162">
                  <c:v>4.2330868906469593E-12</c:v>
                </c:pt>
                <c:pt idx="163">
                  <c:v>4.2330868906469593E-12</c:v>
                </c:pt>
                <c:pt idx="164">
                  <c:v>4.2330868906469593E-12</c:v>
                </c:pt>
                <c:pt idx="165">
                  <c:v>4.2330868906469593E-12</c:v>
                </c:pt>
                <c:pt idx="166">
                  <c:v>4.2330868906469593E-12</c:v>
                </c:pt>
                <c:pt idx="167">
                  <c:v>4.2330868906469593E-12</c:v>
                </c:pt>
                <c:pt idx="168">
                  <c:v>4.2330868906469593E-12</c:v>
                </c:pt>
                <c:pt idx="169">
                  <c:v>4.2330868906469593E-12</c:v>
                </c:pt>
                <c:pt idx="170">
                  <c:v>4.2330868906469593E-12</c:v>
                </c:pt>
                <c:pt idx="171">
                  <c:v>4.2330868906469593E-12</c:v>
                </c:pt>
                <c:pt idx="172">
                  <c:v>4.2330868906469593E-12</c:v>
                </c:pt>
                <c:pt idx="173">
                  <c:v>4.2330868906469593E-12</c:v>
                </c:pt>
                <c:pt idx="174">
                  <c:v>4.2330868906469593E-12</c:v>
                </c:pt>
                <c:pt idx="175">
                  <c:v>4.2330868906469593E-12</c:v>
                </c:pt>
                <c:pt idx="176">
                  <c:v>4.2330868906469593E-12</c:v>
                </c:pt>
                <c:pt idx="177">
                  <c:v>4.2330868906469593E-12</c:v>
                </c:pt>
                <c:pt idx="178">
                  <c:v>4.2330868906469593E-12</c:v>
                </c:pt>
                <c:pt idx="179">
                  <c:v>4.2330868906469593E-12</c:v>
                </c:pt>
                <c:pt idx="180">
                  <c:v>4.2330868906469593E-12</c:v>
                </c:pt>
                <c:pt idx="181">
                  <c:v>4.2330868906469593E-12</c:v>
                </c:pt>
                <c:pt idx="182">
                  <c:v>4.2330868906469593E-12</c:v>
                </c:pt>
                <c:pt idx="183">
                  <c:v>4.2330868906469593E-12</c:v>
                </c:pt>
                <c:pt idx="184">
                  <c:v>4.2330868906469593E-12</c:v>
                </c:pt>
                <c:pt idx="185">
                  <c:v>4.2330868906469593E-12</c:v>
                </c:pt>
                <c:pt idx="186">
                  <c:v>4.2330868906469593E-12</c:v>
                </c:pt>
                <c:pt idx="187">
                  <c:v>4.2330868906469593E-12</c:v>
                </c:pt>
                <c:pt idx="188">
                  <c:v>4.2330868906469593E-12</c:v>
                </c:pt>
                <c:pt idx="189">
                  <c:v>4.2330868906469593E-12</c:v>
                </c:pt>
                <c:pt idx="190">
                  <c:v>4.2330868906469593E-12</c:v>
                </c:pt>
                <c:pt idx="191">
                  <c:v>4.2330868906469593E-12</c:v>
                </c:pt>
                <c:pt idx="192">
                  <c:v>4.2330868906469593E-12</c:v>
                </c:pt>
                <c:pt idx="193">
                  <c:v>4.2330868906469593E-12</c:v>
                </c:pt>
                <c:pt idx="194">
                  <c:v>4.2330868906469593E-12</c:v>
                </c:pt>
                <c:pt idx="195">
                  <c:v>4.2330868906469593E-12</c:v>
                </c:pt>
                <c:pt idx="196">
                  <c:v>4.2330868906469593E-12</c:v>
                </c:pt>
                <c:pt idx="197">
                  <c:v>4.2330868906469593E-12</c:v>
                </c:pt>
                <c:pt idx="198">
                  <c:v>4.2330868906469593E-12</c:v>
                </c:pt>
                <c:pt idx="199">
                  <c:v>4.2330868906469593E-12</c:v>
                </c:pt>
                <c:pt idx="200">
                  <c:v>4.2330868906469593E-12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8444928"/>
        <c:axId val="2128445472"/>
      </c:scatterChart>
      <c:valAx>
        <c:axId val="21284449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28445472"/>
        <c:crosses val="autoZero"/>
        <c:crossBetween val="midCat"/>
      </c:valAx>
      <c:valAx>
        <c:axId val="2128445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28444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265584"/>
        <c:axId val="203262320"/>
      </c:scatterChart>
      <c:valAx>
        <c:axId val="2032655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3262320"/>
        <c:crosses val="autoZero"/>
        <c:crossBetween val="midCat"/>
      </c:valAx>
      <c:valAx>
        <c:axId val="203262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3265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155.46288225618903</c:v>
                </c:pt>
                <c:pt idx="27">
                  <c:v>169.22076873606747</c:v>
                </c:pt>
                <c:pt idx="28">
                  <c:v>182.95230030612535</c:v>
                </c:pt>
                <c:pt idx="29">
                  <c:v>196.65973476943884</c:v>
                </c:pt>
                <c:pt idx="30">
                  <c:v>210.34498910896306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248.16968942779488</c:v>
                </c:pt>
                <c:pt idx="37">
                  <c:v>264.50544806917611</c:v>
                </c:pt>
                <c:pt idx="38">
                  <c:v>280.81846105391611</c:v>
                </c:pt>
                <c:pt idx="39">
                  <c:v>297.11023564036316</c:v>
                </c:pt>
                <c:pt idx="40">
                  <c:v>313.38210026249641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329.24846413649914</c:v>
                </c:pt>
                <c:pt idx="47">
                  <c:v>345.09796018035962</c:v>
                </c:pt>
                <c:pt idx="48">
                  <c:v>360.93147205550491</c:v>
                </c:pt>
                <c:pt idx="49">
                  <c:v>376.74979957167847</c:v>
                </c:pt>
                <c:pt idx="50">
                  <c:v>392.55366990377706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403.33859253105862</c:v>
                </c:pt>
                <c:pt idx="57">
                  <c:v>417.96533499156266</c:v>
                </c:pt>
                <c:pt idx="58">
                  <c:v>432.58104952108766</c:v>
                </c:pt>
                <c:pt idx="59">
                  <c:v>447.18616113243911</c:v>
                </c:pt>
                <c:pt idx="60">
                  <c:v>461.78106481747727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463.31679190893482</c:v>
                </c:pt>
                <c:pt idx="67">
                  <c:v>476.36612856926143</c:v>
                </c:pt>
                <c:pt idx="68">
                  <c:v>489.40786321667775</c:v>
                </c:pt>
                <c:pt idx="69">
                  <c:v>502.44222694105241</c:v>
                </c:pt>
                <c:pt idx="70">
                  <c:v>515.4694378666801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470.61001955868869</c:v>
                </c:pt>
                <c:pt idx="74">
                  <c:v>482.50434799892832</c:v>
                </c:pt>
                <c:pt idx="75">
                  <c:v>494.39244873679587</c:v>
                </c:pt>
                <c:pt idx="76">
                  <c:v>505.89129373820577</c:v>
                </c:pt>
                <c:pt idx="77">
                  <c:v>517.38461348648957</c:v>
                </c:pt>
                <c:pt idx="78">
                  <c:v>528.87254801147833</c:v>
                </c:pt>
                <c:pt idx="79">
                  <c:v>540.35523076412733</c:v>
                </c:pt>
                <c:pt idx="80">
                  <c:v>551.83278906179692</c:v>
                </c:pt>
                <c:pt idx="81">
                  <c:v>482.12075813367829</c:v>
                </c:pt>
                <c:pt idx="82">
                  <c:v>492.85884412246605</c:v>
                </c:pt>
                <c:pt idx="83">
                  <c:v>503.59197136026643</c:v>
                </c:pt>
                <c:pt idx="84">
                  <c:v>514.32026043494204</c:v>
                </c:pt>
                <c:pt idx="85">
                  <c:v>525.04382649327351</c:v>
                </c:pt>
                <c:pt idx="86">
                  <c:v>535.76277959494894</c:v>
                </c:pt>
                <c:pt idx="87">
                  <c:v>546.47722503675357</c:v>
                </c:pt>
                <c:pt idx="88">
                  <c:v>557.18726365001555</c:v>
                </c:pt>
                <c:pt idx="89">
                  <c:v>567.89299207399438</c:v>
                </c:pt>
                <c:pt idx="90">
                  <c:v>578.59450300758806</c:v>
                </c:pt>
                <c:pt idx="91">
                  <c:v>507.61564043595672</c:v>
                </c:pt>
                <c:pt idx="92">
                  <c:v>517.00159034875594</c:v>
                </c:pt>
                <c:pt idx="93">
                  <c:v>526.3839456981226</c:v>
                </c:pt>
                <c:pt idx="94">
                  <c:v>535.76277959494894</c:v>
                </c:pt>
                <c:pt idx="95">
                  <c:v>545.13816238142283</c:v>
                </c:pt>
                <c:pt idx="96">
                  <c:v>554.51016178271254</c:v>
                </c:pt>
                <c:pt idx="97">
                  <c:v>563.87884304786564</c:v>
                </c:pt>
                <c:pt idx="98">
                  <c:v>573.24426908085582</c:v>
                </c:pt>
                <c:pt idx="99">
                  <c:v>582.60650056262409</c:v>
                </c:pt>
                <c:pt idx="100">
                  <c:v>591.9655960648646</c:v>
                </c:pt>
                <c:pt idx="101">
                  <c:v>520.06560820994252</c:v>
                </c:pt>
                <c:pt idx="102">
                  <c:v>528.48970219589648</c:v>
                </c:pt>
                <c:pt idx="103">
                  <c:v>536.91096968482657</c:v>
                </c:pt>
                <c:pt idx="104">
                  <c:v>545.32946126916943</c:v>
                </c:pt>
                <c:pt idx="105">
                  <c:v>553.74522585166278</c:v>
                </c:pt>
                <c:pt idx="106">
                  <c:v>562.15831072715287</c:v>
                </c:pt>
                <c:pt idx="107">
                  <c:v>570.56876165925303</c:v>
                </c:pt>
                <c:pt idx="108">
                  <c:v>578.97662295224757</c:v>
                </c:pt>
                <c:pt idx="109">
                  <c:v>587.38193751859842</c:v>
                </c:pt>
                <c:pt idx="110">
                  <c:v>595.7847469423923</c:v>
                </c:pt>
                <c:pt idx="111">
                  <c:v>528.29827709857079</c:v>
                </c:pt>
                <c:pt idx="112">
                  <c:v>535.38003807305233</c:v>
                </c:pt>
                <c:pt idx="113">
                  <c:v>542.45982974283959</c:v>
                </c:pt>
                <c:pt idx="114">
                  <c:v>549.53768144295657</c:v>
                </c:pt>
                <c:pt idx="115">
                  <c:v>556.61362169091774</c:v>
                </c:pt>
                <c:pt idx="116">
                  <c:v>563.68767821983818</c:v>
                </c:pt>
                <c:pt idx="117">
                  <c:v>570.75987800979885</c:v>
                </c:pt>
                <c:pt idx="118">
                  <c:v>577.8302473175728</c:v>
                </c:pt>
                <c:pt idx="119">
                  <c:v>584.89881170482306</c:v>
                </c:pt>
                <c:pt idx="120">
                  <c:v>591.96559606486414</c:v>
                </c:pt>
                <c:pt idx="121">
                  <c:v>531.16950054399888</c:v>
                </c:pt>
                <c:pt idx="122">
                  <c:v>537.29368823845141</c:v>
                </c:pt>
                <c:pt idx="123">
                  <c:v>543.41640891561519</c:v>
                </c:pt>
                <c:pt idx="124">
                  <c:v>549.53768144295634</c:v>
                </c:pt>
                <c:pt idx="125">
                  <c:v>555.65752423315837</c:v>
                </c:pt>
                <c:pt idx="126">
                  <c:v>561.77595526008167</c:v>
                </c:pt>
                <c:pt idx="127">
                  <c:v>567.89299207399313</c:v>
                </c:pt>
                <c:pt idx="128">
                  <c:v>574.00865181610322</c:v>
                </c:pt>
                <c:pt idx="129">
                  <c:v>580.12295123245383</c:v>
                </c:pt>
                <c:pt idx="130">
                  <c:v>586.23590668718714</c:v>
                </c:pt>
                <c:pt idx="131">
                  <c:v>532.12650235188266</c:v>
                </c:pt>
                <c:pt idx="132">
                  <c:v>537.29368823845118</c:v>
                </c:pt>
                <c:pt idx="133">
                  <c:v>542.45982974283925</c:v>
                </c:pt>
                <c:pt idx="134">
                  <c:v>547.62493821970475</c:v>
                </c:pt>
                <c:pt idx="135">
                  <c:v>552.78902479193243</c:v>
                </c:pt>
                <c:pt idx="136">
                  <c:v>557.95210035753337</c:v>
                </c:pt>
                <c:pt idx="137">
                  <c:v>563.11417559627546</c:v>
                </c:pt>
                <c:pt idx="138">
                  <c:v>568.27526097606062</c:v>
                </c:pt>
                <c:pt idx="139">
                  <c:v>573.43536675905443</c:v>
                </c:pt>
                <c:pt idx="140">
                  <c:v>578.59450300758647</c:v>
                </c:pt>
                <c:pt idx="141">
                  <c:v>531.55230561741405</c:v>
                </c:pt>
                <c:pt idx="142">
                  <c:v>536.14551536775082</c:v>
                </c:pt>
                <c:pt idx="143">
                  <c:v>540.73789791143247</c:v>
                </c:pt>
                <c:pt idx="144">
                  <c:v>545.32946126916829</c:v>
                </c:pt>
                <c:pt idx="145">
                  <c:v>549.92021331550427</c:v>
                </c:pt>
                <c:pt idx="146">
                  <c:v>554.51016178271107</c:v>
                </c:pt>
                <c:pt idx="147">
                  <c:v>559.09931426453841</c:v>
                </c:pt>
                <c:pt idx="148">
                  <c:v>563.68767821983727</c:v>
                </c:pt>
                <c:pt idx="149">
                  <c:v>568.27526097606028</c:v>
                </c:pt>
                <c:pt idx="150">
                  <c:v>572.86206973264132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8446560"/>
        <c:axId val="1798046528"/>
      </c:scatterChart>
      <c:valAx>
        <c:axId val="21284465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98046528"/>
        <c:crosses val="autoZero"/>
        <c:crossBetween val="midCat"/>
      </c:valAx>
      <c:valAx>
        <c:axId val="1798046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284465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2.0801803047891831</c:v>
                </c:pt>
                <c:pt idx="2">
                  <c:v>2.7905066044127733</c:v>
                </c:pt>
                <c:pt idx="3">
                  <c:v>3.74440534699754</c:v>
                </c:pt>
                <c:pt idx="4">
                  <c:v>5.0257259450507812</c:v>
                </c:pt>
                <c:pt idx="5">
                  <c:v>6.7472883259063394</c:v>
                </c:pt>
                <c:pt idx="6">
                  <c:v>9.0609262398723924</c:v>
                </c:pt>
                <c:pt idx="7">
                  <c:v>12.171023111680329</c:v>
                </c:pt>
                <c:pt idx="8">
                  <c:v>16.352758396569048</c:v>
                </c:pt>
                <c:pt idx="9">
                  <c:v>21.976708234197869</c:v>
                </c:pt>
                <c:pt idx="10">
                  <c:v>29.542019252430688</c:v>
                </c:pt>
                <c:pt idx="11">
                  <c:v>39.721151062240295</c:v>
                </c:pt>
                <c:pt idx="12">
                  <c:v>53.420232144414797</c:v>
                </c:pt>
                <c:pt idx="13">
                  <c:v>73.201093404762517</c:v>
                </c:pt>
                <c:pt idx="14">
                  <c:v>95.193802230849045</c:v>
                </c:pt>
                <c:pt idx="15">
                  <c:v>119.40669706000294</c:v>
                </c:pt>
                <c:pt idx="16">
                  <c:v>105.44872764883114</c:v>
                </c:pt>
                <c:pt idx="17">
                  <c:v>118.72814390822663</c:v>
                </c:pt>
                <c:pt idx="18">
                  <c:v>134.68918035095743</c:v>
                </c:pt>
                <c:pt idx="19">
                  <c:v>151.78802852533406</c:v>
                </c:pt>
                <c:pt idx="20">
                  <c:v>173.25204101823155</c:v>
                </c:pt>
                <c:pt idx="21">
                  <c:v>148.07114991460617</c:v>
                </c:pt>
                <c:pt idx="22">
                  <c:v>168.92923244181199</c:v>
                </c:pt>
                <c:pt idx="23">
                  <c:v>190.77159636850772</c:v>
                </c:pt>
                <c:pt idx="24">
                  <c:v>213.97096754156919</c:v>
                </c:pt>
                <c:pt idx="25">
                  <c:v>237.91131665522707</c:v>
                </c:pt>
                <c:pt idx="26">
                  <c:v>262.4191790375051</c:v>
                </c:pt>
                <c:pt idx="27">
                  <c:v>286.87538518437105</c:v>
                </c:pt>
                <c:pt idx="28">
                  <c:v>237.05767815907811</c:v>
                </c:pt>
                <c:pt idx="29">
                  <c:v>257.30780573118091</c:v>
                </c:pt>
                <c:pt idx="30">
                  <c:v>277.52190192244632</c:v>
                </c:pt>
                <c:pt idx="31">
                  <c:v>298.22015123846171</c:v>
                </c:pt>
                <c:pt idx="32">
                  <c:v>318.8863942330795</c:v>
                </c:pt>
                <c:pt idx="33">
                  <c:v>255.0484613536668</c:v>
                </c:pt>
                <c:pt idx="34">
                  <c:v>271.66857581099384</c:v>
                </c:pt>
                <c:pt idx="35">
                  <c:v>288.26582722652319</c:v>
                </c:pt>
                <c:pt idx="36">
                  <c:v>304.84171714529225</c:v>
                </c:pt>
                <c:pt idx="37">
                  <c:v>321.3975704655806</c:v>
                </c:pt>
                <c:pt idx="38">
                  <c:v>338.26681317270908</c:v>
                </c:pt>
                <c:pt idx="39">
                  <c:v>355.11754651191865</c:v>
                </c:pt>
                <c:pt idx="40">
                  <c:v>371.95077218720718</c:v>
                </c:pt>
                <c:pt idx="41">
                  <c:v>388.76739385150091</c:v>
                </c:pt>
                <c:pt idx="42">
                  <c:v>405.56823061861064</c:v>
                </c:pt>
                <c:pt idx="43">
                  <c:v>422.39941053572528</c:v>
                </c:pt>
                <c:pt idx="44">
                  <c:v>439.21615689856299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8047616"/>
        <c:axId val="1798049248"/>
      </c:scatterChart>
      <c:valAx>
        <c:axId val="17980476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98049248"/>
        <c:crosses val="autoZero"/>
        <c:crossBetween val="midCat"/>
      </c:valAx>
      <c:valAx>
        <c:axId val="1798049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980476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103.84617756844348</c:v>
                </c:pt>
                <c:pt idx="22">
                  <c:v>115.72319627792427</c:v>
                </c:pt>
                <c:pt idx="23">
                  <c:v>127.57039913328697</c:v>
                </c:pt>
                <c:pt idx="24">
                  <c:v>139.39094880292336</c:v>
                </c:pt>
                <c:pt idx="25">
                  <c:v>151.18742647916039</c:v>
                </c:pt>
                <c:pt idx="26">
                  <c:v>165.90240656060988</c:v>
                </c:pt>
                <c:pt idx="27">
                  <c:v>180.58657218998462</c:v>
                </c:pt>
                <c:pt idx="28">
                  <c:v>195.24278318241954</c:v>
                </c:pt>
                <c:pt idx="29">
                  <c:v>209.87343438827483</c:v>
                </c:pt>
                <c:pt idx="30">
                  <c:v>224.48055915021379</c:v>
                </c:pt>
                <c:pt idx="31">
                  <c:v>180.58657218998462</c:v>
                </c:pt>
                <c:pt idx="32">
                  <c:v>197.3343901571734</c:v>
                </c:pt>
                <c:pt idx="33">
                  <c:v>214.04921803989632</c:v>
                </c:pt>
                <c:pt idx="34">
                  <c:v>230.73399509870114</c:v>
                </c:pt>
                <c:pt idx="35">
                  <c:v>247.39120044621509</c:v>
                </c:pt>
                <c:pt idx="36">
                  <c:v>264.85390518195555</c:v>
                </c:pt>
                <c:pt idx="37">
                  <c:v>282.29065500591173</c:v>
                </c:pt>
                <c:pt idx="38">
                  <c:v>299.70327852559689</c:v>
                </c:pt>
                <c:pt idx="39">
                  <c:v>317.09337448903148</c:v>
                </c:pt>
                <c:pt idx="40">
                  <c:v>334.46235196533502</c:v>
                </c:pt>
                <c:pt idx="41">
                  <c:v>264.85390518195561</c:v>
                </c:pt>
                <c:pt idx="42">
                  <c:v>282.29065500591184</c:v>
                </c:pt>
                <c:pt idx="43">
                  <c:v>299.70327852559694</c:v>
                </c:pt>
                <c:pt idx="44">
                  <c:v>317.09337448903153</c:v>
                </c:pt>
                <c:pt idx="45">
                  <c:v>334.46235196533513</c:v>
                </c:pt>
                <c:pt idx="46">
                  <c:v>351.39860979301596</c:v>
                </c:pt>
                <c:pt idx="47">
                  <c:v>368.3169759234454</c:v>
                </c:pt>
                <c:pt idx="48">
                  <c:v>385.21838765576626</c:v>
                </c:pt>
                <c:pt idx="49">
                  <c:v>402.10369334769052</c:v>
                </c:pt>
                <c:pt idx="50">
                  <c:v>418.97366431319239</c:v>
                </c:pt>
                <c:pt idx="51">
                  <c:v>348.92127422322784</c:v>
                </c:pt>
                <c:pt idx="52">
                  <c:v>365.42969930916388</c:v>
                </c:pt>
                <c:pt idx="53">
                  <c:v>381.9218413257197</c:v>
                </c:pt>
                <c:pt idx="54">
                  <c:v>398.39850220884642</c:v>
                </c:pt>
                <c:pt idx="55">
                  <c:v>414.86041216554025</c:v>
                </c:pt>
                <c:pt idx="56">
                  <c:v>430.48617222970438</c:v>
                </c:pt>
                <c:pt idx="57">
                  <c:v>446.0997486227979</c:v>
                </c:pt>
                <c:pt idx="58">
                  <c:v>461.70162769615786</c:v>
                </c:pt>
                <c:pt idx="59">
                  <c:v>477.29226026061059</c:v>
                </c:pt>
                <c:pt idx="60">
                  <c:v>492.87206528378402</c:v>
                </c:pt>
                <c:pt idx="61">
                  <c:v>421.44119734263637</c:v>
                </c:pt>
                <c:pt idx="62">
                  <c:v>436.23993334518991</c:v>
                </c:pt>
                <c:pt idx="63">
                  <c:v>451.02789946978169</c:v>
                </c:pt>
                <c:pt idx="64">
                  <c:v>465.80549848090754</c:v>
                </c:pt>
                <c:pt idx="65">
                  <c:v>480.57310550984766</c:v>
                </c:pt>
                <c:pt idx="66">
                  <c:v>494.51143108208981</c:v>
                </c:pt>
                <c:pt idx="67">
                  <c:v>508.44143309569387</c:v>
                </c:pt>
                <c:pt idx="68">
                  <c:v>522.36337165879229</c:v>
                </c:pt>
                <c:pt idx="69">
                  <c:v>536.27749188826908</c:v>
                </c:pt>
                <c:pt idx="70">
                  <c:v>550.1840251484324</c:v>
                </c:pt>
                <c:pt idx="71">
                  <c:v>476.88212094653812</c:v>
                </c:pt>
                <c:pt idx="72">
                  <c:v>489.59298637351299</c:v>
                </c:pt>
                <c:pt idx="73">
                  <c:v>502.29685299496032</c:v>
                </c:pt>
                <c:pt idx="74">
                  <c:v>514.99392273715932</c:v>
                </c:pt>
                <c:pt idx="75">
                  <c:v>527.68438675921141</c:v>
                </c:pt>
                <c:pt idx="76">
                  <c:v>539.95936220671649</c:v>
                </c:pt>
                <c:pt idx="77">
                  <c:v>552.22847702156594</c:v>
                </c:pt>
                <c:pt idx="78">
                  <c:v>564.49187973331675</c:v>
                </c:pt>
                <c:pt idx="79">
                  <c:v>576.74971189331643</c:v>
                </c:pt>
                <c:pt idx="80">
                  <c:v>589.00210854701243</c:v>
                </c:pt>
                <c:pt idx="81">
                  <c:v>514.58444394878302</c:v>
                </c:pt>
                <c:pt idx="82">
                  <c:v>526.04727227111368</c:v>
                </c:pt>
                <c:pt idx="83">
                  <c:v>537.50484084926495</c:v>
                </c:pt>
                <c:pt idx="84">
                  <c:v>548.95727759070985</c:v>
                </c:pt>
                <c:pt idx="85">
                  <c:v>560.40470463156907</c:v>
                </c:pt>
                <c:pt idx="86">
                  <c:v>571.84723871208746</c:v>
                </c:pt>
                <c:pt idx="87">
                  <c:v>583.28499152050188</c:v>
                </c:pt>
                <c:pt idx="88">
                  <c:v>594.71807000854017</c:v>
                </c:pt>
                <c:pt idx="89">
                  <c:v>606.14657668140785</c:v>
                </c:pt>
                <c:pt idx="90">
                  <c:v>617.57060986476938</c:v>
                </c:pt>
                <c:pt idx="91">
                  <c:v>541.80009933248743</c:v>
                </c:pt>
                <c:pt idx="92">
                  <c:v>551.81959936072451</c:v>
                </c:pt>
                <c:pt idx="93">
                  <c:v>561.835286637698</c:v>
                </c:pt>
                <c:pt idx="94">
                  <c:v>571.84723871208746</c:v>
                </c:pt>
                <c:pt idx="95">
                  <c:v>581.85553019580914</c:v>
                </c:pt>
                <c:pt idx="96">
                  <c:v>591.86023292490802</c:v>
                </c:pt>
                <c:pt idx="97">
                  <c:v>601.86141610900938</c:v>
                </c:pt>
                <c:pt idx="98">
                  <c:v>611.85914647032064</c:v>
                </c:pt>
                <c:pt idx="99">
                  <c:v>621.85348837307845</c:v>
                </c:pt>
                <c:pt idx="100">
                  <c:v>631.84450394424437</c:v>
                </c:pt>
                <c:pt idx="101">
                  <c:v>555.09044325536718</c:v>
                </c:pt>
                <c:pt idx="102">
                  <c:v>564.08319015797451</c:v>
                </c:pt>
                <c:pt idx="103">
                  <c:v>573.07293899689409</c:v>
                </c:pt>
                <c:pt idx="104">
                  <c:v>582.05974343549417</c:v>
                </c:pt>
                <c:pt idx="105">
                  <c:v>591.04365534487806</c:v>
                </c:pt>
                <c:pt idx="106">
                  <c:v>600.0247248906611</c:v>
                </c:pt>
                <c:pt idx="107">
                  <c:v>609.00300061428027</c:v>
                </c:pt>
                <c:pt idx="108">
                  <c:v>617.97852950926267</c:v>
                </c:pt>
                <c:pt idx="109">
                  <c:v>626.95135709283159</c:v>
                </c:pt>
                <c:pt idx="110">
                  <c:v>635.92152747320199</c:v>
                </c:pt>
                <c:pt idx="111">
                  <c:v>563.87884304786473</c:v>
                </c:pt>
                <c:pt idx="112">
                  <c:v>571.43865976099426</c:v>
                </c:pt>
                <c:pt idx="113">
                  <c:v>578.99638763382268</c:v>
                </c:pt>
                <c:pt idx="114">
                  <c:v>586.55205778199286</c:v>
                </c:pt>
                <c:pt idx="115">
                  <c:v>594.10570045401494</c:v>
                </c:pt>
                <c:pt idx="116">
                  <c:v>601.65734506638762</c:v>
                </c:pt>
                <c:pt idx="117">
                  <c:v>609.20702023686624</c:v>
                </c:pt>
                <c:pt idx="118">
                  <c:v>616.75475381599438</c:v>
                </c:pt>
                <c:pt idx="119">
                  <c:v>624.300572917012</c:v>
                </c:pt>
                <c:pt idx="120">
                  <c:v>631.84450394424357</c:v>
                </c:pt>
                <c:pt idx="121">
                  <c:v>566.94388739716328</c:v>
                </c:pt>
                <c:pt idx="122">
                  <c:v>573.48149358555565</c:v>
                </c:pt>
                <c:pt idx="123">
                  <c:v>580.01754370959543</c:v>
                </c:pt>
                <c:pt idx="124">
                  <c:v>586.55205778199274</c:v>
                </c:pt>
                <c:pt idx="125">
                  <c:v>593.08505533306914</c:v>
                </c:pt>
                <c:pt idx="126">
                  <c:v>599.61655542768813</c:v>
                </c:pt>
                <c:pt idx="127">
                  <c:v>606.1465766814066</c:v>
                </c:pt>
                <c:pt idx="128">
                  <c:v>612.67513727589676</c:v>
                </c:pt>
                <c:pt idx="129">
                  <c:v>619.20225497367471</c:v>
                </c:pt>
                <c:pt idx="130">
                  <c:v>625.72794713217661</c:v>
                </c:pt>
                <c:pt idx="131">
                  <c:v>567.96549176174028</c:v>
                </c:pt>
                <c:pt idx="132">
                  <c:v>573.48149358555554</c:v>
                </c:pt>
                <c:pt idx="133">
                  <c:v>578.99638763382234</c:v>
                </c:pt>
                <c:pt idx="134">
                  <c:v>584.51018595041944</c:v>
                </c:pt>
                <c:pt idx="135">
                  <c:v>590.0229003333842</c:v>
                </c:pt>
                <c:pt idx="136">
                  <c:v>595.53454234222977</c:v>
                </c:pt>
                <c:pt idx="137">
                  <c:v>601.04512330498039</c:v>
                </c:pt>
                <c:pt idx="138">
                  <c:v>606.55465432493247</c:v>
                </c:pt>
                <c:pt idx="139">
                  <c:v>612.06314628715938</c:v>
                </c:pt>
                <c:pt idx="140">
                  <c:v>617.57060986476779</c:v>
                </c:pt>
                <c:pt idx="141">
                  <c:v>567.35253375731406</c:v>
                </c:pt>
                <c:pt idx="142">
                  <c:v>572.25581156511964</c:v>
                </c:pt>
                <c:pt idx="143">
                  <c:v>577.15821195532533</c:v>
                </c:pt>
                <c:pt idx="144">
                  <c:v>582.05974343549315</c:v>
                </c:pt>
                <c:pt idx="145">
                  <c:v>586.96041435814834</c:v>
                </c:pt>
                <c:pt idx="146">
                  <c:v>591.86023292490643</c:v>
                </c:pt>
                <c:pt idx="147">
                  <c:v>596.75920719045291</c:v>
                </c:pt>
                <c:pt idx="148">
                  <c:v>601.65734506638671</c:v>
                </c:pt>
                <c:pt idx="149">
                  <c:v>606.55465432493213</c:v>
                </c:pt>
                <c:pt idx="150">
                  <c:v>611.45114260252456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8047072"/>
        <c:axId val="1798048704"/>
      </c:scatterChart>
      <c:valAx>
        <c:axId val="17980470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98048704"/>
        <c:crosses val="autoZero"/>
        <c:crossBetween val="midCat"/>
      </c:valAx>
      <c:valAx>
        <c:axId val="179804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980470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3.2703410613260862</c:v>
                </c:pt>
                <c:pt idx="2">
                  <c:v>3.9161437254808931</c:v>
                </c:pt>
                <c:pt idx="3">
                  <c:v>4.6899445270810372</c:v>
                </c:pt>
                <c:pt idx="4">
                  <c:v>5.617200485549847</c:v>
                </c:pt>
                <c:pt idx="5">
                  <c:v>6.7284480012868242</c:v>
                </c:pt>
                <c:pt idx="6">
                  <c:v>8.0603193640911446</c:v>
                </c:pt>
                <c:pt idx="7">
                  <c:v>9.6567632502780452</c:v>
                </c:pt>
                <c:pt idx="8">
                  <c:v>11.570510247422023</c:v>
                </c:pt>
                <c:pt idx="9">
                  <c:v>13.864832720969302</c:v>
                </c:pt>
                <c:pt idx="10">
                  <c:v>16.61565828443106</c:v>
                </c:pt>
                <c:pt idx="11">
                  <c:v>19.914108093024186</c:v>
                </c:pt>
                <c:pt idx="12">
                  <c:v>23.869545556641487</c:v>
                </c:pt>
                <c:pt idx="13">
                  <c:v>28.613238351676909</c:v>
                </c:pt>
                <c:pt idx="14">
                  <c:v>34.302757391640604</c:v>
                </c:pt>
                <c:pt idx="15">
                  <c:v>41.127261402376554</c:v>
                </c:pt>
                <c:pt idx="16">
                  <c:v>49.313845791603399</c:v>
                </c:pt>
                <c:pt idx="17">
                  <c:v>59.135170630109862</c:v>
                </c:pt>
                <c:pt idx="18">
                  <c:v>70.918626007223153</c:v>
                </c:pt>
                <c:pt idx="19">
                  <c:v>85.057345270772814</c:v>
                </c:pt>
                <c:pt idx="20">
                  <c:v>102.02343949799173</c:v>
                </c:pt>
                <c:pt idx="21">
                  <c:v>115.24488471715169</c:v>
                </c:pt>
                <c:pt idx="22">
                  <c:v>128.42920528646451</c:v>
                </c:pt>
                <c:pt idx="23">
                  <c:v>141.58075430337479</c:v>
                </c:pt>
                <c:pt idx="24">
                  <c:v>154.70300795717847</c:v>
                </c:pt>
                <c:pt idx="25">
                  <c:v>167.79880331835713</c:v>
                </c:pt>
                <c:pt idx="26">
                  <c:v>184.1348953873202</c:v>
                </c:pt>
                <c:pt idx="27">
                  <c:v>200.43711831314488</c:v>
                </c:pt>
                <c:pt idx="28">
                  <c:v>216.70861540949173</c:v>
                </c:pt>
                <c:pt idx="29">
                  <c:v>232.95201893246733</c:v>
                </c:pt>
                <c:pt idx="30">
                  <c:v>249.16956379358496</c:v>
                </c:pt>
                <c:pt idx="31">
                  <c:v>200.43711831314488</c:v>
                </c:pt>
                <c:pt idx="32">
                  <c:v>219.03076565248196</c:v>
                </c:pt>
                <c:pt idx="33">
                  <c:v>237.58815254200749</c:v>
                </c:pt>
                <c:pt idx="34">
                  <c:v>256.1125096163592</c:v>
                </c:pt>
                <c:pt idx="35">
                  <c:v>274.60656174697812</c:v>
                </c:pt>
                <c:pt idx="36">
                  <c:v>293.99524327269938</c:v>
                </c:pt>
                <c:pt idx="37">
                  <c:v>313.35539693038533</c:v>
                </c:pt>
                <c:pt idx="38">
                  <c:v>332.68903260064207</c:v>
                </c:pt>
                <c:pt idx="39">
                  <c:v>351.99790751820501</c:v>
                </c:pt>
                <c:pt idx="40">
                  <c:v>371.28357043570503</c:v>
                </c:pt>
                <c:pt idx="41">
                  <c:v>293.99524327269938</c:v>
                </c:pt>
                <c:pt idx="42">
                  <c:v>313.35539693038538</c:v>
                </c:pt>
                <c:pt idx="43">
                  <c:v>332.68903260064207</c:v>
                </c:pt>
                <c:pt idx="44">
                  <c:v>351.99790751820518</c:v>
                </c:pt>
                <c:pt idx="45">
                  <c:v>371.28357043570503</c:v>
                </c:pt>
                <c:pt idx="46">
                  <c:v>390.08897772661572</c:v>
                </c:pt>
                <c:pt idx="47">
                  <c:v>408.87471968472323</c:v>
                </c:pt>
                <c:pt idx="48">
                  <c:v>427.6418265252899</c:v>
                </c:pt>
                <c:pt idx="49">
                  <c:v>446.39123070522641</c:v>
                </c:pt>
                <c:pt idx="50">
                  <c:v>465.12378000022358</c:v>
                </c:pt>
                <c:pt idx="51">
                  <c:v>387.33822121677048</c:v>
                </c:pt>
                <c:pt idx="52">
                  <c:v>405.66874423568089</c:v>
                </c:pt>
                <c:pt idx="53">
                  <c:v>423.98137001578152</c:v>
                </c:pt>
                <c:pt idx="54">
                  <c:v>442.27697999035109</c:v>
                </c:pt>
                <c:pt idx="55">
                  <c:v>460.55637675309475</c:v>
                </c:pt>
                <c:pt idx="56">
                  <c:v>477.9074551778013</c:v>
                </c:pt>
                <c:pt idx="57">
                  <c:v>495.24514214260324</c:v>
                </c:pt>
                <c:pt idx="58">
                  <c:v>512.56997221170479</c:v>
                </c:pt>
                <c:pt idx="59">
                  <c:v>529.88244088560566</c:v>
                </c:pt>
                <c:pt idx="60">
                  <c:v>547.18300866493462</c:v>
                </c:pt>
                <c:pt idx="61">
                  <c:v>467.86376222658549</c:v>
                </c:pt>
                <c:pt idx="62">
                  <c:v>484.29655280391279</c:v>
                </c:pt>
                <c:pt idx="63">
                  <c:v>500.71750586625211</c:v>
                </c:pt>
                <c:pt idx="64">
                  <c:v>517.12706410485578</c:v>
                </c:pt>
                <c:pt idx="65">
                  <c:v>533.52563983842992</c:v>
                </c:pt>
                <c:pt idx="66">
                  <c:v>549.00344654997514</c:v>
                </c:pt>
                <c:pt idx="67">
                  <c:v>564.47210457381163</c:v>
                </c:pt>
                <c:pt idx="68">
                  <c:v>579.93189980305101</c:v>
                </c:pt>
                <c:pt idx="69">
                  <c:v>595.38310165344672</c:v>
                </c:pt>
                <c:pt idx="70">
                  <c:v>610.82596442485954</c:v>
                </c:pt>
                <c:pt idx="71">
                  <c:v>529.42700402201569</c:v>
                </c:pt>
                <c:pt idx="72">
                  <c:v>543.54175115137775</c:v>
                </c:pt>
                <c:pt idx="73">
                  <c:v>557.64880567125817</c:v>
                </c:pt>
                <c:pt idx="74">
                  <c:v>571.74838952524453</c:v>
                </c:pt>
                <c:pt idx="75">
                  <c:v>585.84071282237744</c:v>
                </c:pt>
                <c:pt idx="76">
                  <c:v>599.47171971380669</c:v>
                </c:pt>
                <c:pt idx="77">
                  <c:v>613.09628499771316</c:v>
                </c:pt>
                <c:pt idx="78">
                  <c:v>626.71457192765104</c:v>
                </c:pt>
                <c:pt idx="79">
                  <c:v>640.3267360872029</c:v>
                </c:pt>
                <c:pt idx="80">
                  <c:v>653.93292590911028</c:v>
                </c:pt>
                <c:pt idx="81">
                  <c:v>571.29367866642974</c:v>
                </c:pt>
                <c:pt idx="82">
                  <c:v>584.02274942390272</c:v>
                </c:pt>
                <c:pt idx="83">
                  <c:v>596.74603902946512</c:v>
                </c:pt>
                <c:pt idx="84">
                  <c:v>609.46368807028375</c:v>
                </c:pt>
                <c:pt idx="85">
                  <c:v>622.17583079004874</c:v>
                </c:pt>
                <c:pt idx="86">
                  <c:v>634.88259550167152</c:v>
                </c:pt>
                <c:pt idx="87">
                  <c:v>647.58410496524095</c:v>
                </c:pt>
                <c:pt idx="88">
                  <c:v>660.28047673479932</c:v>
                </c:pt>
                <c:pt idx="89">
                  <c:v>672.97182347707314</c:v>
                </c:pt>
                <c:pt idx="90">
                  <c:v>685.6582532649245</c:v>
                </c:pt>
                <c:pt idx="91">
                  <c:v>601.51581107912773</c:v>
                </c:pt>
                <c:pt idx="92">
                  <c:v>612.64223485726768</c:v>
                </c:pt>
                <c:pt idx="93">
                  <c:v>623.76446791937644</c:v>
                </c:pt>
                <c:pt idx="94">
                  <c:v>634.88259550167152</c:v>
                </c:pt>
                <c:pt idx="95">
                  <c:v>645.9966996124798</c:v>
                </c:pt>
                <c:pt idx="96">
                  <c:v>657.10685920908043</c:v>
                </c:pt>
                <c:pt idx="97">
                  <c:v>668.21315036197109</c:v>
                </c:pt>
                <c:pt idx="98">
                  <c:v>679.31564640764952</c:v>
                </c:pt>
                <c:pt idx="99">
                  <c:v>690.41441809089304</c:v>
                </c:pt>
                <c:pt idx="100">
                  <c:v>701.50953369741819</c:v>
                </c:pt>
                <c:pt idx="101">
                  <c:v>616.27444100355058</c:v>
                </c:pt>
                <c:pt idx="102">
                  <c:v>626.26072851795254</c:v>
                </c:pt>
                <c:pt idx="103">
                  <c:v>636.24372076531768</c:v>
                </c:pt>
                <c:pt idx="104">
                  <c:v>646.22347672875867</c:v>
                </c:pt>
                <c:pt idx="105">
                  <c:v>656.20005342145294</c:v>
                </c:pt>
                <c:pt idx="106">
                  <c:v>666.17350598202211</c:v>
                </c:pt>
                <c:pt idx="107">
                  <c:v>676.14388776390103</c:v>
                </c:pt>
                <c:pt idx="108">
                  <c:v>686.11125041916887</c:v>
                </c:pt>
                <c:pt idx="109">
                  <c:v>696.07564397725127</c:v>
                </c:pt>
                <c:pt idx="110">
                  <c:v>706.03711691888873</c:v>
                </c:pt>
                <c:pt idx="111">
                  <c:v>626.03380426043748</c:v>
                </c:pt>
                <c:pt idx="112">
                  <c:v>634.42887368259915</c:v>
                </c:pt>
                <c:pt idx="113">
                  <c:v>642.82164719403158</c:v>
                </c:pt>
                <c:pt idx="114">
                  <c:v>651.21215899492529</c:v>
                </c:pt>
                <c:pt idx="115">
                  <c:v>659.6004423323792</c:v>
                </c:pt>
                <c:pt idx="116">
                  <c:v>667.98652953900148</c:v>
                </c:pt>
                <c:pt idx="117">
                  <c:v>676.37045206947607</c:v>
                </c:pt>
                <c:pt idx="118">
                  <c:v>684.75224053521981</c:v>
                </c:pt>
                <c:pt idx="119">
                  <c:v>693.13192473725633</c:v>
                </c:pt>
                <c:pt idx="120">
                  <c:v>701.50953369741762</c:v>
                </c:pt>
                <c:pt idx="121">
                  <c:v>629.43748973150025</c:v>
                </c:pt>
                <c:pt idx="122">
                  <c:v>636.6974158068673</c:v>
                </c:pt>
                <c:pt idx="123">
                  <c:v>643.95563156247397</c:v>
                </c:pt>
                <c:pt idx="124">
                  <c:v>651.21215899492529</c:v>
                </c:pt>
                <c:pt idx="125">
                  <c:v>658.46701957061839</c:v>
                </c:pt>
                <c:pt idx="126">
                  <c:v>665.72023424435065</c:v>
                </c:pt>
                <c:pt idx="127">
                  <c:v>672.97182347707178</c:v>
                </c:pt>
                <c:pt idx="128">
                  <c:v>680.22180725283522</c:v>
                </c:pt>
                <c:pt idx="129">
                  <c:v>687.47020509498645</c:v>
                </c:pt>
                <c:pt idx="130">
                  <c:v>694.71703608163534</c:v>
                </c:pt>
                <c:pt idx="131">
                  <c:v>630.57196682840777</c:v>
                </c:pt>
                <c:pt idx="132">
                  <c:v>636.69741580686696</c:v>
                </c:pt>
                <c:pt idx="133">
                  <c:v>642.8216471940309</c:v>
                </c:pt>
                <c:pt idx="134">
                  <c:v>648.94467422770936</c:v>
                </c:pt>
                <c:pt idx="135">
                  <c:v>655.06650987549995</c:v>
                </c:pt>
                <c:pt idx="136">
                  <c:v>661.18716684283038</c:v>
                </c:pt>
                <c:pt idx="137">
                  <c:v>667.30665758069279</c:v>
                </c:pt>
                <c:pt idx="138">
                  <c:v>673.42499429307202</c:v>
                </c:pt>
                <c:pt idx="139">
                  <c:v>679.54218894409837</c:v>
                </c:pt>
                <c:pt idx="140">
                  <c:v>685.65825326492302</c:v>
                </c:pt>
                <c:pt idx="141">
                  <c:v>629.89128564200882</c:v>
                </c:pt>
                <c:pt idx="142">
                  <c:v>635.33631061817096</c:v>
                </c:pt>
                <c:pt idx="143">
                  <c:v>640.78037119677663</c:v>
                </c:pt>
                <c:pt idx="144">
                  <c:v>646.2234767287573</c:v>
                </c:pt>
                <c:pt idx="145">
                  <c:v>651.66563639463936</c:v>
                </c:pt>
                <c:pt idx="146">
                  <c:v>657.10685920907861</c:v>
                </c:pt>
                <c:pt idx="147">
                  <c:v>662.54715402523584</c:v>
                </c:pt>
                <c:pt idx="148">
                  <c:v>667.98652953900034</c:v>
                </c:pt>
                <c:pt idx="149">
                  <c:v>673.42499429307145</c:v>
                </c:pt>
                <c:pt idx="150">
                  <c:v>678.86255668089746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8049792"/>
        <c:axId val="1798050880"/>
      </c:scatterChart>
      <c:valAx>
        <c:axId val="17980497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98050880"/>
        <c:crosses val="autoZero"/>
        <c:crossBetween val="midCat"/>
      </c:valAx>
      <c:valAx>
        <c:axId val="1798050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980497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8048160"/>
        <c:axId val="1798051424"/>
      </c:scatterChart>
      <c:valAx>
        <c:axId val="179804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98051424"/>
        <c:crosses val="autoZero"/>
        <c:crossBetween val="midCat"/>
      </c:valAx>
      <c:valAx>
        <c:axId val="1798051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9804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8050336"/>
        <c:axId val="1798051968"/>
      </c:scatterChart>
      <c:valAx>
        <c:axId val="17980503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98051968"/>
        <c:crosses val="autoZero"/>
        <c:crossBetween val="midCat"/>
      </c:valAx>
      <c:valAx>
        <c:axId val="1798051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98050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8052512"/>
        <c:axId val="1798045440"/>
      </c:scatterChart>
      <c:valAx>
        <c:axId val="17980525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98045440"/>
        <c:crosses val="autoZero"/>
        <c:crossBetween val="midCat"/>
      </c:valAx>
      <c:valAx>
        <c:axId val="179804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980525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8045984"/>
        <c:axId val="203261776"/>
      </c:scatterChart>
      <c:valAx>
        <c:axId val="17980459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3261776"/>
        <c:crosses val="autoZero"/>
        <c:crossBetween val="midCat"/>
      </c:valAx>
      <c:valAx>
        <c:axId val="203261776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980459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topLeftCell="A16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88" t="s">
        <v>291</v>
      </c>
      <c r="C12" s="288"/>
      <c r="D12" s="288"/>
      <c r="E12" s="288"/>
      <c r="F12" s="288"/>
      <c r="G12" s="288"/>
      <c r="H12" s="288"/>
      <c r="I12" s="288"/>
      <c r="J12" s="288"/>
      <c r="K12" s="288"/>
      <c r="L12" s="288"/>
      <c r="M12" s="288"/>
    </row>
    <row r="13" spans="2:13" ht="15" customHeight="1" x14ac:dyDescent="0.3">
      <c r="B13" s="288"/>
      <c r="C13" s="288"/>
      <c r="D13" s="288"/>
      <c r="E13" s="288"/>
      <c r="F13" s="288"/>
      <c r="G13" s="288"/>
      <c r="H13" s="288"/>
      <c r="I13" s="288"/>
      <c r="J13" s="288"/>
      <c r="K13" s="288"/>
      <c r="L13" s="288"/>
      <c r="M13" s="288"/>
    </row>
    <row r="14" spans="2:13" ht="15" customHeight="1" x14ac:dyDescent="0.3">
      <c r="B14" s="288"/>
      <c r="C14" s="288"/>
      <c r="D14" s="288"/>
      <c r="E14" s="288"/>
      <c r="F14" s="288"/>
      <c r="G14" s="288"/>
      <c r="H14" s="288"/>
      <c r="I14" s="288"/>
      <c r="J14" s="288"/>
      <c r="K14" s="288"/>
      <c r="L14" s="288"/>
      <c r="M14" s="288"/>
    </row>
    <row r="15" spans="2:13" ht="18.75" customHeight="1" x14ac:dyDescent="0.3">
      <c r="B15" s="288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</row>
    <row r="16" spans="2:13" ht="18.75" customHeight="1" x14ac:dyDescent="0.3">
      <c r="B16" s="288"/>
      <c r="C16" s="288"/>
      <c r="D16" s="288"/>
      <c r="E16" s="288"/>
      <c r="F16" s="288"/>
      <c r="G16" s="288"/>
      <c r="H16" s="288"/>
      <c r="I16" s="288"/>
      <c r="J16" s="288"/>
      <c r="K16" s="288"/>
      <c r="L16" s="288"/>
      <c r="M16" s="288"/>
    </row>
    <row r="18" spans="2:13" ht="12" customHeight="1" x14ac:dyDescent="0.3">
      <c r="B18" s="288" t="s">
        <v>292</v>
      </c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</row>
    <row r="19" spans="2:13" ht="12" customHeight="1" x14ac:dyDescent="0.3">
      <c r="B19" s="288"/>
      <c r="C19" s="288"/>
      <c r="D19" s="288"/>
      <c r="E19" s="288"/>
      <c r="F19" s="288"/>
      <c r="G19" s="288"/>
      <c r="H19" s="288"/>
      <c r="I19" s="288"/>
      <c r="J19" s="288"/>
      <c r="K19" s="288"/>
      <c r="L19" s="288"/>
      <c r="M19" s="288"/>
    </row>
    <row r="20" spans="2:13" ht="12" customHeight="1" x14ac:dyDescent="0.3">
      <c r="B20" s="288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</row>
    <row r="21" spans="2:13" ht="12" customHeight="1" x14ac:dyDescent="0.3">
      <c r="B21" s="288"/>
      <c r="C21" s="288"/>
      <c r="D21" s="288"/>
      <c r="E21" s="288"/>
      <c r="F21" s="288"/>
      <c r="G21" s="288"/>
      <c r="H21" s="288"/>
      <c r="I21" s="288"/>
      <c r="J21" s="288"/>
      <c r="K21" s="288"/>
      <c r="L21" s="288"/>
      <c r="M21" s="288"/>
    </row>
    <row r="22" spans="2:13" ht="12" customHeight="1" x14ac:dyDescent="0.3">
      <c r="B22" s="288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</row>
    <row r="23" spans="2:13" ht="12" customHeight="1" x14ac:dyDescent="0.3">
      <c r="B23" s="288"/>
      <c r="C23" s="288"/>
      <c r="D23" s="288"/>
      <c r="E23" s="288"/>
      <c r="F23" s="288"/>
      <c r="G23" s="288"/>
      <c r="H23" s="288"/>
      <c r="I23" s="288"/>
      <c r="J23" s="288"/>
      <c r="K23" s="288"/>
      <c r="L23" s="288"/>
      <c r="M23" s="288"/>
    </row>
    <row r="24" spans="2:13" ht="12" customHeight="1" x14ac:dyDescent="0.3">
      <c r="B24" s="288"/>
      <c r="C24" s="288"/>
      <c r="D24" s="288"/>
      <c r="E24" s="288"/>
      <c r="F24" s="288"/>
      <c r="G24" s="288"/>
      <c r="H24" s="288"/>
      <c r="I24" s="288"/>
      <c r="J24" s="288"/>
      <c r="K24" s="288"/>
      <c r="L24" s="288"/>
      <c r="M24" s="288"/>
    </row>
    <row r="25" spans="2:13" ht="12" customHeight="1" x14ac:dyDescent="0.3">
      <c r="B25" s="288"/>
      <c r="C25" s="288"/>
      <c r="D25" s="288"/>
      <c r="E25" s="288"/>
      <c r="F25" s="288"/>
      <c r="G25" s="288"/>
      <c r="H25" s="288"/>
      <c r="I25" s="288"/>
      <c r="J25" s="288"/>
      <c r="K25" s="288"/>
      <c r="L25" s="288"/>
      <c r="M25" s="288"/>
    </row>
    <row r="26" spans="2:13" ht="12" customHeight="1" x14ac:dyDescent="0.3">
      <c r="B26" s="288"/>
      <c r="C26" s="288"/>
      <c r="D26" s="288"/>
      <c r="E26" s="288"/>
      <c r="F26" s="288"/>
      <c r="G26" s="288"/>
      <c r="H26" s="288"/>
      <c r="I26" s="288"/>
      <c r="J26" s="288"/>
      <c r="K26" s="288"/>
      <c r="L26" s="288"/>
      <c r="M26" s="288"/>
    </row>
    <row r="27" spans="2:13" ht="12" customHeight="1" x14ac:dyDescent="0.3">
      <c r="B27" s="288"/>
      <c r="C27" s="288"/>
      <c r="D27" s="288"/>
      <c r="E27" s="288"/>
      <c r="F27" s="288"/>
      <c r="G27" s="288"/>
      <c r="H27" s="288"/>
      <c r="I27" s="288"/>
      <c r="J27" s="288"/>
      <c r="K27" s="288"/>
      <c r="L27" s="288"/>
      <c r="M27" s="288"/>
    </row>
    <row r="28" spans="2:13" ht="12" customHeight="1" x14ac:dyDescent="0.3">
      <c r="B28" s="288"/>
      <c r="C28" s="288"/>
      <c r="D28" s="288"/>
      <c r="E28" s="288"/>
      <c r="F28" s="288"/>
      <c r="G28" s="288"/>
      <c r="H28" s="288"/>
      <c r="I28" s="288"/>
      <c r="J28" s="288"/>
      <c r="K28" s="288"/>
      <c r="L28" s="288"/>
      <c r="M28" s="288"/>
    </row>
    <row r="29" spans="2:13" ht="12" customHeight="1" x14ac:dyDescent="0.3">
      <c r="B29" s="288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</row>
    <row r="30" spans="2:13" ht="12" customHeight="1" x14ac:dyDescent="0.3">
      <c r="B30" s="288"/>
      <c r="C30" s="288"/>
      <c r="D30" s="288"/>
      <c r="E30" s="288"/>
      <c r="F30" s="288"/>
      <c r="G30" s="288"/>
      <c r="H30" s="288"/>
      <c r="I30" s="288"/>
      <c r="J30" s="288"/>
      <c r="K30" s="288"/>
      <c r="L30" s="288"/>
      <c r="M30" s="288"/>
    </row>
    <row r="31" spans="2:13" ht="12" customHeight="1" x14ac:dyDescent="0.3">
      <c r="B31" s="288"/>
      <c r="C31" s="288"/>
      <c r="D31" s="288"/>
      <c r="E31" s="288"/>
      <c r="F31" s="288"/>
      <c r="G31" s="288"/>
      <c r="H31" s="288"/>
      <c r="I31" s="288"/>
      <c r="J31" s="288"/>
      <c r="K31" s="288"/>
      <c r="L31" s="288"/>
      <c r="M31" s="28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abSelected="1" zoomScale="70" zoomScaleNormal="70" workbookViewId="0">
      <selection activeCell="D66" sqref="D66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4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4" t="s">
        <v>192</v>
      </c>
      <c r="C3" s="295"/>
      <c r="D3" s="295"/>
      <c r="E3" s="295"/>
      <c r="F3" s="296"/>
      <c r="G3" s="91"/>
      <c r="I3" s="224" t="s">
        <v>304</v>
      </c>
      <c r="J3" s="9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3"/>
      <c r="B4" s="93"/>
      <c r="C4" s="93"/>
      <c r="D4" s="93"/>
      <c r="E4" s="93"/>
      <c r="F4" s="93"/>
      <c r="G4" s="234"/>
      <c r="I4" s="224" t="s">
        <v>305</v>
      </c>
      <c r="J4" s="92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0" t="s">
        <v>231</v>
      </c>
      <c r="B5" s="300"/>
      <c r="C5" s="26">
        <v>6.5</v>
      </c>
      <c r="D5" s="301" t="s">
        <v>229</v>
      </c>
      <c r="E5" s="302"/>
      <c r="F5" s="93"/>
      <c r="G5" s="234"/>
      <c r="H5" s="235"/>
      <c r="I5" s="235"/>
      <c r="J5" s="243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4"/>
      <c r="B6" s="94"/>
      <c r="C6" s="95"/>
      <c r="D6" s="89"/>
      <c r="E6" s="89"/>
      <c r="F6" s="29"/>
      <c r="G6" s="236"/>
      <c r="H6" s="237"/>
      <c r="I6" s="237"/>
      <c r="J6" s="244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</row>
    <row r="7" spans="1:38" ht="25.8" x14ac:dyDescent="0.3">
      <c r="A7" s="298" t="s">
        <v>226</v>
      </c>
      <c r="B7" s="298"/>
      <c r="C7" s="93"/>
      <c r="D7" s="93"/>
      <c r="E7" s="5"/>
      <c r="F7" s="93"/>
      <c r="G7" s="234"/>
      <c r="H7" s="235"/>
      <c r="I7" s="235"/>
      <c r="J7" s="243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49"/>
      <c r="J8" s="243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164</v>
      </c>
      <c r="C9" s="35">
        <v>7.4499999999999997E-2</v>
      </c>
      <c r="D9" s="36">
        <f t="shared" ref="D9:D18" si="0">C9*$C$5</f>
        <v>0.48424999999999996</v>
      </c>
      <c r="E9" s="37">
        <v>109</v>
      </c>
      <c r="F9" s="38" t="str">
        <f t="array" ref="F9">IF(E9="","",IF(INDEX(A:A,MAX(IF(ISNUMBER($A$36:$A$55),ROW($A$36:$A$55),"")))&lt;&gt;E9,"Corrigez : révolution incorrecte","OK"))</f>
        <v>OK</v>
      </c>
      <c r="G9" s="254" t="s">
        <v>306</v>
      </c>
      <c r="I9" s="250"/>
      <c r="J9" s="243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14</v>
      </c>
      <c r="C10" s="35">
        <v>0.37190000000000001</v>
      </c>
      <c r="D10" s="36">
        <f t="shared" si="0"/>
        <v>2.4173499999999999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0"/>
      <c r="J10" s="243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36</v>
      </c>
      <c r="C11" s="35">
        <v>0.51239999999999997</v>
      </c>
      <c r="D11" s="36">
        <f t="shared" si="0"/>
        <v>3.3305999999999996</v>
      </c>
      <c r="E11" s="37">
        <v>44</v>
      </c>
      <c r="F11" s="38" t="str">
        <f t="array" ref="F11">IF(E11="","",IF(INDEX(A:A,MAX(IF(ISNUMBER($A$88:$A$107),ROW($A$88:$A$107),"")))&lt;&gt;E11,"Corrigez : révolution incorrecte","OK"))</f>
        <v>OK</v>
      </c>
      <c r="H11" s="227"/>
      <c r="I11" s="250"/>
      <c r="J11" s="243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1</v>
      </c>
      <c r="C12" s="35">
        <v>2.0400000000000001E-2</v>
      </c>
      <c r="D12" s="36">
        <f t="shared" si="0"/>
        <v>0.1326</v>
      </c>
      <c r="E12" s="37">
        <v>150</v>
      </c>
      <c r="F12" s="38" t="str">
        <f t="array" ref="F12">IF(E12="","",IF(INDEX(A:A,MAX(IF(ISNUMBER($A$114:$A$133),ROW($A$114:$A$133),"")))&lt;&gt;E12,"Corrigez : révolution incorrecte","OK"))</f>
        <v>OK</v>
      </c>
      <c r="H12" s="227"/>
      <c r="I12" s="250"/>
      <c r="J12" s="243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52</v>
      </c>
      <c r="C13" s="35">
        <v>2.0400000000000001E-2</v>
      </c>
      <c r="D13" s="36">
        <f t="shared" si="0"/>
        <v>0.1326</v>
      </c>
      <c r="E13" s="37">
        <v>150</v>
      </c>
      <c r="F13" s="38" t="str">
        <f t="array" ref="F13">IF(E13="","",IF(INDEX(A:A,MAX(IF(ISNUMBER($A$140:$A$159),ROW($A$140:$A$159),"")))&lt;&gt;E13,"Corrigez : révolution incorrecte","OK"))</f>
        <v>OK</v>
      </c>
      <c r="H13" s="227"/>
      <c r="I13" s="250"/>
      <c r="J13" s="243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27"/>
      <c r="I14" s="250"/>
      <c r="J14" s="243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27"/>
      <c r="I15" s="250"/>
      <c r="J15" s="243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7"/>
      <c r="I16" s="250"/>
      <c r="J16" s="243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7"/>
      <c r="I17" s="250"/>
      <c r="J17" s="243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7"/>
      <c r="I18" s="250"/>
      <c r="J18" s="243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96"/>
      <c r="B19" s="39" t="s">
        <v>175</v>
      </c>
      <c r="C19" s="40">
        <f>SUM(C9:C18)</f>
        <v>0.99959999999999993</v>
      </c>
      <c r="D19" s="41">
        <f>SUM(D9:D18)</f>
        <v>6.497399999999999</v>
      </c>
      <c r="E19" s="5"/>
      <c r="F19" s="97"/>
      <c r="G19" s="238"/>
      <c r="H19" s="239"/>
      <c r="I19" s="238"/>
      <c r="J19" s="243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96"/>
      <c r="B20" s="42" t="s">
        <v>230</v>
      </c>
      <c r="C20" s="43" t="str">
        <f>IF(C19&gt;100%,"Erreur : corrigez","OK")</f>
        <v>OK</v>
      </c>
      <c r="D20" s="245"/>
      <c r="F20" s="237"/>
      <c r="G20" s="237"/>
      <c r="H20" s="239"/>
      <c r="I20" s="238"/>
      <c r="J20" s="243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0"/>
      <c r="I21" s="251"/>
      <c r="J21" s="243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97" t="s">
        <v>232</v>
      </c>
      <c r="B22" s="297"/>
      <c r="C22" s="95"/>
      <c r="H22" s="226"/>
      <c r="I22" s="244"/>
      <c r="J22" s="244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</row>
    <row r="23" spans="1:45" x14ac:dyDescent="0.3">
      <c r="A23" s="5"/>
      <c r="B23" s="5"/>
      <c r="C23" s="5"/>
      <c r="H23" s="217"/>
      <c r="I23" s="243"/>
      <c r="J23" s="243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98"/>
      <c r="F24" s="98"/>
      <c r="G24" s="241"/>
      <c r="H24" s="227"/>
      <c r="I24" s="241"/>
      <c r="J24" s="242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99"/>
      <c r="E25" s="5"/>
      <c r="F25" s="99"/>
      <c r="G25" s="242"/>
      <c r="H25" s="227"/>
      <c r="I25" s="242"/>
      <c r="J25" s="242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98"/>
      <c r="F26" s="98"/>
      <c r="G26" s="241"/>
      <c r="I26" s="241"/>
      <c r="J26" s="241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98"/>
      <c r="F27" s="98"/>
      <c r="G27" s="241"/>
      <c r="I27" s="241"/>
      <c r="J27" s="241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3"/>
      <c r="I28" s="243"/>
      <c r="J28" s="243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3"/>
      <c r="I29" s="243"/>
      <c r="J29" s="243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299" t="s">
        <v>227</v>
      </c>
      <c r="B30" s="299"/>
      <c r="D30" s="246"/>
      <c r="H30" s="244"/>
      <c r="I30" s="244"/>
      <c r="J30" s="244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</row>
    <row r="31" spans="1:45" x14ac:dyDescent="0.3">
      <c r="A31" s="5"/>
      <c r="B31" s="5"/>
      <c r="H31" s="243"/>
      <c r="I31" s="243"/>
      <c r="J31" s="243"/>
      <c r="K31" s="246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Cèdre de l'Atlas</v>
      </c>
      <c r="D32" s="255" t="s">
        <v>307</v>
      </c>
      <c r="K32" s="246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46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88" t="s">
        <v>185</v>
      </c>
      <c r="C34" s="289" t="s">
        <v>186</v>
      </c>
      <c r="D34" s="289"/>
      <c r="E34" s="290" t="s">
        <v>187</v>
      </c>
      <c r="F34" s="291"/>
      <c r="G34" s="291"/>
      <c r="H34" s="292"/>
      <c r="I34" s="100"/>
      <c r="J34" s="247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48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30</v>
      </c>
      <c r="B36" s="61">
        <f>134.26/1.3</f>
        <v>103.27692307692307</v>
      </c>
      <c r="C36" s="61"/>
      <c r="D36" s="61"/>
      <c r="E36" s="54"/>
      <c r="F36" s="54"/>
      <c r="G36" s="54"/>
      <c r="H36" s="54"/>
      <c r="I36" s="52">
        <f>IFERROR(B36/A36,"")</f>
        <v>3.4425641025641025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35</v>
      </c>
      <c r="B37" s="61">
        <f>192.26/1.3</f>
        <v>147.89230769230767</v>
      </c>
      <c r="C37" s="61"/>
      <c r="D37" s="61"/>
      <c r="E37" s="54"/>
      <c r="F37" s="54"/>
      <c r="G37" s="54"/>
      <c r="H37" s="54"/>
      <c r="I37" s="56">
        <f t="shared" ref="I37:I55" si="1">IF(A37&lt;&gt;0,(B37-(B36-D36))/(A37-A36),"")</f>
        <v>8.9230769230769198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40</v>
      </c>
      <c r="B38" s="61">
        <f>257.14/1.3</f>
        <v>197.79999999999998</v>
      </c>
      <c r="C38" s="61"/>
      <c r="D38" s="61"/>
      <c r="E38" s="54"/>
      <c r="F38" s="54"/>
      <c r="G38" s="54"/>
      <c r="H38" s="54"/>
      <c r="I38" s="56">
        <f t="shared" si="1"/>
        <v>9.981538461538463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45</v>
      </c>
      <c r="B39" s="61">
        <f>327.79/1.3</f>
        <v>252.14615384615385</v>
      </c>
      <c r="C39" s="61"/>
      <c r="D39" s="61"/>
      <c r="E39" s="54"/>
      <c r="F39" s="54"/>
      <c r="G39" s="54"/>
      <c r="H39" s="54"/>
      <c r="I39" s="52">
        <f t="shared" si="1"/>
        <v>10.869230769230773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50</v>
      </c>
      <c r="B40" s="61">
        <f>402.88/1.3</f>
        <v>309.90769230769229</v>
      </c>
      <c r="C40" s="61"/>
      <c r="D40" s="61"/>
      <c r="E40" s="54"/>
      <c r="F40" s="54"/>
      <c r="G40" s="54"/>
      <c r="H40" s="54"/>
      <c r="I40" s="52">
        <f t="shared" si="1"/>
        <v>11.552307692307688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51</v>
      </c>
      <c r="B41" s="61">
        <f>418.39/1.3</f>
        <v>321.8384615384615</v>
      </c>
      <c r="C41" s="61">
        <v>1</v>
      </c>
      <c r="D41" s="61">
        <f>130.4/1.3</f>
        <v>100.30769230769231</v>
      </c>
      <c r="E41" s="54"/>
      <c r="F41" s="54"/>
      <c r="G41" s="54"/>
      <c r="H41" s="54"/>
      <c r="I41" s="56">
        <f t="shared" si="1"/>
        <v>11.930769230769215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55</v>
      </c>
      <c r="B42" s="61">
        <f>342.52/1.3</f>
        <v>263.47692307692307</v>
      </c>
      <c r="C42" s="61"/>
      <c r="D42" s="61"/>
      <c r="E42" s="54"/>
      <c r="F42" s="54"/>
      <c r="G42" s="54"/>
      <c r="H42" s="54"/>
      <c r="I42" s="56">
        <f t="shared" si="1"/>
        <v>10.486538461538473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79">
        <v>60</v>
      </c>
      <c r="B43" s="61">
        <f>412.62/1.3</f>
        <v>317.39999999999998</v>
      </c>
      <c r="C43" s="61"/>
      <c r="D43" s="61"/>
      <c r="E43" s="54"/>
      <c r="F43" s="54"/>
      <c r="G43" s="54"/>
      <c r="H43" s="54"/>
      <c r="I43" s="52">
        <f t="shared" si="1"/>
        <v>10.784615384615382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79">
        <v>63</v>
      </c>
      <c r="B44" s="61">
        <f>455.9/1.3</f>
        <v>350.69230769230768</v>
      </c>
      <c r="C44" s="61">
        <v>2</v>
      </c>
      <c r="D44" s="61">
        <f>140.52/1.3</f>
        <v>108.0923076923077</v>
      </c>
      <c r="E44" s="54"/>
      <c r="F44" s="54"/>
      <c r="G44" s="54"/>
      <c r="H44" s="54"/>
      <c r="I44" s="52">
        <f t="shared" si="1"/>
        <v>11.097435897435901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79">
        <v>65</v>
      </c>
      <c r="B45" s="61">
        <f>340.48/1.3</f>
        <v>261.90769230769229</v>
      </c>
      <c r="C45" s="61"/>
      <c r="D45" s="61"/>
      <c r="E45" s="54"/>
      <c r="F45" s="54"/>
      <c r="G45" s="54"/>
      <c r="H45" s="54"/>
      <c r="I45" s="52">
        <f t="shared" si="1"/>
        <v>9.6538461538461604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79">
        <v>70</v>
      </c>
      <c r="B46" s="61">
        <f>403.79/1.3</f>
        <v>310.60769230769233</v>
      </c>
      <c r="C46" s="61"/>
      <c r="D46" s="61"/>
      <c r="E46" s="54"/>
      <c r="F46" s="54"/>
      <c r="G46" s="54"/>
      <c r="H46" s="54"/>
      <c r="I46" s="52">
        <f t="shared" si="1"/>
        <v>9.7400000000000091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79">
        <v>75</v>
      </c>
      <c r="B47" s="61">
        <f>468.62/1.3</f>
        <v>360.47692307692307</v>
      </c>
      <c r="C47" s="61">
        <v>3</v>
      </c>
      <c r="D47" s="61">
        <f>110.97/1.3</f>
        <v>85.361538461538458</v>
      </c>
      <c r="E47" s="54"/>
      <c r="F47" s="54"/>
      <c r="G47" s="54"/>
      <c r="H47" s="54"/>
      <c r="I47" s="52">
        <f t="shared" si="1"/>
        <v>9.9738461538461483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79">
        <v>80</v>
      </c>
      <c r="B48" s="61">
        <f>415.62/1.3</f>
        <v>319.7076923076923</v>
      </c>
      <c r="C48" s="61"/>
      <c r="D48" s="61"/>
      <c r="E48" s="54"/>
      <c r="F48" s="54"/>
      <c r="G48" s="54"/>
      <c r="H48" s="54"/>
      <c r="I48" s="52">
        <f t="shared" si="1"/>
        <v>8.918461538461532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79">
        <v>85</v>
      </c>
      <c r="B49" s="61">
        <f>474.42/1.3</f>
        <v>364.93846153846152</v>
      </c>
      <c r="C49" s="61"/>
      <c r="D49" s="61"/>
      <c r="E49" s="54"/>
      <c r="F49" s="54"/>
      <c r="G49" s="54"/>
      <c r="H49" s="54"/>
      <c r="I49" s="52">
        <f t="shared" si="1"/>
        <v>9.046153846153846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79">
        <v>87</v>
      </c>
      <c r="B50" s="53">
        <f>498.08/1.3</f>
        <v>383.13846153846151</v>
      </c>
      <c r="C50" s="53">
        <v>4</v>
      </c>
      <c r="D50" s="53">
        <f>107.82/1.3</f>
        <v>82.938461538461524</v>
      </c>
      <c r="E50" s="54"/>
      <c r="F50" s="54"/>
      <c r="G50" s="54"/>
      <c r="H50" s="54"/>
      <c r="I50" s="52">
        <f t="shared" si="1"/>
        <v>9.0999999999999943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79">
        <v>90</v>
      </c>
      <c r="B51" s="53">
        <f>422/1.3</f>
        <v>324.61538461538458</v>
      </c>
      <c r="C51" s="53"/>
      <c r="D51" s="53"/>
      <c r="E51" s="54"/>
      <c r="F51" s="54"/>
      <c r="G51" s="54"/>
      <c r="H51" s="54"/>
      <c r="I51" s="52">
        <f t="shared" si="1"/>
        <v>8.1384615384615326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79">
        <v>95</v>
      </c>
      <c r="B52" s="53">
        <f>474.22/1.3</f>
        <v>364.78461538461539</v>
      </c>
      <c r="C52" s="53"/>
      <c r="D52" s="53"/>
      <c r="E52" s="54"/>
      <c r="F52" s="54"/>
      <c r="G52" s="54"/>
      <c r="H52" s="54"/>
      <c r="I52" s="52">
        <f t="shared" si="1"/>
        <v>8.0338461538461612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79">
        <v>99</v>
      </c>
      <c r="B53" s="53">
        <f>517.23/1.3</f>
        <v>397.8692307692308</v>
      </c>
      <c r="C53" s="53">
        <v>5</v>
      </c>
      <c r="D53" s="53">
        <f>257.82/1.3</f>
        <v>198.32307692307691</v>
      </c>
      <c r="E53" s="54"/>
      <c r="F53" s="54"/>
      <c r="G53" s="54"/>
      <c r="H53" s="54"/>
      <c r="I53" s="52">
        <f t="shared" si="1"/>
        <v>8.271153846153851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79">
        <v>100</v>
      </c>
      <c r="B54" s="53">
        <f>269.47/1.3</f>
        <v>207.28461538461539</v>
      </c>
      <c r="C54" s="53"/>
      <c r="D54" s="53"/>
      <c r="E54" s="54"/>
      <c r="F54" s="54"/>
      <c r="G54" s="54"/>
      <c r="H54" s="54"/>
      <c r="I54" s="52">
        <f t="shared" si="1"/>
        <v>7.7384615384615074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79">
        <v>109</v>
      </c>
      <c r="B55" s="53">
        <f>332.92/1.3</f>
        <v>256.09230769230771</v>
      </c>
      <c r="C55" s="53">
        <v>6</v>
      </c>
      <c r="D55" s="53">
        <f>332.92/1.3</f>
        <v>256.09230769230771</v>
      </c>
      <c r="E55" s="54"/>
      <c r="F55" s="54"/>
      <c r="G55" s="54"/>
      <c r="H55" s="54"/>
      <c r="I55" s="52">
        <f t="shared" si="1"/>
        <v>5.4230769230769242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sessile</v>
      </c>
      <c r="D58" s="255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1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88" t="s">
        <v>185</v>
      </c>
      <c r="C60" s="289" t="s">
        <v>186</v>
      </c>
      <c r="D60" s="289"/>
      <c r="E60" s="290" t="s">
        <v>187</v>
      </c>
      <c r="F60" s="291"/>
      <c r="G60" s="291"/>
      <c r="H60" s="292"/>
      <c r="I60" s="100"/>
      <c r="J60" s="247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48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1">
        <v>42</v>
      </c>
      <c r="C62" s="61"/>
      <c r="D62" s="61"/>
      <c r="E62" s="54"/>
      <c r="F62" s="54"/>
      <c r="G62" s="54"/>
      <c r="H62" s="54"/>
      <c r="I62" s="56">
        <f>IFERROR(B62/A62,"")</f>
        <v>2.1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61">
        <f>62+8</f>
        <v>70</v>
      </c>
      <c r="C63" s="61"/>
      <c r="D63" s="61"/>
      <c r="E63" s="54"/>
      <c r="F63" s="54"/>
      <c r="G63" s="54"/>
      <c r="H63" s="54"/>
      <c r="I63" s="52">
        <f>IF(A63&lt;&gt;0,(B63-(B62-D62))/(A63-A62),"")</f>
        <v>5.6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61">
        <f>76+8+21</f>
        <v>105</v>
      </c>
      <c r="C64" s="61">
        <v>1</v>
      </c>
      <c r="D64" s="61">
        <f>8+21</f>
        <v>29</v>
      </c>
      <c r="E64" s="54"/>
      <c r="F64" s="54"/>
      <c r="G64" s="54"/>
      <c r="H64" s="54">
        <v>1</v>
      </c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61">
        <f>95+21</f>
        <v>116</v>
      </c>
      <c r="C65" s="61"/>
      <c r="D65" s="61"/>
      <c r="E65" s="54"/>
      <c r="F65" s="54"/>
      <c r="G65" s="54"/>
      <c r="H65" s="54"/>
      <c r="I65" s="52">
        <f>IF(A65&lt;&gt;0,(B65-(B64-D64))/(A65-A64),"")</f>
        <v>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61">
        <f>116+21+21</f>
        <v>158</v>
      </c>
      <c r="C66" s="61">
        <v>2</v>
      </c>
      <c r="D66" s="61">
        <f>21+21</f>
        <v>42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61">
        <f>137+21</f>
        <v>158</v>
      </c>
      <c r="C67" s="61"/>
      <c r="D67" s="61"/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61">
        <f>157+21+21</f>
        <v>199</v>
      </c>
      <c r="C68" s="61">
        <v>3</v>
      </c>
      <c r="D68" s="61">
        <f>21+21</f>
        <v>42</v>
      </c>
      <c r="E68" s="54"/>
      <c r="F68" s="54"/>
      <c r="G68" s="54"/>
      <c r="H68" s="54"/>
      <c r="I68" s="52">
        <f t="shared" si="2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55</v>
      </c>
      <c r="B69" s="61">
        <f>176+21</f>
        <v>197</v>
      </c>
      <c r="C69" s="61"/>
      <c r="D69" s="61"/>
      <c r="E69" s="54"/>
      <c r="F69" s="54"/>
      <c r="G69" s="54"/>
      <c r="H69" s="54"/>
      <c r="I69" s="52">
        <f t="shared" si="2"/>
        <v>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60</v>
      </c>
      <c r="B70" s="53">
        <v>235</v>
      </c>
      <c r="C70" s="53">
        <v>4</v>
      </c>
      <c r="D70" s="53">
        <v>42</v>
      </c>
      <c r="E70" s="54"/>
      <c r="F70" s="54"/>
      <c r="G70" s="54"/>
      <c r="H70" s="54"/>
      <c r="I70" s="52">
        <f t="shared" si="2"/>
        <v>7.6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65</v>
      </c>
      <c r="B71" s="53">
        <v>229</v>
      </c>
      <c r="C71" s="53"/>
      <c r="D71" s="53"/>
      <c r="E71" s="54"/>
      <c r="F71" s="54"/>
      <c r="G71" s="54"/>
      <c r="H71" s="54"/>
      <c r="I71" s="52">
        <f t="shared" si="2"/>
        <v>7.2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70</v>
      </c>
      <c r="B72" s="53">
        <v>263</v>
      </c>
      <c r="C72" s="53">
        <v>5</v>
      </c>
      <c r="D72" s="53">
        <v>42</v>
      </c>
      <c r="E72" s="54"/>
      <c r="F72" s="54"/>
      <c r="G72" s="54"/>
      <c r="H72" s="54"/>
      <c r="I72" s="52">
        <f t="shared" si="2"/>
        <v>6.8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75</v>
      </c>
      <c r="B73" s="53">
        <v>252</v>
      </c>
      <c r="C73" s="53"/>
      <c r="D73" s="53"/>
      <c r="E73" s="54"/>
      <c r="F73" s="54"/>
      <c r="G73" s="54"/>
      <c r="H73" s="54"/>
      <c r="I73" s="52">
        <f t="shared" si="2"/>
        <v>6.2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80</v>
      </c>
      <c r="B74" s="53">
        <v>282</v>
      </c>
      <c r="C74" s="53">
        <v>6</v>
      </c>
      <c r="D74" s="53">
        <v>42</v>
      </c>
      <c r="E74" s="54"/>
      <c r="F74" s="54"/>
      <c r="G74" s="54"/>
      <c r="H74" s="54"/>
      <c r="I74" s="52">
        <f t="shared" si="2"/>
        <v>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90</v>
      </c>
      <c r="B75" s="53">
        <v>296</v>
      </c>
      <c r="C75" s="53">
        <v>7</v>
      </c>
      <c r="D75" s="53">
        <v>42</v>
      </c>
      <c r="E75" s="54"/>
      <c r="F75" s="54"/>
      <c r="G75" s="54"/>
      <c r="H75" s="54"/>
      <c r="I75" s="52">
        <f t="shared" si="2"/>
        <v>5.6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100</v>
      </c>
      <c r="B76" s="53">
        <v>303</v>
      </c>
      <c r="C76" s="53">
        <v>8</v>
      </c>
      <c r="D76" s="53">
        <v>42</v>
      </c>
      <c r="E76" s="54"/>
      <c r="F76" s="54"/>
      <c r="G76" s="54"/>
      <c r="H76" s="54"/>
      <c r="I76" s="52">
        <f t="shared" si="2"/>
        <v>4.9000000000000004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110</v>
      </c>
      <c r="B77" s="53">
        <v>305</v>
      </c>
      <c r="C77" s="53">
        <v>9</v>
      </c>
      <c r="D77" s="53">
        <v>39</v>
      </c>
      <c r="E77" s="54"/>
      <c r="F77" s="54"/>
      <c r="G77" s="54"/>
      <c r="H77" s="54"/>
      <c r="I77" s="52">
        <f t="shared" si="2"/>
        <v>4.4000000000000004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120</v>
      </c>
      <c r="B78" s="53">
        <v>303</v>
      </c>
      <c r="C78" s="53">
        <v>10</v>
      </c>
      <c r="D78" s="53">
        <v>35</v>
      </c>
      <c r="E78" s="54"/>
      <c r="F78" s="54"/>
      <c r="G78" s="54"/>
      <c r="H78" s="54"/>
      <c r="I78" s="52">
        <f t="shared" si="2"/>
        <v>3.7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>
        <v>130</v>
      </c>
      <c r="B79" s="53">
        <v>300</v>
      </c>
      <c r="C79" s="53">
        <v>11</v>
      </c>
      <c r="D79" s="53">
        <v>31</v>
      </c>
      <c r="E79" s="54"/>
      <c r="F79" s="54"/>
      <c r="G79" s="54"/>
      <c r="H79" s="54"/>
      <c r="I79" s="52">
        <f t="shared" si="2"/>
        <v>3.2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>
        <v>140</v>
      </c>
      <c r="B80" s="53">
        <v>296</v>
      </c>
      <c r="C80" s="53">
        <v>12</v>
      </c>
      <c r="D80" s="53">
        <v>27</v>
      </c>
      <c r="E80" s="54"/>
      <c r="F80" s="54"/>
      <c r="G80" s="54"/>
      <c r="H80" s="54"/>
      <c r="I80" s="52">
        <f t="shared" si="2"/>
        <v>2.7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>
        <v>150</v>
      </c>
      <c r="B81" s="53">
        <v>293</v>
      </c>
      <c r="C81" s="53">
        <v>13</v>
      </c>
      <c r="D81" s="53">
        <v>293</v>
      </c>
      <c r="E81" s="54"/>
      <c r="F81" s="54"/>
      <c r="G81" s="54"/>
      <c r="H81" s="54"/>
      <c r="I81" s="52">
        <f t="shared" si="2"/>
        <v>2.4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Pin maritime</v>
      </c>
      <c r="D84" s="255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1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88" t="s">
        <v>185</v>
      </c>
      <c r="C86" s="289" t="s">
        <v>186</v>
      </c>
      <c r="D86" s="289"/>
      <c r="E86" s="290" t="s">
        <v>187</v>
      </c>
      <c r="F86" s="291"/>
      <c r="G86" s="291"/>
      <c r="H86" s="292"/>
      <c r="I86" s="100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12</v>
      </c>
      <c r="B88" s="61">
        <v>38.8705</v>
      </c>
      <c r="C88" s="61"/>
      <c r="D88" s="61"/>
      <c r="E88" s="54"/>
      <c r="F88" s="54"/>
      <c r="G88" s="54"/>
      <c r="H88" s="54"/>
      <c r="I88" s="56">
        <f>IFERROR(B88/A88,"")</f>
        <v>3.2392083333333335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13</v>
      </c>
      <c r="B89" s="61">
        <v>53.7455</v>
      </c>
      <c r="C89" s="61"/>
      <c r="D89" s="61"/>
      <c r="E89" s="54"/>
      <c r="F89" s="54"/>
      <c r="G89" s="54"/>
      <c r="H89" s="54"/>
      <c r="I89" s="56">
        <f t="shared" ref="I89:I107" si="3">IF(A89&lt;&gt;0,(B89-(B88-D88))/(A89-A88),"")</f>
        <v>14.875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14</v>
      </c>
      <c r="B90" s="61">
        <v>70.405500000000004</v>
      </c>
      <c r="C90" s="61"/>
      <c r="D90" s="61"/>
      <c r="E90" s="54"/>
      <c r="F90" s="54"/>
      <c r="G90" s="54"/>
      <c r="H90" s="54"/>
      <c r="I90" s="56">
        <f t="shared" si="3"/>
        <v>16.660000000000004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15</v>
      </c>
      <c r="B91" s="61">
        <v>88.859000000000009</v>
      </c>
      <c r="C91" s="61">
        <v>1</v>
      </c>
      <c r="D91" s="61">
        <v>23.3155</v>
      </c>
      <c r="E91" s="54"/>
      <c r="F91" s="54">
        <v>0.5</v>
      </c>
      <c r="G91" s="54">
        <v>0.5</v>
      </c>
      <c r="H91" s="54"/>
      <c r="I91" s="56">
        <f t="shared" si="3"/>
        <v>18.453500000000005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16</v>
      </c>
      <c r="B92" s="61">
        <v>78.208500000000001</v>
      </c>
      <c r="C92" s="61"/>
      <c r="D92" s="61"/>
      <c r="E92" s="54"/>
      <c r="F92" s="54"/>
      <c r="G92" s="54"/>
      <c r="H92" s="54"/>
      <c r="I92" s="56">
        <f t="shared" si="3"/>
        <v>12.664999999999992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17</v>
      </c>
      <c r="B93" s="61">
        <v>88.340500000000006</v>
      </c>
      <c r="C93" s="61"/>
      <c r="D93" s="61"/>
      <c r="E93" s="54"/>
      <c r="F93" s="54"/>
      <c r="G93" s="54"/>
      <c r="H93" s="54"/>
      <c r="I93" s="56">
        <f t="shared" si="3"/>
        <v>10.132000000000005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18</v>
      </c>
      <c r="B94" s="61">
        <v>100.55499999999999</v>
      </c>
      <c r="C94" s="61"/>
      <c r="D94" s="61"/>
      <c r="E94" s="54"/>
      <c r="F94" s="54"/>
      <c r="G94" s="54"/>
      <c r="H94" s="54"/>
      <c r="I94" s="56">
        <f t="shared" si="3"/>
        <v>12.214499999999987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279">
        <v>19</v>
      </c>
      <c r="B95" s="61">
        <v>113.679</v>
      </c>
      <c r="C95" s="61"/>
      <c r="D95" s="61"/>
      <c r="E95" s="54"/>
      <c r="F95" s="54"/>
      <c r="G95" s="54"/>
      <c r="H95" s="54"/>
      <c r="I95" s="56">
        <f t="shared" si="3"/>
        <v>13.124000000000009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279">
        <v>20</v>
      </c>
      <c r="B96" s="61">
        <v>130.203</v>
      </c>
      <c r="C96" s="61">
        <v>2</v>
      </c>
      <c r="D96" s="61">
        <v>34.110500000000002</v>
      </c>
      <c r="E96" s="54">
        <v>0.25</v>
      </c>
      <c r="F96" s="54">
        <v>0.375</v>
      </c>
      <c r="G96" s="54">
        <v>0.375</v>
      </c>
      <c r="H96" s="54"/>
      <c r="I96" s="56">
        <f t="shared" si="3"/>
        <v>16.524000000000001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279">
        <v>21</v>
      </c>
      <c r="B97" s="61">
        <v>110.82299999999999</v>
      </c>
      <c r="C97" s="61"/>
      <c r="D97" s="61"/>
      <c r="E97" s="54"/>
      <c r="F97" s="54"/>
      <c r="G97" s="54"/>
      <c r="H97" s="54"/>
      <c r="I97" s="56">
        <f t="shared" si="3"/>
        <v>14.730499999999992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279">
        <v>22</v>
      </c>
      <c r="B98" s="61">
        <v>126.871</v>
      </c>
      <c r="C98" s="61"/>
      <c r="D98" s="61"/>
      <c r="E98" s="54"/>
      <c r="F98" s="54"/>
      <c r="G98" s="54"/>
      <c r="H98" s="54"/>
      <c r="I98" s="56">
        <f t="shared" si="3"/>
        <v>16.048000000000002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279">
        <v>23</v>
      </c>
      <c r="B99" s="61">
        <v>143.72650000000002</v>
      </c>
      <c r="C99" s="61"/>
      <c r="D99" s="61"/>
      <c r="E99" s="54"/>
      <c r="F99" s="54"/>
      <c r="G99" s="54"/>
      <c r="H99" s="54"/>
      <c r="I99" s="56">
        <f t="shared" si="3"/>
        <v>16.855500000000021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279">
        <v>24</v>
      </c>
      <c r="B100" s="61">
        <v>161.67850000000001</v>
      </c>
      <c r="C100" s="61"/>
      <c r="D100" s="61"/>
      <c r="E100" s="54"/>
      <c r="F100" s="54"/>
      <c r="G100" s="54"/>
      <c r="H100" s="54"/>
      <c r="I100" s="56">
        <f t="shared" si="3"/>
        <v>17.951999999999998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279">
        <v>25</v>
      </c>
      <c r="B101" s="61">
        <v>180.251</v>
      </c>
      <c r="C101" s="61"/>
      <c r="D101" s="61"/>
      <c r="E101" s="54"/>
      <c r="F101" s="54"/>
      <c r="G101" s="54"/>
      <c r="H101" s="54"/>
      <c r="I101" s="56">
        <f t="shared" si="3"/>
        <v>18.572499999999991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279">
        <v>27</v>
      </c>
      <c r="B102" s="61">
        <v>218.36499999999998</v>
      </c>
      <c r="C102" s="61">
        <v>3</v>
      </c>
      <c r="D102" s="61">
        <v>54.518999999999998</v>
      </c>
      <c r="E102" s="54">
        <v>0.6</v>
      </c>
      <c r="F102" s="54">
        <v>0.2</v>
      </c>
      <c r="G102" s="54">
        <v>0.2</v>
      </c>
      <c r="H102" s="54"/>
      <c r="I102" s="56">
        <f t="shared" si="3"/>
        <v>19.056999999999988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279">
        <v>30</v>
      </c>
      <c r="B103" s="53">
        <v>211.072</v>
      </c>
      <c r="C103" s="53"/>
      <c r="D103" s="53"/>
      <c r="E103" s="54"/>
      <c r="F103" s="54"/>
      <c r="G103" s="54"/>
      <c r="H103" s="54"/>
      <c r="I103" s="56">
        <f t="shared" si="3"/>
        <v>15.74200000000001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279">
        <v>32</v>
      </c>
      <c r="B104" s="53">
        <v>243.36350000000002</v>
      </c>
      <c r="C104" s="53">
        <v>4</v>
      </c>
      <c r="D104" s="53">
        <v>62.73</v>
      </c>
      <c r="E104" s="54"/>
      <c r="F104" s="54"/>
      <c r="G104" s="54"/>
      <c r="H104" s="54"/>
      <c r="I104" s="56">
        <f t="shared" si="3"/>
        <v>16.145750000000007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279">
        <v>37</v>
      </c>
      <c r="B105" s="53">
        <v>245.327</v>
      </c>
      <c r="C105" s="53"/>
      <c r="D105" s="53"/>
      <c r="E105" s="54"/>
      <c r="F105" s="54"/>
      <c r="G105" s="54"/>
      <c r="H105" s="54"/>
      <c r="I105" s="56">
        <f t="shared" si="3"/>
        <v>12.938699999999994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279">
        <v>42</v>
      </c>
      <c r="B106" s="53">
        <v>311.32100000000003</v>
      </c>
      <c r="C106" s="53"/>
      <c r="D106" s="53"/>
      <c r="E106" s="54"/>
      <c r="F106" s="54"/>
      <c r="G106" s="54"/>
      <c r="H106" s="54"/>
      <c r="I106" s="56">
        <f t="shared" si="3"/>
        <v>13.198800000000006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279">
        <v>44</v>
      </c>
      <c r="B107" s="53">
        <v>337.78999999999996</v>
      </c>
      <c r="C107" s="53">
        <v>5</v>
      </c>
      <c r="D107" s="53">
        <v>337.78999999999996</v>
      </c>
      <c r="E107" s="54"/>
      <c r="F107" s="54"/>
      <c r="G107" s="54"/>
      <c r="H107" s="54"/>
      <c r="I107" s="56">
        <f t="shared" si="3"/>
        <v>13.234499999999969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Alisier torminal</v>
      </c>
      <c r="D110" s="255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1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88" t="s">
        <v>185</v>
      </c>
      <c r="C112" s="289" t="s">
        <v>186</v>
      </c>
      <c r="D112" s="289"/>
      <c r="E112" s="290" t="s">
        <v>187</v>
      </c>
      <c r="F112" s="291"/>
      <c r="G112" s="291"/>
      <c r="H112" s="292"/>
      <c r="I112" s="100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20</v>
      </c>
      <c r="B114" s="61">
        <v>42</v>
      </c>
      <c r="C114" s="61"/>
      <c r="D114" s="61"/>
      <c r="E114" s="54"/>
      <c r="F114" s="54"/>
      <c r="G114" s="54"/>
      <c r="H114" s="54"/>
      <c r="I114" s="56">
        <f>IFERROR(B114/A114,"")</f>
        <v>2.1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25</v>
      </c>
      <c r="B115" s="61">
        <f>62+8</f>
        <v>70</v>
      </c>
      <c r="C115" s="61"/>
      <c r="D115" s="61"/>
      <c r="E115" s="54"/>
      <c r="F115" s="54"/>
      <c r="G115" s="54"/>
      <c r="H115" s="54"/>
      <c r="I115" s="56">
        <f t="shared" ref="I115:I133" si="4">IF(A115&lt;&gt;0,(B115-(B114-D114))/(A115-A114),"")</f>
        <v>5.6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30</v>
      </c>
      <c r="B116" s="61">
        <f>76+8+21</f>
        <v>105</v>
      </c>
      <c r="C116" s="61">
        <v>1</v>
      </c>
      <c r="D116" s="61">
        <f>8+21</f>
        <v>29</v>
      </c>
      <c r="E116" s="54"/>
      <c r="F116" s="54"/>
      <c r="G116" s="54"/>
      <c r="H116" s="54">
        <v>1</v>
      </c>
      <c r="I116" s="56">
        <f t="shared" si="4"/>
        <v>7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35</v>
      </c>
      <c r="B117" s="61">
        <f>95+21</f>
        <v>116</v>
      </c>
      <c r="C117" s="61"/>
      <c r="D117" s="61"/>
      <c r="E117" s="54"/>
      <c r="F117" s="54"/>
      <c r="G117" s="54"/>
      <c r="H117" s="54"/>
      <c r="I117" s="56">
        <f t="shared" si="4"/>
        <v>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40</v>
      </c>
      <c r="B118" s="61">
        <f>116+21+21</f>
        <v>158</v>
      </c>
      <c r="C118" s="61">
        <v>2</v>
      </c>
      <c r="D118" s="61">
        <f>21+21</f>
        <v>42</v>
      </c>
      <c r="E118" s="54"/>
      <c r="F118" s="54"/>
      <c r="G118" s="54"/>
      <c r="H118" s="54"/>
      <c r="I118" s="56">
        <f t="shared" si="4"/>
        <v>8.4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45</v>
      </c>
      <c r="B119" s="61">
        <f>137+21</f>
        <v>158</v>
      </c>
      <c r="C119" s="61"/>
      <c r="D119" s="61"/>
      <c r="E119" s="54"/>
      <c r="F119" s="54"/>
      <c r="G119" s="54"/>
      <c r="H119" s="54"/>
      <c r="I119" s="56">
        <f t="shared" si="4"/>
        <v>8.4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53">
        <v>50</v>
      </c>
      <c r="B120" s="61">
        <f>157+21+21</f>
        <v>199</v>
      </c>
      <c r="C120" s="61">
        <v>3</v>
      </c>
      <c r="D120" s="61">
        <f>21+21</f>
        <v>42</v>
      </c>
      <c r="E120" s="54"/>
      <c r="F120" s="54"/>
      <c r="G120" s="54"/>
      <c r="H120" s="54"/>
      <c r="I120" s="56">
        <f t="shared" si="4"/>
        <v>8.1999999999999993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53">
        <v>55</v>
      </c>
      <c r="B121" s="61">
        <f>176+21</f>
        <v>197</v>
      </c>
      <c r="C121" s="61"/>
      <c r="D121" s="61"/>
      <c r="E121" s="54"/>
      <c r="F121" s="54"/>
      <c r="G121" s="54"/>
      <c r="H121" s="54"/>
      <c r="I121" s="56">
        <f t="shared" si="4"/>
        <v>8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53">
        <v>60</v>
      </c>
      <c r="B122" s="53">
        <v>235</v>
      </c>
      <c r="C122" s="53">
        <v>4</v>
      </c>
      <c r="D122" s="53">
        <v>42</v>
      </c>
      <c r="E122" s="54"/>
      <c r="F122" s="54"/>
      <c r="G122" s="54"/>
      <c r="H122" s="54"/>
      <c r="I122" s="56">
        <f t="shared" si="4"/>
        <v>7.6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53">
        <v>65</v>
      </c>
      <c r="B123" s="53">
        <v>229</v>
      </c>
      <c r="C123" s="53"/>
      <c r="D123" s="53"/>
      <c r="E123" s="54"/>
      <c r="F123" s="54"/>
      <c r="G123" s="54"/>
      <c r="H123" s="54"/>
      <c r="I123" s="56">
        <f t="shared" si="4"/>
        <v>7.2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53">
        <v>70</v>
      </c>
      <c r="B124" s="53">
        <v>263</v>
      </c>
      <c r="C124" s="53">
        <v>5</v>
      </c>
      <c r="D124" s="53">
        <v>42</v>
      </c>
      <c r="E124" s="54"/>
      <c r="F124" s="54"/>
      <c r="G124" s="54"/>
      <c r="H124" s="54"/>
      <c r="I124" s="56">
        <f t="shared" si="4"/>
        <v>6.8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53">
        <v>75</v>
      </c>
      <c r="B125" s="53">
        <v>252</v>
      </c>
      <c r="C125" s="53"/>
      <c r="D125" s="53"/>
      <c r="E125" s="54"/>
      <c r="F125" s="54"/>
      <c r="G125" s="54"/>
      <c r="H125" s="54"/>
      <c r="I125" s="56">
        <f t="shared" si="4"/>
        <v>6.2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53">
        <v>80</v>
      </c>
      <c r="B126" s="53">
        <v>282</v>
      </c>
      <c r="C126" s="53">
        <v>6</v>
      </c>
      <c r="D126" s="53">
        <v>42</v>
      </c>
      <c r="E126" s="54"/>
      <c r="F126" s="54"/>
      <c r="G126" s="54"/>
      <c r="H126" s="54"/>
      <c r="I126" s="56">
        <f t="shared" si="4"/>
        <v>6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53">
        <v>90</v>
      </c>
      <c r="B127" s="53">
        <v>296</v>
      </c>
      <c r="C127" s="53">
        <v>7</v>
      </c>
      <c r="D127" s="53">
        <v>42</v>
      </c>
      <c r="E127" s="54"/>
      <c r="F127" s="54"/>
      <c r="G127" s="54"/>
      <c r="H127" s="54"/>
      <c r="I127" s="56">
        <f t="shared" si="4"/>
        <v>5.6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>
        <v>100</v>
      </c>
      <c r="B128" s="53">
        <v>303</v>
      </c>
      <c r="C128" s="53">
        <v>8</v>
      </c>
      <c r="D128" s="53">
        <v>42</v>
      </c>
      <c r="E128" s="54"/>
      <c r="F128" s="54"/>
      <c r="G128" s="54"/>
      <c r="H128" s="54"/>
      <c r="I128" s="56">
        <f t="shared" si="4"/>
        <v>4.9000000000000004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>
        <v>110</v>
      </c>
      <c r="B129" s="53">
        <v>305</v>
      </c>
      <c r="C129" s="53">
        <v>9</v>
      </c>
      <c r="D129" s="53">
        <v>39</v>
      </c>
      <c r="E129" s="54"/>
      <c r="F129" s="54"/>
      <c r="G129" s="54"/>
      <c r="H129" s="54"/>
      <c r="I129" s="56">
        <f t="shared" si="4"/>
        <v>4.4000000000000004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>
        <v>120</v>
      </c>
      <c r="B130" s="53">
        <v>303</v>
      </c>
      <c r="C130" s="53">
        <v>10</v>
      </c>
      <c r="D130" s="53">
        <v>35</v>
      </c>
      <c r="E130" s="54"/>
      <c r="F130" s="54"/>
      <c r="G130" s="54"/>
      <c r="H130" s="54"/>
      <c r="I130" s="56">
        <f t="shared" si="4"/>
        <v>3.7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>
        <v>130</v>
      </c>
      <c r="B131" s="53">
        <v>300</v>
      </c>
      <c r="C131" s="53">
        <v>11</v>
      </c>
      <c r="D131" s="53">
        <v>31</v>
      </c>
      <c r="E131" s="54"/>
      <c r="F131" s="54"/>
      <c r="G131" s="54"/>
      <c r="H131" s="54"/>
      <c r="I131" s="56">
        <f t="shared" si="4"/>
        <v>3.2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>
        <v>140</v>
      </c>
      <c r="B132" s="53">
        <v>296</v>
      </c>
      <c r="C132" s="53">
        <v>12</v>
      </c>
      <c r="D132" s="53">
        <v>27</v>
      </c>
      <c r="E132" s="54"/>
      <c r="F132" s="54"/>
      <c r="G132" s="54"/>
      <c r="H132" s="54"/>
      <c r="I132" s="56">
        <f t="shared" si="4"/>
        <v>2.7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>
        <v>150</v>
      </c>
      <c r="B133" s="53">
        <v>293</v>
      </c>
      <c r="C133" s="53">
        <v>13</v>
      </c>
      <c r="D133" s="53">
        <v>293</v>
      </c>
      <c r="E133" s="54"/>
      <c r="F133" s="54"/>
      <c r="G133" s="54"/>
      <c r="H133" s="54"/>
      <c r="I133" s="56">
        <f t="shared" si="4"/>
        <v>2.4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Cormier</v>
      </c>
      <c r="D136" s="255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1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88" t="s">
        <v>185</v>
      </c>
      <c r="C138" s="289" t="s">
        <v>186</v>
      </c>
      <c r="D138" s="289"/>
      <c r="E138" s="290" t="s">
        <v>187</v>
      </c>
      <c r="F138" s="291"/>
      <c r="G138" s="291"/>
      <c r="H138" s="292"/>
      <c r="I138" s="100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20</v>
      </c>
      <c r="B140" s="61">
        <v>42</v>
      </c>
      <c r="C140" s="61"/>
      <c r="D140" s="61"/>
      <c r="E140" s="54"/>
      <c r="F140" s="54"/>
      <c r="G140" s="54"/>
      <c r="H140" s="54"/>
      <c r="I140" s="59">
        <f>IFERROR(B140/A140,"")</f>
        <v>2.1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25</v>
      </c>
      <c r="B141" s="61">
        <f>62+8</f>
        <v>70</v>
      </c>
      <c r="C141" s="61"/>
      <c r="D141" s="61"/>
      <c r="E141" s="54"/>
      <c r="F141" s="54"/>
      <c r="G141" s="54"/>
      <c r="H141" s="54"/>
      <c r="I141" s="59">
        <f t="shared" ref="I141:I159" si="5">IF(A141&lt;&gt;0,(B141-(B140-D140))/(A141-A140),"")</f>
        <v>5.6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30</v>
      </c>
      <c r="B142" s="61">
        <f>76+8+21</f>
        <v>105</v>
      </c>
      <c r="C142" s="61">
        <v>1</v>
      </c>
      <c r="D142" s="61">
        <f>8+21</f>
        <v>29</v>
      </c>
      <c r="E142" s="54"/>
      <c r="F142" s="54"/>
      <c r="G142" s="54"/>
      <c r="H142" s="54">
        <v>1</v>
      </c>
      <c r="I142" s="59">
        <f t="shared" si="5"/>
        <v>7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35</v>
      </c>
      <c r="B143" s="61">
        <f>95+21</f>
        <v>116</v>
      </c>
      <c r="C143" s="61"/>
      <c r="D143" s="61"/>
      <c r="E143" s="54"/>
      <c r="F143" s="54"/>
      <c r="G143" s="54"/>
      <c r="H143" s="54"/>
      <c r="I143" s="59">
        <f t="shared" si="5"/>
        <v>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40</v>
      </c>
      <c r="B144" s="61">
        <f>116+21+21</f>
        <v>158</v>
      </c>
      <c r="C144" s="61">
        <v>2</v>
      </c>
      <c r="D144" s="61">
        <f>21+21</f>
        <v>42</v>
      </c>
      <c r="E144" s="54"/>
      <c r="F144" s="54"/>
      <c r="G144" s="54"/>
      <c r="H144" s="54"/>
      <c r="I144" s="59">
        <f t="shared" si="5"/>
        <v>8.4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45</v>
      </c>
      <c r="B145" s="61">
        <f>137+21</f>
        <v>158</v>
      </c>
      <c r="C145" s="61"/>
      <c r="D145" s="61"/>
      <c r="E145" s="54"/>
      <c r="F145" s="54"/>
      <c r="G145" s="54"/>
      <c r="H145" s="54"/>
      <c r="I145" s="59">
        <f t="shared" si="5"/>
        <v>8.4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50</v>
      </c>
      <c r="B146" s="61">
        <f>157+21+21</f>
        <v>199</v>
      </c>
      <c r="C146" s="61">
        <v>3</v>
      </c>
      <c r="D146" s="61">
        <f>21+21</f>
        <v>42</v>
      </c>
      <c r="E146" s="54"/>
      <c r="F146" s="54"/>
      <c r="G146" s="54"/>
      <c r="H146" s="54"/>
      <c r="I146" s="59">
        <f t="shared" si="5"/>
        <v>8.1999999999999993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>
        <v>55</v>
      </c>
      <c r="B147" s="61">
        <f>176+21</f>
        <v>197</v>
      </c>
      <c r="C147" s="61"/>
      <c r="D147" s="61"/>
      <c r="E147" s="54"/>
      <c r="F147" s="54"/>
      <c r="G147" s="54"/>
      <c r="H147" s="54"/>
      <c r="I147" s="59">
        <f>IF(A147&lt;&gt;0,(B147-(B146-D146))/(A147-A146),"")</f>
        <v>8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>
        <v>60</v>
      </c>
      <c r="B148" s="53">
        <v>235</v>
      </c>
      <c r="C148" s="53">
        <v>4</v>
      </c>
      <c r="D148" s="53">
        <v>42</v>
      </c>
      <c r="E148" s="54"/>
      <c r="F148" s="54"/>
      <c r="G148" s="54"/>
      <c r="H148" s="54"/>
      <c r="I148" s="59">
        <f t="shared" si="5"/>
        <v>7.6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>
        <v>65</v>
      </c>
      <c r="B149" s="53">
        <v>229</v>
      </c>
      <c r="C149" s="53"/>
      <c r="D149" s="53"/>
      <c r="E149" s="54"/>
      <c r="F149" s="54"/>
      <c r="G149" s="54"/>
      <c r="H149" s="54"/>
      <c r="I149" s="59">
        <f t="shared" si="5"/>
        <v>7.2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>
        <v>70</v>
      </c>
      <c r="B150" s="53">
        <v>263</v>
      </c>
      <c r="C150" s="53">
        <v>5</v>
      </c>
      <c r="D150" s="53">
        <v>42</v>
      </c>
      <c r="E150" s="54"/>
      <c r="F150" s="54"/>
      <c r="G150" s="54"/>
      <c r="H150" s="54"/>
      <c r="I150" s="59">
        <f t="shared" si="5"/>
        <v>6.8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>
        <v>75</v>
      </c>
      <c r="B151" s="53">
        <v>252</v>
      </c>
      <c r="C151" s="53"/>
      <c r="D151" s="53"/>
      <c r="E151" s="54"/>
      <c r="F151" s="54"/>
      <c r="G151" s="54"/>
      <c r="H151" s="54"/>
      <c r="I151" s="59">
        <f t="shared" si="5"/>
        <v>6.2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>
        <v>80</v>
      </c>
      <c r="B152" s="53">
        <v>282</v>
      </c>
      <c r="C152" s="53">
        <v>6</v>
      </c>
      <c r="D152" s="53">
        <v>42</v>
      </c>
      <c r="E152" s="54"/>
      <c r="F152" s="54"/>
      <c r="G152" s="54"/>
      <c r="H152" s="54"/>
      <c r="I152" s="59">
        <f t="shared" si="5"/>
        <v>6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>
        <v>90</v>
      </c>
      <c r="B153" s="53">
        <v>296</v>
      </c>
      <c r="C153" s="53">
        <v>7</v>
      </c>
      <c r="D153" s="53">
        <v>42</v>
      </c>
      <c r="E153" s="54"/>
      <c r="F153" s="54"/>
      <c r="G153" s="54"/>
      <c r="H153" s="54"/>
      <c r="I153" s="59">
        <f t="shared" si="5"/>
        <v>5.6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3">
        <v>100</v>
      </c>
      <c r="B154" s="53">
        <v>303</v>
      </c>
      <c r="C154" s="53">
        <v>8</v>
      </c>
      <c r="D154" s="53">
        <v>42</v>
      </c>
      <c r="E154" s="54"/>
      <c r="F154" s="54"/>
      <c r="G154" s="54"/>
      <c r="H154" s="54"/>
      <c r="I154" s="59">
        <f t="shared" si="5"/>
        <v>4.9000000000000004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3">
        <v>110</v>
      </c>
      <c r="B155" s="53">
        <v>305</v>
      </c>
      <c r="C155" s="53">
        <v>9</v>
      </c>
      <c r="D155" s="53">
        <v>39</v>
      </c>
      <c r="E155" s="54"/>
      <c r="F155" s="54"/>
      <c r="G155" s="54"/>
      <c r="H155" s="54"/>
      <c r="I155" s="59">
        <f t="shared" si="5"/>
        <v>4.4000000000000004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3">
        <v>120</v>
      </c>
      <c r="B156" s="53">
        <v>303</v>
      </c>
      <c r="C156" s="53">
        <v>10</v>
      </c>
      <c r="D156" s="53">
        <v>35</v>
      </c>
      <c r="E156" s="54"/>
      <c r="F156" s="54"/>
      <c r="G156" s="54"/>
      <c r="H156" s="54"/>
      <c r="I156" s="59">
        <f t="shared" si="5"/>
        <v>3.7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3">
        <v>130</v>
      </c>
      <c r="B157" s="53">
        <v>300</v>
      </c>
      <c r="C157" s="53">
        <v>11</v>
      </c>
      <c r="D157" s="53">
        <v>31</v>
      </c>
      <c r="E157" s="54"/>
      <c r="F157" s="54"/>
      <c r="G157" s="54"/>
      <c r="H157" s="54"/>
      <c r="I157" s="59">
        <f t="shared" si="5"/>
        <v>3.2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3">
        <v>140</v>
      </c>
      <c r="B158" s="53">
        <v>296</v>
      </c>
      <c r="C158" s="53">
        <v>12</v>
      </c>
      <c r="D158" s="53">
        <v>27</v>
      </c>
      <c r="E158" s="54"/>
      <c r="F158" s="54"/>
      <c r="G158" s="54"/>
      <c r="H158" s="54"/>
      <c r="I158" s="59">
        <f t="shared" si="5"/>
        <v>2.7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3">
        <v>150</v>
      </c>
      <c r="B159" s="53">
        <v>293</v>
      </c>
      <c r="C159" s="53">
        <v>13</v>
      </c>
      <c r="D159" s="53">
        <v>293</v>
      </c>
      <c r="E159" s="54"/>
      <c r="F159" s="54"/>
      <c r="G159" s="54"/>
      <c r="H159" s="54"/>
      <c r="I159" s="59">
        <f t="shared" si="5"/>
        <v>2.4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5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1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88" t="s">
        <v>185</v>
      </c>
      <c r="C164" s="289" t="s">
        <v>186</v>
      </c>
      <c r="D164" s="289"/>
      <c r="E164" s="290" t="s">
        <v>187</v>
      </c>
      <c r="F164" s="291"/>
      <c r="G164" s="291"/>
      <c r="H164" s="292"/>
      <c r="I164" s="100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1"/>
      <c r="C166" s="61"/>
      <c r="D166" s="61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1"/>
      <c r="C167" s="61"/>
      <c r="D167" s="61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1"/>
      <c r="C168" s="61"/>
      <c r="D168" s="61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1"/>
      <c r="C169" s="61"/>
      <c r="D169" s="61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1"/>
      <c r="C170" s="61"/>
      <c r="D170" s="61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1"/>
      <c r="C171" s="61"/>
      <c r="D171" s="61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1"/>
      <c r="C172" s="61"/>
      <c r="D172" s="61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5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1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88" t="s">
        <v>185</v>
      </c>
      <c r="C190" s="289" t="s">
        <v>186</v>
      </c>
      <c r="D190" s="289"/>
      <c r="E190" s="290" t="s">
        <v>187</v>
      </c>
      <c r="F190" s="291"/>
      <c r="G190" s="291"/>
      <c r="H190" s="292"/>
      <c r="I190" s="100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1"/>
      <c r="C192" s="61"/>
      <c r="D192" s="61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1"/>
      <c r="C193" s="61"/>
      <c r="D193" s="61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1"/>
      <c r="C194" s="61"/>
      <c r="D194" s="61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1"/>
      <c r="C195" s="61"/>
      <c r="D195" s="61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1"/>
      <c r="C196" s="61"/>
      <c r="D196" s="61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1"/>
      <c r="C197" s="61"/>
      <c r="D197" s="61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1"/>
      <c r="C198" s="61"/>
      <c r="D198" s="61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5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1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88" t="s">
        <v>185</v>
      </c>
      <c r="C216" s="289" t="s">
        <v>186</v>
      </c>
      <c r="D216" s="289"/>
      <c r="E216" s="290" t="s">
        <v>187</v>
      </c>
      <c r="F216" s="291"/>
      <c r="G216" s="291"/>
      <c r="H216" s="292"/>
      <c r="I216" s="100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1"/>
      <c r="C218" s="53"/>
      <c r="D218" s="61"/>
      <c r="E218" s="64"/>
      <c r="F218" s="64"/>
      <c r="G218" s="64"/>
      <c r="H218" s="64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1"/>
      <c r="C219" s="53"/>
      <c r="D219" s="61"/>
      <c r="E219" s="64"/>
      <c r="F219" s="64"/>
      <c r="G219" s="64"/>
      <c r="H219" s="64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1"/>
      <c r="C220" s="53"/>
      <c r="D220" s="61"/>
      <c r="E220" s="64"/>
      <c r="F220" s="64"/>
      <c r="G220" s="64"/>
      <c r="H220" s="64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4"/>
      <c r="F221" s="64"/>
      <c r="G221" s="64"/>
      <c r="H221" s="64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4"/>
      <c r="F222" s="64"/>
      <c r="G222" s="64"/>
      <c r="H222" s="64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4"/>
      <c r="F223" s="64"/>
      <c r="G223" s="64"/>
      <c r="H223" s="64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4"/>
      <c r="F224" s="64"/>
      <c r="G224" s="64"/>
      <c r="H224" s="64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4"/>
      <c r="F225" s="64"/>
      <c r="G225" s="64"/>
      <c r="H225" s="64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4"/>
      <c r="F226" s="64"/>
      <c r="G226" s="64"/>
      <c r="H226" s="64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4"/>
      <c r="F227" s="64"/>
      <c r="G227" s="64"/>
      <c r="H227" s="64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4"/>
      <c r="F228" s="64"/>
      <c r="G228" s="64"/>
      <c r="H228" s="64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4"/>
      <c r="F229" s="64"/>
      <c r="G229" s="64"/>
      <c r="H229" s="64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5"/>
      <c r="F230" s="65"/>
      <c r="G230" s="65"/>
      <c r="H230" s="65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0"/>
      <c r="B231" s="61"/>
      <c r="C231" s="90"/>
      <c r="D231" s="61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5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1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88" t="s">
        <v>185</v>
      </c>
      <c r="C242" s="289" t="s">
        <v>186</v>
      </c>
      <c r="D242" s="289"/>
      <c r="E242" s="290" t="s">
        <v>187</v>
      </c>
      <c r="F242" s="291"/>
      <c r="G242" s="291"/>
      <c r="H242" s="292"/>
      <c r="I242" s="100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1"/>
      <c r="C244" s="61"/>
      <c r="D244" s="61"/>
      <c r="E244" s="54"/>
      <c r="F244" s="54"/>
      <c r="G244" s="54"/>
      <c r="H244" s="64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1"/>
      <c r="C245" s="61"/>
      <c r="D245" s="61"/>
      <c r="E245" s="64"/>
      <c r="F245" s="64"/>
      <c r="G245" s="64"/>
      <c r="H245" s="64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1"/>
      <c r="C246" s="61"/>
      <c r="D246" s="61"/>
      <c r="E246" s="64"/>
      <c r="F246" s="64"/>
      <c r="G246" s="64"/>
      <c r="H246" s="64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1"/>
      <c r="C247" s="61"/>
      <c r="D247" s="61"/>
      <c r="E247" s="64"/>
      <c r="F247" s="64"/>
      <c r="G247" s="64"/>
      <c r="H247" s="64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1"/>
      <c r="C248" s="61"/>
      <c r="D248" s="61"/>
      <c r="E248" s="64"/>
      <c r="F248" s="64"/>
      <c r="G248" s="64"/>
      <c r="H248" s="64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1"/>
      <c r="C249" s="61"/>
      <c r="D249" s="61"/>
      <c r="E249" s="64"/>
      <c r="F249" s="64"/>
      <c r="G249" s="64"/>
      <c r="H249" s="64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1"/>
      <c r="C250" s="61"/>
      <c r="D250" s="61"/>
      <c r="E250" s="64"/>
      <c r="F250" s="64"/>
      <c r="G250" s="64"/>
      <c r="H250" s="64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4"/>
      <c r="F251" s="64"/>
      <c r="G251" s="64"/>
      <c r="H251" s="64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4"/>
      <c r="F252" s="64"/>
      <c r="G252" s="64"/>
      <c r="H252" s="64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4"/>
      <c r="F253" s="64"/>
      <c r="G253" s="64"/>
      <c r="H253" s="64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4"/>
      <c r="F254" s="64"/>
      <c r="G254" s="64"/>
      <c r="H254" s="64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4"/>
      <c r="F255" s="64"/>
      <c r="G255" s="64"/>
      <c r="H255" s="64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5"/>
      <c r="F256" s="65"/>
      <c r="G256" s="65"/>
      <c r="H256" s="65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0"/>
      <c r="B257" s="61"/>
      <c r="C257" s="90"/>
      <c r="D257" s="61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5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1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88" t="s">
        <v>185</v>
      </c>
      <c r="C268" s="289" t="s">
        <v>186</v>
      </c>
      <c r="D268" s="289"/>
      <c r="E268" s="290" t="s">
        <v>187</v>
      </c>
      <c r="F268" s="291"/>
      <c r="G268" s="291"/>
      <c r="H268" s="292"/>
      <c r="I268" s="100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1"/>
      <c r="C270" s="53"/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1"/>
      <c r="C271" s="53"/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1"/>
      <c r="C272" s="53"/>
      <c r="D272" s="61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1"/>
      <c r="C273" s="53"/>
      <c r="D273" s="61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1"/>
      <c r="C274" s="53"/>
      <c r="D274" s="61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1"/>
      <c r="C275" s="53"/>
      <c r="D275" s="61"/>
      <c r="E275" s="64"/>
      <c r="F275" s="64"/>
      <c r="G275" s="64"/>
      <c r="H275" s="64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1"/>
      <c r="C276" s="53"/>
      <c r="D276" s="61"/>
      <c r="E276" s="64"/>
      <c r="F276" s="64"/>
      <c r="G276" s="64"/>
      <c r="H276" s="64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4"/>
      <c r="F277" s="64"/>
      <c r="G277" s="64"/>
      <c r="H277" s="64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4"/>
      <c r="F278" s="64"/>
      <c r="G278" s="64"/>
      <c r="H278" s="64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4"/>
      <c r="F279" s="64"/>
      <c r="G279" s="64"/>
      <c r="H279" s="6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4"/>
      <c r="F280" s="64"/>
      <c r="G280" s="64"/>
      <c r="H280" s="6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4"/>
      <c r="F281" s="64"/>
      <c r="G281" s="64"/>
      <c r="H281" s="6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5"/>
      <c r="F282" s="65"/>
      <c r="G282" s="65"/>
      <c r="H282" s="65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0"/>
      <c r="B283" s="61"/>
      <c r="C283" s="90"/>
      <c r="D283" s="61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C28" sqref="C2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2"/>
      <c r="K1" s="102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4" t="s">
        <v>191</v>
      </c>
      <c r="C2" s="305"/>
      <c r="D2" s="305"/>
      <c r="E2" s="305"/>
      <c r="F2" s="305"/>
      <c r="G2" s="306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3"/>
      <c r="C4" s="303"/>
      <c r="D4" s="303"/>
      <c r="E4" s="303"/>
      <c r="F4" s="303"/>
      <c r="G4" s="303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3" t="s">
        <v>296</v>
      </c>
      <c r="C5" s="103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3"/>
      <c r="C6" s="233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4"/>
      <c r="B7" s="29" t="s">
        <v>295</v>
      </c>
      <c r="C7" s="105" t="s">
        <v>214</v>
      </c>
      <c r="D7" s="231"/>
      <c r="E7" s="106"/>
      <c r="F7" s="29" t="s">
        <v>295</v>
      </c>
      <c r="G7" s="105" t="s">
        <v>215</v>
      </c>
      <c r="H7" s="232"/>
      <c r="I7" s="232"/>
      <c r="J7" s="232"/>
      <c r="K7" s="232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</row>
    <row r="8" spans="1:38" ht="17.25" customHeight="1" x14ac:dyDescent="0.3">
      <c r="A8" s="110">
        <v>1</v>
      </c>
      <c r="B8" s="62">
        <v>1</v>
      </c>
      <c r="C8" s="52" t="s">
        <v>177</v>
      </c>
      <c r="D8" s="25"/>
      <c r="E8" s="110">
        <v>4</v>
      </c>
      <c r="F8" s="62">
        <v>0</v>
      </c>
      <c r="G8" s="107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0">
        <v>2</v>
      </c>
      <c r="B9" s="62">
        <v>0</v>
      </c>
      <c r="C9" s="113" t="s">
        <v>216</v>
      </c>
      <c r="D9" s="25"/>
      <c r="E9" s="110">
        <v>5</v>
      </c>
      <c r="F9" s="62">
        <v>0</v>
      </c>
      <c r="G9" s="108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0">
        <v>3</v>
      </c>
      <c r="B10" s="62">
        <v>0</v>
      </c>
      <c r="C10" s="114" t="s">
        <v>217</v>
      </c>
      <c r="D10" s="25"/>
      <c r="E10" s="5"/>
      <c r="F10" s="111">
        <f>SUM(F7:F9)</f>
        <v>0</v>
      </c>
      <c r="G10" s="109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1">
        <v>0</v>
      </c>
      <c r="C11" s="109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2"/>
      <c r="B13" s="112"/>
      <c r="C13" s="103" t="s">
        <v>273</v>
      </c>
      <c r="D13" s="232"/>
      <c r="E13" s="104"/>
      <c r="F13" s="112"/>
      <c r="G13" s="103" t="s">
        <v>301</v>
      </c>
      <c r="H13" s="232"/>
      <c r="I13" s="232"/>
      <c r="J13" s="232"/>
      <c r="K13" s="232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</row>
    <row r="14" spans="1:38" s="4" customFormat="1" ht="21" customHeight="1" x14ac:dyDescent="0.3">
      <c r="A14" s="232"/>
      <c r="B14" s="112"/>
      <c r="C14" s="103" t="s">
        <v>309</v>
      </c>
      <c r="D14" s="232"/>
      <c r="E14" s="104"/>
      <c r="F14" s="112"/>
      <c r="G14" s="103" t="s">
        <v>294</v>
      </c>
      <c r="H14" s="232"/>
      <c r="I14" s="232"/>
      <c r="J14" s="232"/>
      <c r="K14" s="232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2">
        <v>1</v>
      </c>
      <c r="C16" s="115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2">
        <v>0</v>
      </c>
      <c r="C17" s="115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2">
        <v>0</v>
      </c>
      <c r="C18" s="115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1">
        <f>SUM(B16:B18)</f>
        <v>1</v>
      </c>
      <c r="C19" s="109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5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68" bestFit="1" customWidth="1"/>
    <col min="2" max="4" width="11.44140625" style="68"/>
    <col min="5" max="5" width="9.5546875" style="68" customWidth="1"/>
    <col min="6" max="7" width="11.44140625" style="68"/>
    <col min="8" max="8" width="10.6640625" style="68" customWidth="1"/>
    <col min="9" max="9" width="9.44140625" style="68" customWidth="1"/>
    <col min="10" max="11" width="10.5546875" style="68" bestFit="1" customWidth="1"/>
    <col min="12" max="12" width="14" style="68" bestFit="1" customWidth="1"/>
    <col min="13" max="13" width="14" style="68" customWidth="1"/>
    <col min="14" max="23" width="11.44140625" style="68"/>
    <col min="24" max="24" width="11.6640625" style="68" bestFit="1" customWidth="1"/>
    <col min="25" max="25" width="14.5546875" style="68" bestFit="1" customWidth="1"/>
    <col min="26" max="26" width="12.44140625" style="68" bestFit="1" customWidth="1"/>
    <col min="27" max="27" width="9.6640625" style="68" bestFit="1" customWidth="1"/>
    <col min="28" max="28" width="11" style="68" bestFit="1" customWidth="1"/>
    <col min="29" max="29" width="9.44140625" style="68" bestFit="1" customWidth="1"/>
    <col min="30" max="31" width="9.44140625" style="68" customWidth="1"/>
    <col min="32" max="32" width="11.44140625" style="68"/>
    <col min="33" max="34" width="14" style="68" bestFit="1" customWidth="1"/>
    <col min="35" max="35" width="10.5546875" style="68" bestFit="1" customWidth="1"/>
    <col min="36" max="36" width="9.44140625" style="68" bestFit="1" customWidth="1"/>
    <col min="37" max="38" width="10.5546875" style="68" bestFit="1" customWidth="1"/>
    <col min="39" max="41" width="10.5546875" style="68" customWidth="1"/>
    <col min="42" max="42" width="9" style="68" bestFit="1" customWidth="1"/>
    <col min="43" max="43" width="10.5546875" style="68" bestFit="1" customWidth="1"/>
    <col min="44" max="44" width="9.33203125" style="68" bestFit="1" customWidth="1"/>
    <col min="45" max="45" width="11.6640625" style="68" bestFit="1" customWidth="1"/>
    <col min="46" max="46" width="8.44140625" style="68" bestFit="1" customWidth="1"/>
    <col min="47" max="47" width="9.44140625" style="68" bestFit="1" customWidth="1"/>
    <col min="48" max="48" width="9.6640625" style="68" bestFit="1" customWidth="1"/>
    <col min="49" max="49" width="11" style="68" bestFit="1" customWidth="1"/>
    <col min="50" max="50" width="9.44140625" style="68" bestFit="1" customWidth="1"/>
    <col min="51" max="52" width="9.44140625" style="68" customWidth="1"/>
    <col min="53" max="53" width="10.5546875" style="68" bestFit="1" customWidth="1"/>
    <col min="54" max="54" width="14.33203125" style="68" customWidth="1"/>
    <col min="55" max="55" width="14" style="68" customWidth="1"/>
    <col min="56" max="56" width="10.5546875" style="68" bestFit="1" customWidth="1"/>
    <col min="57" max="57" width="9.44140625" style="68" bestFit="1" customWidth="1"/>
    <col min="58" max="59" width="10.5546875" style="68" bestFit="1" customWidth="1"/>
    <col min="60" max="62" width="10.5546875" style="68" customWidth="1"/>
    <col min="63" max="63" width="9" style="68" bestFit="1" customWidth="1"/>
    <col min="64" max="64" width="10.5546875" style="68" bestFit="1" customWidth="1"/>
    <col min="65" max="65" width="9.33203125" style="68" bestFit="1" customWidth="1"/>
    <col min="66" max="66" width="11.6640625" style="68" bestFit="1" customWidth="1"/>
    <col min="67" max="67" width="8.44140625" style="68" bestFit="1" customWidth="1"/>
    <col min="68" max="68" width="9.44140625" style="68" bestFit="1" customWidth="1"/>
    <col min="69" max="69" width="9.6640625" style="68" bestFit="1" customWidth="1"/>
    <col min="70" max="70" width="11" style="68" bestFit="1" customWidth="1"/>
    <col min="71" max="71" width="9.44140625" style="68" bestFit="1" customWidth="1"/>
    <col min="72" max="73" width="9.44140625" style="68" customWidth="1"/>
    <col min="74" max="74" width="10.5546875" style="68" bestFit="1" customWidth="1"/>
    <col min="75" max="75" width="14" style="68" bestFit="1" customWidth="1"/>
    <col min="76" max="76" width="13.88671875" style="68" customWidth="1"/>
    <col min="77" max="77" width="10.5546875" style="68" bestFit="1" customWidth="1"/>
    <col min="78" max="78" width="9.44140625" style="68" bestFit="1" customWidth="1"/>
    <col min="79" max="80" width="10.5546875" style="68" bestFit="1" customWidth="1"/>
    <col min="81" max="83" width="10.5546875" style="68" customWidth="1"/>
    <col min="84" max="84" width="11.44140625" style="68"/>
    <col min="85" max="85" width="10.5546875" style="68" bestFit="1" customWidth="1"/>
    <col min="86" max="86" width="9.33203125" style="68" bestFit="1" customWidth="1"/>
    <col min="87" max="87" width="11.6640625" style="68" bestFit="1" customWidth="1"/>
    <col min="88" max="88" width="8.44140625" style="68" bestFit="1" customWidth="1"/>
    <col min="89" max="89" width="9.44140625" style="68" bestFit="1" customWidth="1"/>
    <col min="90" max="90" width="9.6640625" style="68" bestFit="1" customWidth="1"/>
    <col min="91" max="91" width="11" style="68" bestFit="1" customWidth="1"/>
    <col min="92" max="92" width="9.44140625" style="68" bestFit="1" customWidth="1"/>
    <col min="93" max="94" width="9.44140625" style="68" customWidth="1"/>
    <col min="95" max="95" width="11.44140625" style="68"/>
    <col min="96" max="97" width="14" style="68" customWidth="1"/>
    <col min="98" max="98" width="10.5546875" style="68" bestFit="1" customWidth="1"/>
    <col min="99" max="99" width="9.44140625" style="68" bestFit="1" customWidth="1"/>
    <col min="100" max="101" width="10.5546875" style="68" bestFit="1" customWidth="1"/>
    <col min="102" max="104" width="10.5546875" style="68" customWidth="1"/>
    <col min="105" max="105" width="9" style="68" bestFit="1" customWidth="1"/>
    <col min="106" max="106" width="10.5546875" style="68" bestFit="1" customWidth="1"/>
    <col min="107" max="107" width="9.33203125" style="68" bestFit="1" customWidth="1"/>
    <col min="108" max="108" width="11.6640625" style="68" bestFit="1" customWidth="1"/>
    <col min="109" max="109" width="8.44140625" style="68" bestFit="1" customWidth="1"/>
    <col min="110" max="110" width="9.44140625" style="68" bestFit="1" customWidth="1"/>
    <col min="111" max="111" width="9.6640625" style="68" bestFit="1" customWidth="1"/>
    <col min="112" max="112" width="11" style="68" bestFit="1" customWidth="1"/>
    <col min="113" max="113" width="9.44140625" style="68" bestFit="1" customWidth="1"/>
    <col min="114" max="115" width="9.44140625" style="68" customWidth="1"/>
    <col min="116" max="116" width="10.5546875" style="68" bestFit="1" customWidth="1"/>
    <col min="117" max="117" width="14.33203125" style="68" customWidth="1"/>
    <col min="118" max="118" width="14" style="68" bestFit="1" customWidth="1"/>
    <col min="119" max="119" width="10.5546875" style="68" bestFit="1" customWidth="1"/>
    <col min="120" max="120" width="9.44140625" style="68" bestFit="1" customWidth="1"/>
    <col min="121" max="122" width="10.5546875" style="68" bestFit="1" customWidth="1"/>
    <col min="123" max="125" width="10.5546875" style="68" customWidth="1"/>
    <col min="126" max="126" width="9" style="68" bestFit="1" customWidth="1"/>
    <col min="127" max="127" width="10.5546875" style="68" bestFit="1" customWidth="1"/>
    <col min="128" max="128" width="9.33203125" style="68" bestFit="1" customWidth="1"/>
    <col min="129" max="129" width="11.6640625" style="68" bestFit="1" customWidth="1"/>
    <col min="130" max="130" width="8.44140625" style="68" bestFit="1" customWidth="1"/>
    <col min="131" max="131" width="9.44140625" style="68" bestFit="1" customWidth="1"/>
    <col min="132" max="132" width="9.6640625" style="68" bestFit="1" customWidth="1"/>
    <col min="133" max="133" width="11" style="68" bestFit="1" customWidth="1"/>
    <col min="134" max="134" width="9.44140625" style="68" bestFit="1" customWidth="1"/>
    <col min="135" max="136" width="9.44140625" style="68" customWidth="1"/>
    <col min="137" max="137" width="10.5546875" style="68" bestFit="1" customWidth="1"/>
    <col min="138" max="139" width="14" style="68" customWidth="1"/>
    <col min="140" max="140" width="10.5546875" style="68" bestFit="1" customWidth="1"/>
    <col min="141" max="141" width="9.44140625" style="68" bestFit="1" customWidth="1"/>
    <col min="142" max="143" width="10.5546875" style="68" bestFit="1" customWidth="1"/>
    <col min="144" max="146" width="10.5546875" style="68" customWidth="1"/>
    <col min="147" max="147" width="9" style="68" bestFit="1" customWidth="1"/>
    <col min="148" max="148" width="10.5546875" style="68" bestFit="1" customWidth="1"/>
    <col min="149" max="149" width="9.33203125" style="68" bestFit="1" customWidth="1"/>
    <col min="150" max="150" width="11.6640625" style="68" bestFit="1" customWidth="1"/>
    <col min="151" max="151" width="8.44140625" style="68" bestFit="1" customWidth="1"/>
    <col min="152" max="152" width="9.44140625" style="68" bestFit="1" customWidth="1"/>
    <col min="153" max="153" width="9.6640625" style="68" bestFit="1" customWidth="1"/>
    <col min="154" max="154" width="11" style="68" bestFit="1" customWidth="1"/>
    <col min="155" max="155" width="9.44140625" style="68" bestFit="1" customWidth="1"/>
    <col min="156" max="157" width="9.44140625" style="68" customWidth="1"/>
    <col min="158" max="158" width="11.44140625" style="68"/>
    <col min="159" max="160" width="14" style="68" bestFit="1" customWidth="1"/>
    <col min="161" max="161" width="10.5546875" style="68" bestFit="1" customWidth="1"/>
    <col min="162" max="162" width="9.44140625" style="68" bestFit="1" customWidth="1"/>
    <col min="163" max="164" width="10.5546875" style="68" bestFit="1" customWidth="1"/>
    <col min="165" max="167" width="10.5546875" style="68" customWidth="1"/>
    <col min="168" max="168" width="9" style="68" bestFit="1" customWidth="1"/>
    <col min="169" max="169" width="10.5546875" style="68" bestFit="1" customWidth="1"/>
    <col min="170" max="170" width="9.33203125" style="68" bestFit="1" customWidth="1"/>
    <col min="171" max="171" width="11.6640625" style="68" bestFit="1" customWidth="1"/>
    <col min="172" max="172" width="8.109375" style="68" bestFit="1" customWidth="1"/>
    <col min="173" max="173" width="9.44140625" style="68" bestFit="1" customWidth="1"/>
    <col min="174" max="174" width="9.6640625" style="68" bestFit="1" customWidth="1"/>
    <col min="175" max="175" width="11" style="68" bestFit="1" customWidth="1"/>
    <col min="176" max="176" width="9.44140625" style="68" bestFit="1" customWidth="1"/>
    <col min="177" max="178" width="9.44140625" style="68" customWidth="1"/>
    <col min="179" max="179" width="10.5546875" style="68" bestFit="1" customWidth="1"/>
    <col min="180" max="181" width="14" style="68" bestFit="1" customWidth="1"/>
    <col min="182" max="182" width="10.5546875" style="68" bestFit="1" customWidth="1"/>
    <col min="183" max="183" width="9.44140625" style="68" bestFit="1" customWidth="1"/>
    <col min="184" max="185" width="10.5546875" style="68" bestFit="1" customWidth="1"/>
    <col min="186" max="188" width="10.5546875" style="68" customWidth="1"/>
    <col min="189" max="189" width="9" style="68" bestFit="1" customWidth="1"/>
    <col min="190" max="190" width="10.5546875" style="68" bestFit="1" customWidth="1"/>
    <col min="191" max="191" width="9.33203125" style="68" bestFit="1" customWidth="1"/>
    <col min="192" max="192" width="11.44140625" style="68"/>
    <col min="193" max="193" width="8.44140625" style="68" bestFit="1" customWidth="1"/>
    <col min="194" max="194" width="9.44140625" style="68" bestFit="1" customWidth="1"/>
    <col min="195" max="195" width="9.6640625" style="68" bestFit="1" customWidth="1"/>
    <col min="196" max="196" width="11" style="68" bestFit="1" customWidth="1"/>
    <col min="197" max="197" width="9.44140625" style="68" bestFit="1" customWidth="1"/>
    <col min="198" max="199" width="9.44140625" style="68" customWidth="1"/>
    <col min="200" max="200" width="10.5546875" style="68" bestFit="1" customWidth="1"/>
    <col min="201" max="201" width="14" style="68" customWidth="1"/>
    <col min="202" max="202" width="14.33203125" style="68" customWidth="1"/>
    <col min="203" max="203" width="10.5546875" style="68" bestFit="1" customWidth="1"/>
    <col min="204" max="204" width="9.44140625" style="68" bestFit="1" customWidth="1"/>
    <col min="205" max="206" width="10.5546875" style="68" bestFit="1" customWidth="1"/>
    <col min="207" max="209" width="10.5546875" style="68" customWidth="1"/>
    <col min="210" max="210" width="9" style="68" bestFit="1" customWidth="1"/>
    <col min="211" max="211" width="10.5546875" style="68" bestFit="1" customWidth="1"/>
    <col min="212" max="212" width="9.33203125" style="68" bestFit="1" customWidth="1"/>
    <col min="213" max="213" width="11.6640625" style="68" bestFit="1" customWidth="1"/>
    <col min="214" max="214" width="8.44140625" style="68" bestFit="1" customWidth="1"/>
    <col min="215" max="215" width="9.44140625" style="68" bestFit="1" customWidth="1"/>
    <col min="216" max="216" width="9.6640625" style="68" bestFit="1" customWidth="1"/>
    <col min="217" max="217" width="11" style="68" bestFit="1" customWidth="1"/>
    <col min="218" max="218" width="9.44140625" style="68" bestFit="1" customWidth="1"/>
    <col min="219" max="16384" width="11.44140625" style="68"/>
  </cols>
  <sheetData>
    <row r="1" spans="1:218" s="5" customFormat="1" ht="26.4" thickBot="1" x14ac:dyDescent="0.55000000000000004">
      <c r="B1" s="310" t="s">
        <v>176</v>
      </c>
      <c r="C1" s="311"/>
      <c r="D1" s="311"/>
      <c r="E1" s="311"/>
      <c r="F1" s="311"/>
      <c r="G1" s="311"/>
      <c r="H1" s="312"/>
      <c r="I1" s="307" t="str">
        <f>IF('Données projet'!$B$9="","",'Données projet'!$B$9)</f>
        <v>Cèdre de l'Atlas</v>
      </c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9"/>
      <c r="AD1" s="308" t="str">
        <f>IF('Données projet'!$B$10="","",'Données projet'!$B$10)</f>
        <v>Chêne sessile</v>
      </c>
      <c r="AE1" s="308"/>
      <c r="AF1" s="308"/>
      <c r="AG1" s="308"/>
      <c r="AH1" s="308"/>
      <c r="AI1" s="308"/>
      <c r="AJ1" s="308"/>
      <c r="AK1" s="308"/>
      <c r="AL1" s="308"/>
      <c r="AM1" s="308"/>
      <c r="AN1" s="308"/>
      <c r="AO1" s="308"/>
      <c r="AP1" s="308"/>
      <c r="AQ1" s="308"/>
      <c r="AR1" s="308"/>
      <c r="AS1" s="308"/>
      <c r="AT1" s="308"/>
      <c r="AU1" s="308"/>
      <c r="AV1" s="308"/>
      <c r="AW1" s="308"/>
      <c r="AX1" s="309"/>
      <c r="AY1" s="307" t="str">
        <f>IF('Données projet'!$B$11="","",'Données projet'!$B$11)</f>
        <v>Pin maritime</v>
      </c>
      <c r="AZ1" s="308"/>
      <c r="BA1" s="308"/>
      <c r="BB1" s="308"/>
      <c r="BC1" s="308"/>
      <c r="BD1" s="308"/>
      <c r="BE1" s="308"/>
      <c r="BF1" s="308"/>
      <c r="BG1" s="308"/>
      <c r="BH1" s="308"/>
      <c r="BI1" s="308"/>
      <c r="BJ1" s="308"/>
      <c r="BK1" s="308"/>
      <c r="BL1" s="308"/>
      <c r="BM1" s="308"/>
      <c r="BN1" s="308"/>
      <c r="BO1" s="308"/>
      <c r="BP1" s="308"/>
      <c r="BQ1" s="308"/>
      <c r="BR1" s="308"/>
      <c r="BS1" s="309"/>
      <c r="BT1" s="307" t="str">
        <f>IF('Données projet'!$B$12="","",'Données projet'!$B$12)</f>
        <v>Alisier torminal</v>
      </c>
      <c r="BU1" s="308"/>
      <c r="BV1" s="308"/>
      <c r="BW1" s="308"/>
      <c r="BX1" s="308"/>
      <c r="BY1" s="308"/>
      <c r="BZ1" s="308"/>
      <c r="CA1" s="308"/>
      <c r="CB1" s="308"/>
      <c r="CC1" s="308"/>
      <c r="CD1" s="308"/>
      <c r="CE1" s="308"/>
      <c r="CF1" s="308"/>
      <c r="CG1" s="308"/>
      <c r="CH1" s="308"/>
      <c r="CI1" s="308"/>
      <c r="CJ1" s="308"/>
      <c r="CK1" s="308"/>
      <c r="CL1" s="308"/>
      <c r="CM1" s="308"/>
      <c r="CN1" s="309"/>
      <c r="CO1" s="307" t="str">
        <f>IF('Données projet'!$B$13="","",'Données projet'!$B$13)</f>
        <v>Cormier</v>
      </c>
      <c r="CP1" s="308"/>
      <c r="CQ1" s="308"/>
      <c r="CR1" s="308"/>
      <c r="CS1" s="308"/>
      <c r="CT1" s="308"/>
      <c r="CU1" s="308"/>
      <c r="CV1" s="308"/>
      <c r="CW1" s="308"/>
      <c r="CX1" s="308"/>
      <c r="CY1" s="308"/>
      <c r="CZ1" s="308"/>
      <c r="DA1" s="308"/>
      <c r="DB1" s="308"/>
      <c r="DC1" s="308"/>
      <c r="DD1" s="308"/>
      <c r="DE1" s="308"/>
      <c r="DF1" s="308"/>
      <c r="DG1" s="308"/>
      <c r="DH1" s="308"/>
      <c r="DI1" s="309"/>
      <c r="DJ1" s="307" t="str">
        <f>IF('Données projet'!$B$14="","",'Données projet'!$B$14)</f>
        <v/>
      </c>
      <c r="DK1" s="308"/>
      <c r="DL1" s="308"/>
      <c r="DM1" s="308"/>
      <c r="DN1" s="308"/>
      <c r="DO1" s="308"/>
      <c r="DP1" s="308"/>
      <c r="DQ1" s="308"/>
      <c r="DR1" s="308"/>
      <c r="DS1" s="308"/>
      <c r="DT1" s="308"/>
      <c r="DU1" s="308"/>
      <c r="DV1" s="308"/>
      <c r="DW1" s="308"/>
      <c r="DX1" s="308"/>
      <c r="DY1" s="308"/>
      <c r="DZ1" s="308"/>
      <c r="EA1" s="308"/>
      <c r="EB1" s="308"/>
      <c r="EC1" s="308"/>
      <c r="ED1" s="309"/>
      <c r="EE1" s="307" t="str">
        <f>IF('Données projet'!$B$15="","",'Données projet'!$B$15)</f>
        <v/>
      </c>
      <c r="EF1" s="308"/>
      <c r="EG1" s="308"/>
      <c r="EH1" s="308"/>
      <c r="EI1" s="308"/>
      <c r="EJ1" s="308"/>
      <c r="EK1" s="308"/>
      <c r="EL1" s="308"/>
      <c r="EM1" s="308"/>
      <c r="EN1" s="308"/>
      <c r="EO1" s="308"/>
      <c r="EP1" s="308"/>
      <c r="EQ1" s="308"/>
      <c r="ER1" s="308"/>
      <c r="ES1" s="308"/>
      <c r="ET1" s="308"/>
      <c r="EU1" s="308"/>
      <c r="EV1" s="308"/>
      <c r="EW1" s="308"/>
      <c r="EX1" s="308"/>
      <c r="EY1" s="309"/>
      <c r="EZ1" s="307" t="str">
        <f>IF('Données projet'!$B$16="","",'Données projet'!$B$16)</f>
        <v/>
      </c>
      <c r="FA1" s="308"/>
      <c r="FB1" s="308"/>
      <c r="FC1" s="308"/>
      <c r="FD1" s="308"/>
      <c r="FE1" s="308"/>
      <c r="FF1" s="308"/>
      <c r="FG1" s="308"/>
      <c r="FH1" s="308"/>
      <c r="FI1" s="308"/>
      <c r="FJ1" s="308"/>
      <c r="FK1" s="308"/>
      <c r="FL1" s="308"/>
      <c r="FM1" s="308"/>
      <c r="FN1" s="308"/>
      <c r="FO1" s="308"/>
      <c r="FP1" s="308"/>
      <c r="FQ1" s="308"/>
      <c r="FR1" s="308"/>
      <c r="FS1" s="308"/>
      <c r="FT1" s="309"/>
      <c r="FU1" s="307" t="str">
        <f>IF('Données projet'!$B$17="","",'Données projet'!$B$17)</f>
        <v/>
      </c>
      <c r="FV1" s="308"/>
      <c r="FW1" s="308"/>
      <c r="FX1" s="308"/>
      <c r="FY1" s="308"/>
      <c r="FZ1" s="308"/>
      <c r="GA1" s="308"/>
      <c r="GB1" s="308"/>
      <c r="GC1" s="308"/>
      <c r="GD1" s="308"/>
      <c r="GE1" s="308"/>
      <c r="GF1" s="308"/>
      <c r="GG1" s="308"/>
      <c r="GH1" s="308"/>
      <c r="GI1" s="308"/>
      <c r="GJ1" s="308"/>
      <c r="GK1" s="308"/>
      <c r="GL1" s="308"/>
      <c r="GM1" s="308"/>
      <c r="GN1" s="308"/>
      <c r="GO1" s="309"/>
      <c r="GP1" s="307" t="str">
        <f>IF('Données projet'!$B$18="","",'Données projet'!$B$18)</f>
        <v/>
      </c>
      <c r="GQ1" s="308"/>
      <c r="GR1" s="308"/>
      <c r="GS1" s="308"/>
      <c r="GT1" s="308"/>
      <c r="GU1" s="308"/>
      <c r="GV1" s="308"/>
      <c r="GW1" s="308"/>
      <c r="GX1" s="308"/>
      <c r="GY1" s="308"/>
      <c r="GZ1" s="308"/>
      <c r="HA1" s="308"/>
      <c r="HB1" s="308"/>
      <c r="HC1" s="308"/>
      <c r="HD1" s="308"/>
      <c r="HE1" s="308"/>
      <c r="HF1" s="308"/>
      <c r="HG1" s="308"/>
      <c r="HH1" s="308"/>
      <c r="HI1" s="308"/>
      <c r="HJ1" s="309"/>
    </row>
    <row r="2" spans="1:218" s="5" customFormat="1" ht="58.2" thickBot="1" x14ac:dyDescent="0.35">
      <c r="A2" s="72" t="s">
        <v>178</v>
      </c>
      <c r="B2" s="73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6" t="s">
        <v>299</v>
      </c>
      <c r="I2" s="69" t="s">
        <v>298</v>
      </c>
      <c r="J2" s="70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0" t="s">
        <v>298</v>
      </c>
      <c r="AE2" s="70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69" t="s">
        <v>298</v>
      </c>
      <c r="AZ2" s="70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69" t="s">
        <v>298</v>
      </c>
      <c r="BU2" s="70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69" t="s">
        <v>298</v>
      </c>
      <c r="CP2" s="70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69" t="s">
        <v>298</v>
      </c>
      <c r="DK2" s="70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69" t="s">
        <v>298</v>
      </c>
      <c r="EF2" s="70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69" t="s">
        <v>298</v>
      </c>
      <c r="FA2" s="70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69" t="s">
        <v>298</v>
      </c>
      <c r="FV2" s="70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69" t="s">
        <v>298</v>
      </c>
      <c r="GQ2" s="70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4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165</v>
      </c>
      <c r="S3" s="60">
        <f ca="1">AVERAGE(OFFSET($R$3,0,0,'Données projet'!$E$9+1,1))-AVERAGE(OFFSET($H$3,0,0,'Données projet'!$E$9+1,1))</f>
        <v>277.7918215389401</v>
      </c>
      <c r="T3" s="60">
        <f>IF('Données projet'!E9&gt;30,$R$33-$H$33,LOOKUP('Données projet'!$E$9,$A$3:$A$203,R3:R203)-LOOKUP('Données projet'!$E$9,$A$3:$A$203,$H$3:$H$203))</f>
        <v>164.65640238394164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165</v>
      </c>
      <c r="AN3" s="60">
        <f ca="1">AVERAGE(OFFSET($AM$3,0,0,'Données projet'!$E$10+1,1))-AVERAGE(OFFSET($H$3,0,0,'Données projet'!$E$10+1,1))</f>
        <v>469.67944008675863</v>
      </c>
      <c r="AO3" s="60">
        <f>IF('Données projet'!E10&gt;30,$AM$33-$H$33,LOOKUP('Données projet'!$E$10,$A$3:$A$203,AM3:AM203)-LOOKUP('Données projet'!$E$10,$A$3:$A$203,$H$3:$H$203))</f>
        <v>266.11908070867173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165</v>
      </c>
      <c r="BI3" s="60">
        <f ca="1">AVERAGE(OFFSET($BH$3,0,0,'Données projet'!$E$11+1,1))-AVERAGE(OFFSET($H$3,0,0,'Données projet'!$E$11+1,1))</f>
        <v>216.36762889365235</v>
      </c>
      <c r="BJ3" s="60">
        <f>IF('Données projet'!E11&gt;30,$BH$33-$H$33,LOOKUP('Données projet'!$E$11,$A$3:$A$203,BH3:BH203)-LOOKUP('Données projet'!$E$11,$A$3:$A$203,$H$3:$H$203))</f>
        <v>333.29599352215496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165</v>
      </c>
      <c r="CD3" s="60">
        <f ca="1">AVERAGE(OFFSET($CC$3,0,0,'Données projet'!$E$12+1,1))-AVERAGE(OFFSET($H$3,0,0,'Données projet'!$E$12+1,1))</f>
        <v>496.33873798282525</v>
      </c>
      <c r="CE3" s="60">
        <f>IF('Données projet'!E12&gt;30,$CC$33-$H$33,LOOKUP('Données projet'!$E$12,$A$3:$A$203,CC3:CC203)-LOOKUP('Données projet'!$E$12,$A$3:$A$203,$H$3:$H$203))</f>
        <v>280.25465074992246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165</v>
      </c>
      <c r="CY3" s="60">
        <f ca="1">AVERAGE(OFFSET($CX$3,0,0,'Données projet'!$E$13+1,1))-AVERAGE(OFFSET($H$3,0,0,'Données projet'!$E$13+1,1))</f>
        <v>542.90832990875208</v>
      </c>
      <c r="CZ3" s="60">
        <f>IF('Données projet'!E13&gt;30,$CX$33-$H$33,LOOKUP('Données projet'!$E$13,$A$3:$A$203,CX3:CX203)-LOOKUP('Données projet'!$E$13,$A$3:$A$203,$H$3:$H$203))</f>
        <v>304.94365539329362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0" t="e">
        <f>DR3+(DJ3+DK3)*44/12</f>
        <v>#N/A</v>
      </c>
      <c r="DT3" s="60" t="e">
        <f ca="1">AVERAGE(OFFSET($DS$3,0,0,'Données projet'!$E$14+1,1))-AVERAGE(OFFSET($H$3,0,0,'Données projet'!$E$14+1,1))</f>
        <v>#N/A</v>
      </c>
      <c r="DU3" s="60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0" t="e">
        <f>EM3+(EE3+EF3)*44/12</f>
        <v>#N/A</v>
      </c>
      <c r="EO3" s="60" t="e">
        <f ca="1">AVERAGE(OFFSET($EN$3,0,0,'Données projet'!$E$15+1,1))-AVERAGE(OFFSET($H$3,0,0,'Données projet'!$E$15+1,1))</f>
        <v>#N/A</v>
      </c>
      <c r="EP3" s="60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0" t="e">
        <f>FH3+(EZ3+FA3)*44/12</f>
        <v>#N/A</v>
      </c>
      <c r="FJ3" s="60" t="e">
        <f ca="1">AVERAGE(OFFSET($FI$3,0,0,'Données projet'!$E$16+1,1))-AVERAGE(OFFSET($H$3,0,0,'Données projet'!$E$16+1,1))</f>
        <v>#N/A</v>
      </c>
      <c r="FK3" s="60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0" t="e">
        <f>GC3+(FU3+FV3)*44/12</f>
        <v>#N/A</v>
      </c>
      <c r="GE3" s="60" t="e">
        <f ca="1">AVERAGE(OFFSET($GD$3,0,0,'Données projet'!$E$17+1,1))-AVERAGE(OFFSET($H$3,0,0,'Données projet'!$E$17+1,1))</f>
        <v>#N/A</v>
      </c>
      <c r="GF3" s="60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4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3.4425641025641025</v>
      </c>
      <c r="N4" s="14">
        <f>IF('Données projet'!$A$36&gt;35,N3+M4-V3,IF(A4&lt;'Données projet'!$A$36,$K$205^A4,IF(A4='Données projet'!$A$36,'Données projet'!$B$36,N3+M4-V3)))</f>
        <v>1.1671681906248585</v>
      </c>
      <c r="O4" s="14">
        <f>N4*VLOOKUP('Données projet'!$B$9,Paramètres!$A$1:$I$89,3,0)*VLOOKUP('Données projet'!$B$9,Paramètres!$A$1:$I$89,5,0)</f>
        <v>0.54623471321243378</v>
      </c>
      <c r="P4" s="14">
        <f>EXP(-1.0587+0.8836*LN(O4)+0.284)</f>
        <v>0.27008496636632595</v>
      </c>
      <c r="Q4" s="22">
        <f t="shared" ref="Q4:Q34" si="2">(O4+P4)*0.475*44/12</f>
        <v>1.4217567752663396</v>
      </c>
      <c r="R4" s="60">
        <f t="shared" si="0"/>
        <v>169.23419072819019</v>
      </c>
      <c r="S4" s="60">
        <f ca="1">AVERAGE(OFFSET($R$3,0,0,'Données projet'!$E$9+1,1))-AVERAGE(OFFSET($H$3,0,0,'Données projet'!$E$9+1,1))</f>
        <v>277.7918215389401</v>
      </c>
      <c r="T4" s="60">
        <f>$T$3</f>
        <v>164.65640238394164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IF('Données projet'!$A$62&gt;35,AI3+AH4-AQ3,IF(A4&lt;'Données projet'!$A$62,$AF$205^A4,IF(A4='Données projet'!$A$62,'Données projet'!$B$62,AI3+AH4-AQ3)))</f>
        <v>1.2054868146447177</v>
      </c>
      <c r="AJ4" s="14">
        <f>AI4*VLOOKUP('Données projet'!$B$10,Paramètres!$A$1:$I$89,3,0)*VLOOKUP('Données projet'!$B$10,Paramètres!$A$1:$I$89,5,0)</f>
        <v>1.0907244698905405</v>
      </c>
      <c r="AK4" s="14">
        <f>EXP(-1.0587+0.8836*LN(AJ4)+0.284)</f>
        <v>0.49759623852608204</v>
      </c>
      <c r="AL4" s="22">
        <f t="shared" ref="AL4:AL67" si="4">(AJ4+AK4)*0.475*44/12</f>
        <v>2.7663252338256172</v>
      </c>
      <c r="AM4" s="60">
        <f t="shared" ref="AM4:AM67" si="5">AL4+(AD4+AE4)*44/12</f>
        <v>170.57875918674947</v>
      </c>
      <c r="AN4" s="60">
        <f ca="1">AVERAGE(OFFSET($AM$3,0,0,'Données projet'!$E$10+1,1))-AVERAGE(OFFSET($H$3,0,0,'Données projet'!$E$10+1,1))</f>
        <v>469.67944008675863</v>
      </c>
      <c r="AO4" s="60">
        <f>$AO$3</f>
        <v>266.11908070867173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3.2392083333333335</v>
      </c>
      <c r="BD4" s="13">
        <f>IF('Données projet'!$A$88&gt;35,BD3+BC4-BL3,IF(A4&lt;'Données projet'!$A$88,$BA$205^A4,IF(A4='Données projet'!$A$88,'Données projet'!$B$88,BD3+BC4-BL3)))</f>
        <v>1.3566516392624868</v>
      </c>
      <c r="BE4" s="14">
        <f>BD4*VLOOKUP('Données projet'!$B$11,Paramètres!$A$1:$I$89,3,0)*VLOOKUP('Données projet'!$B$11,Paramètres!$A$1:$I$89,5,0)</f>
        <v>0.81127768027896718</v>
      </c>
      <c r="BF4" s="14">
        <f>EXP(-1.0587+0.8836*LN(BE4)+0.284)</f>
        <v>0.38308421720764524</v>
      </c>
      <c r="BG4" s="22">
        <f t="shared" ref="BG4:BG67" si="7">(BE4+BF4)*0.475*44/12</f>
        <v>2.0801803047891831</v>
      </c>
      <c r="BH4" s="60">
        <f t="shared" ref="BH4:BH67" si="8">BG4+(AY4+AZ4)*44/12</f>
        <v>169.89261425771303</v>
      </c>
      <c r="BI4" s="60">
        <f ca="1">AVERAGE(OFFSET($BH$3,0,0,'Données projet'!$E$11+1,1))-AVERAGE(OFFSET($H$3,0,0,'Données projet'!$E$11+1,1))</f>
        <v>216.36762889365235</v>
      </c>
      <c r="BJ4" s="60">
        <f>$BJ$3</f>
        <v>333.29599352215496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2.1</v>
      </c>
      <c r="BY4" s="13">
        <f>IF('Données projet'!$A$114&gt;35,BY3+BX4-CG3,IF(A4&lt;'Données projet'!$A$114,$BV$205^A4,IF(A4='Données projet'!$A$114,'Données projet'!$B$114,BY3+BX4-CG3)))</f>
        <v>1.2054868146447177</v>
      </c>
      <c r="BZ4" s="14">
        <f>BY4*VLOOKUP('Données projet'!$B$12,Paramètres!$A$1:$I$89,3,0)*VLOOKUP('Données projet'!$B$12,Paramètres!$A$1:$I$89,5,0)</f>
        <v>1.165946847124371</v>
      </c>
      <c r="CA4" s="14">
        <f>EXP(-1.0587+0.8836*LN(BZ4)+0.284)</f>
        <v>0.52780002987456354</v>
      </c>
      <c r="CB4" s="22">
        <f t="shared" ref="CB4:CB67" si="10">(BZ4+CA4)*0.475*44/12</f>
        <v>2.9499424774398109</v>
      </c>
      <c r="CC4" s="60">
        <f t="shared" ref="CC4:CC67" si="11">CB4+(BT4+BU4)*44/12</f>
        <v>170.76237643036364</v>
      </c>
      <c r="CD4" s="60">
        <f ca="1">AVERAGE(OFFSET($CC$3,0,0,'Données projet'!$E$12+1,1))-AVERAGE(OFFSET($H$3,0,0,'Données projet'!$E$12+1,1))</f>
        <v>496.33873798282525</v>
      </c>
      <c r="CE4" s="60">
        <f>$CE$3</f>
        <v>280.25465074992246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2.1</v>
      </c>
      <c r="CT4" s="13">
        <f>IF('Données projet'!$A$140&gt;35,CT3+CS4-DB3,IF(A4&lt;'Données projet'!$A$140,$CQ$205^A4,IF(A4='Données projet'!$A$140,'Données projet'!$B$140,CT3+CS4-DB3)))</f>
        <v>1.2054868146447177</v>
      </c>
      <c r="CU4" s="18">
        <f>CT4*VLOOKUP('Données projet'!$B$13,Paramètres!$A$1:$I$89,3,0)*VLOOKUP('Données projet'!$B$13,Paramètres!$A$1:$I$89,5,0)</f>
        <v>1.2975860072835741</v>
      </c>
      <c r="CV4" s="14">
        <f>EXP(-1.0587+0.8836*LN(CU4)+0.284)</f>
        <v>0.58012177912374829</v>
      </c>
      <c r="CW4" s="22">
        <f t="shared" ref="CW4:CW67" si="13">(CU4+CV4)*0.475*44/12</f>
        <v>3.2703410613260862</v>
      </c>
      <c r="CX4" s="60">
        <f t="shared" ref="CX4:CX67" si="14">CW4+(CO4+CP4)*44/12</f>
        <v>171.08277501424993</v>
      </c>
      <c r="CY4" s="60">
        <f ca="1">AVERAGE(OFFSET($CX$3,0,0,'Données projet'!$E$13+1,1))-AVERAGE(OFFSET($H$3,0,0,'Données projet'!$E$13+1,1))</f>
        <v>542.90832990875208</v>
      </c>
      <c r="CZ4" s="60">
        <f>$CZ$3</f>
        <v>304.94365539329362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0" t="e">
        <f t="shared" ref="DS4:DS67" si="17">DR4+(DJ4+DK4)*44/12</f>
        <v>#N/A</v>
      </c>
      <c r="DT4" s="60" t="e">
        <f ca="1">AVERAGE(OFFSET($DS$3,0,0,'Données projet'!$E$14+1,1))-AVERAGE(OFFSET($H$3,0,0,'Données projet'!$E$14+1,1))</f>
        <v>#N/A</v>
      </c>
      <c r="DU4" s="60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0" t="e">
        <f t="shared" ref="EN4:EN67" si="20">EM4+(EE4+EF4)*44/12</f>
        <v>#N/A</v>
      </c>
      <c r="EO4" s="60" t="e">
        <f ca="1">AVERAGE(OFFSET($EN$3,0,0,'Données projet'!$E$15+1,1))-AVERAGE(OFFSET($H$3,0,0,'Données projet'!$E$15+1,1))</f>
        <v>#N/A</v>
      </c>
      <c r="EP4" s="60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0" t="e">
        <f t="shared" ref="FI4:FI67" si="23">FH4+(EZ4+FA4)*44/12</f>
        <v>#N/A</v>
      </c>
      <c r="FJ4" s="60" t="e">
        <f ca="1">AVERAGE(OFFSET($FI$3,0,0,'Données projet'!$E$16+1,1))-AVERAGE(OFFSET($H$3,0,0,'Données projet'!$E$16+1,1))</f>
        <v>#N/A</v>
      </c>
      <c r="FK4" s="60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0" t="e">
        <f t="shared" ref="GD4:GD67" si="26">GC4+(FU4+FV4)*44/12</f>
        <v>#N/A</v>
      </c>
      <c r="GE4" s="60" t="e">
        <f ca="1">AVERAGE(OFFSET($GD$3,0,0,'Données projet'!$E$17+1,1))-AVERAGE(OFFSET($H$3,0,0,'Données projet'!$E$17+1,1))</f>
        <v>#N/A</v>
      </c>
      <c r="GF4" s="60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4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3.4425641025641025</v>
      </c>
      <c r="N5" s="14">
        <f>IF('Données projet'!$A$36&gt;35,N4+M5-V4,IF(A5&lt;'Données projet'!$A$36,$K$205^A5,IF(A5='Données projet'!$A$36,'Données projet'!$B$36,N4+M5-V4)))</f>
        <v>1.3622815852065062</v>
      </c>
      <c r="O5" s="14">
        <f>N5*VLOOKUP('Données projet'!$B$9,Paramètres!$A$1:$I$89,3,0)*VLOOKUP('Données projet'!$B$9,Paramètres!$A$1:$I$89,5,0)</f>
        <v>0.63754778187664485</v>
      </c>
      <c r="P5" s="14">
        <f t="shared" ref="P5:P68" si="33">EXP(-1.0587+0.8836*LN(O5)+0.284)</f>
        <v>0.30961323785545058</v>
      </c>
      <c r="Q5" s="22">
        <f t="shared" si="2"/>
        <v>1.6496387760333995</v>
      </c>
      <c r="R5" s="60">
        <f t="shared" si="0"/>
        <v>172.24692006353425</v>
      </c>
      <c r="S5" s="60">
        <f ca="1">AVERAGE(OFFSET($R$3,0,0,'Données projet'!$E$9+1,1))-AVERAGE(OFFSET($H$3,0,0,'Données projet'!$E$9+1,1))</f>
        <v>277.7918215389401</v>
      </c>
      <c r="T5" s="60">
        <f t="shared" ref="T5:T68" si="34">$T$3</f>
        <v>164.65640238394164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IF('Données projet'!$A$62&gt;35,AI4+AH5-AQ4,IF(A5&lt;'Données projet'!$A$62,$AF$205^A5,IF(A5='Données projet'!$A$62,'Données projet'!$B$62,AI4+AH5-AQ4)))</f>
        <v>1.4531984602822681</v>
      </c>
      <c r="AJ5" s="14">
        <f>AI5*VLOOKUP('Données projet'!$B$10,Paramètres!$A$1:$I$89,3,0)*VLOOKUP('Données projet'!$B$10,Paramètres!$A$1:$I$89,5,0)</f>
        <v>1.3148539668633961</v>
      </c>
      <c r="AK5" s="14">
        <f t="shared" ref="AK5:AK68" si="35">EXP(-1.0587+0.8836*LN(AJ5)+0.284)</f>
        <v>0.58693801963664449</v>
      </c>
      <c r="AL5" s="22">
        <f t="shared" si="4"/>
        <v>3.3122877098209038</v>
      </c>
      <c r="AM5" s="60">
        <f t="shared" si="5"/>
        <v>173.90956899732174</v>
      </c>
      <c r="AN5" s="60">
        <f ca="1">AVERAGE(OFFSET($AM$3,0,0,'Données projet'!$E$10+1,1))-AVERAGE(OFFSET($H$3,0,0,'Données projet'!$E$10+1,1))</f>
        <v>469.67944008675863</v>
      </c>
      <c r="AO5" s="60">
        <f t="shared" ref="AO5:AO68" si="36">$AO$3</f>
        <v>266.11908070867173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3.2392083333333335</v>
      </c>
      <c r="BD5" s="13">
        <f>IF('Données projet'!$A$88&gt;35,BD4+BC5-BL4,IF(A5&lt;'Données projet'!$A$88,$BA$205^A5,IF(A5='Données projet'!$A$88,'Données projet'!$B$88,BD4+BC5-BL4)))</f>
        <v>1.8405036703135926</v>
      </c>
      <c r="BE5" s="14">
        <f>BD5*VLOOKUP('Données projet'!$B$11,Paramètres!$A$1:$I$89,3,0)*VLOOKUP('Données projet'!$B$11,Paramètres!$A$1:$I$89,5,0)</f>
        <v>1.1006211948475284</v>
      </c>
      <c r="BF5" s="14">
        <f t="shared" ref="BF5:BF68" si="37">EXP(-1.0587+0.8836*LN(BE5)+0.284)</f>
        <v>0.5015835540976048</v>
      </c>
      <c r="BG5" s="22">
        <f t="shared" si="7"/>
        <v>2.7905066044127733</v>
      </c>
      <c r="BH5" s="60">
        <f t="shared" si="8"/>
        <v>173.3877878919136</v>
      </c>
      <c r="BI5" s="60">
        <f ca="1">AVERAGE(OFFSET($BH$3,0,0,'Données projet'!$E$11+1,1))-AVERAGE(OFFSET($H$3,0,0,'Données projet'!$E$11+1,1))</f>
        <v>216.36762889365235</v>
      </c>
      <c r="BJ5" s="60">
        <f t="shared" ref="BJ5:BJ68" si="38">$BJ$3</f>
        <v>333.29599352215496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2.1</v>
      </c>
      <c r="BY5" s="13">
        <f>IF('Données projet'!$A$114&gt;35,BY4+BX5-CG4,IF(A5&lt;'Données projet'!$A$114,$BV$205^A5,IF(A5='Données projet'!$A$114,'Données projet'!$B$114,BY4+BX5-CG4)))</f>
        <v>1.4531984602822681</v>
      </c>
      <c r="BZ5" s="14">
        <f>BY5*VLOOKUP('Données projet'!$B$12,Paramètres!$A$1:$I$89,3,0)*VLOOKUP('Données projet'!$B$12,Paramètres!$A$1:$I$89,5,0)</f>
        <v>1.4055335507850097</v>
      </c>
      <c r="CA5" s="14">
        <f t="shared" ref="CA5:CA68" si="39">EXP(-1.0587+0.8836*LN(BZ5)+0.284)</f>
        <v>0.62256480317525631</v>
      </c>
      <c r="CB5" s="22">
        <f t="shared" si="10"/>
        <v>3.5322712998141292</v>
      </c>
      <c r="CC5" s="60">
        <f t="shared" si="11"/>
        <v>174.12955258731498</v>
      </c>
      <c r="CD5" s="60">
        <f ca="1">AVERAGE(OFFSET($CC$3,0,0,'Données projet'!$E$12+1,1))-AVERAGE(OFFSET($H$3,0,0,'Données projet'!$E$12+1,1))</f>
        <v>496.33873798282525</v>
      </c>
      <c r="CE5" s="60">
        <f t="shared" ref="CE5:CE68" si="40">$CE$3</f>
        <v>280.25465074992246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2.1</v>
      </c>
      <c r="CT5" s="13">
        <f>IF('Données projet'!$A$140&gt;35,CT4+CS5-DB4,IF(A5&lt;'Données projet'!$A$140,$CQ$205^A5,IF(A5='Données projet'!$A$140,'Données projet'!$B$140,CT4+CS5-DB4)))</f>
        <v>1.4531984602822681</v>
      </c>
      <c r="CU5" s="18">
        <f>CT5*VLOOKUP('Données projet'!$B$13,Paramètres!$A$1:$I$89,3,0)*VLOOKUP('Données projet'!$B$13,Paramètres!$A$1:$I$89,5,0)</f>
        <v>1.5642228226478332</v>
      </c>
      <c r="CV5" s="14">
        <f t="shared" ref="CV5:CV68" si="41">EXP(-1.0587+0.8836*LN(CU5)+0.284)</f>
        <v>0.68428075179095682</v>
      </c>
      <c r="CW5" s="22">
        <f t="shared" si="13"/>
        <v>3.9161437254808931</v>
      </c>
      <c r="CX5" s="60">
        <f t="shared" si="14"/>
        <v>174.51342501298171</v>
      </c>
      <c r="CY5" s="60">
        <f ca="1">AVERAGE(OFFSET($CX$3,0,0,'Données projet'!$E$13+1,1))-AVERAGE(OFFSET($H$3,0,0,'Données projet'!$E$13+1,1))</f>
        <v>542.90832990875208</v>
      </c>
      <c r="CZ5" s="60">
        <f t="shared" ref="CZ5:CZ68" si="42">$CZ$3</f>
        <v>304.94365539329362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0" t="e">
        <f t="shared" si="17"/>
        <v>#N/A</v>
      </c>
      <c r="DT5" s="60" t="e">
        <f ca="1">AVERAGE(OFFSET($DS$3,0,0,'Données projet'!$E$14+1,1))-AVERAGE(OFFSET($H$3,0,0,'Données projet'!$E$14+1,1))</f>
        <v>#N/A</v>
      </c>
      <c r="DU5" s="60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0" t="e">
        <f t="shared" si="20"/>
        <v>#N/A</v>
      </c>
      <c r="EO5" s="60" t="e">
        <f ca="1">AVERAGE(OFFSET($EN$3,0,0,'Données projet'!$E$15+1,1))-AVERAGE(OFFSET($H$3,0,0,'Données projet'!$E$15+1,1))</f>
        <v>#N/A</v>
      </c>
      <c r="EP5" s="60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0" t="e">
        <f t="shared" si="23"/>
        <v>#N/A</v>
      </c>
      <c r="FJ5" s="60" t="e">
        <f ca="1">AVERAGE(OFFSET($FI$3,0,0,'Données projet'!$E$16+1,1))-AVERAGE(OFFSET($H$3,0,0,'Données projet'!$E$16+1,1))</f>
        <v>#N/A</v>
      </c>
      <c r="FK5" s="60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0" t="e">
        <f t="shared" si="26"/>
        <v>#N/A</v>
      </c>
      <c r="GE5" s="60" t="e">
        <f ca="1">AVERAGE(OFFSET($GD$3,0,0,'Données projet'!$E$17+1,1))-AVERAGE(OFFSET($H$3,0,0,'Données projet'!$E$17+1,1))</f>
        <v>#N/A</v>
      </c>
      <c r="GF5" s="60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4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3.4425641025641025</v>
      </c>
      <c r="N6" s="14">
        <f>IF('Données projet'!$A$36&gt;35,N5+M6-V5,IF(A6&lt;'Données projet'!$A$36,$K$205^A6,IF(A6='Données projet'!$A$36,'Données projet'!$B$36,N5+M6-V5)))</f>
        <v>1.590011732927042</v>
      </c>
      <c r="O6" s="14">
        <f>N6*VLOOKUP('Données projet'!$B$9,Paramètres!$A$1:$I$89,3,0)*VLOOKUP('Données projet'!$B$9,Paramètres!$A$1:$I$89,5,0)</f>
        <v>0.7441254910098557</v>
      </c>
      <c r="P6" s="14">
        <f t="shared" si="33"/>
        <v>0.35492666750402163</v>
      </c>
      <c r="Q6" s="22">
        <f t="shared" si="2"/>
        <v>1.9141825094116696</v>
      </c>
      <c r="R6" s="60">
        <f t="shared" si="0"/>
        <v>175.26920307929655</v>
      </c>
      <c r="S6" s="60">
        <f ca="1">AVERAGE(OFFSET($R$3,0,0,'Données projet'!$E$9+1,1))-AVERAGE(OFFSET($H$3,0,0,'Données projet'!$E$9+1,1))</f>
        <v>277.7918215389401</v>
      </c>
      <c r="T6" s="60">
        <f t="shared" si="34"/>
        <v>164.65640238394164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IF('Données projet'!$A$62&gt;35,AI5+AH6-AQ5,IF(A6&lt;'Données projet'!$A$62,$AF$205^A6,IF(A6='Données projet'!$A$62,'Données projet'!$B$62,AI5+AH6-AQ5)))</f>
        <v>1.7518115829322798</v>
      </c>
      <c r="AJ6" s="14">
        <f>AI6*VLOOKUP('Données projet'!$B$10,Paramètres!$A$1:$I$89,3,0)*VLOOKUP('Données projet'!$B$10,Paramètres!$A$1:$I$89,5,0)</f>
        <v>1.5850391202371266</v>
      </c>
      <c r="AK6" s="14">
        <f t="shared" si="35"/>
        <v>0.69232082604846479</v>
      </c>
      <c r="AL6" s="22">
        <f t="shared" si="4"/>
        <v>3.966401906447405</v>
      </c>
      <c r="AM6" s="60">
        <f t="shared" si="5"/>
        <v>177.32142247633229</v>
      </c>
      <c r="AN6" s="60">
        <f ca="1">AVERAGE(OFFSET($AM$3,0,0,'Données projet'!$E$10+1,1))-AVERAGE(OFFSET($H$3,0,0,'Données projet'!$E$10+1,1))</f>
        <v>469.67944008675863</v>
      </c>
      <c r="AO6" s="60">
        <f t="shared" si="36"/>
        <v>266.11908070867173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3.2392083333333335</v>
      </c>
      <c r="BD6" s="13">
        <f>IF('Données projet'!$A$88&gt;35,BD5+BC6-BL5,IF(A6&lt;'Données projet'!$A$88,$BA$205^A6,IF(A6='Données projet'!$A$88,'Données projet'!$B$88,BD5+BC6-BL5)))</f>
        <v>2.4969223213995591</v>
      </c>
      <c r="BE6" s="14">
        <f>BD6*VLOOKUP('Données projet'!$B$11,Paramètres!$A$1:$I$89,3,0)*VLOOKUP('Données projet'!$B$11,Paramètres!$A$1:$I$89,5,0)</f>
        <v>1.4931595481969364</v>
      </c>
      <c r="BF6" s="14">
        <f t="shared" si="37"/>
        <v>0.6567382586916034</v>
      </c>
      <c r="BG6" s="22">
        <f t="shared" si="7"/>
        <v>3.74440534699754</v>
      </c>
      <c r="BH6" s="60">
        <f t="shared" si="8"/>
        <v>177.09942591688244</v>
      </c>
      <c r="BI6" s="60">
        <f ca="1">AVERAGE(OFFSET($BH$3,0,0,'Données projet'!$E$11+1,1))-AVERAGE(OFFSET($H$3,0,0,'Données projet'!$E$11+1,1))</f>
        <v>216.36762889365235</v>
      </c>
      <c r="BJ6" s="60">
        <f t="shared" si="38"/>
        <v>333.29599352215496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2.1</v>
      </c>
      <c r="BY6" s="13">
        <f>IF('Données projet'!$A$114&gt;35,BY5+BX6-CG5,IF(A6&lt;'Données projet'!$A$114,$BV$205^A6,IF(A6='Données projet'!$A$114,'Données projet'!$B$114,BY5+BX6-CG5)))</f>
        <v>1.7518115829322798</v>
      </c>
      <c r="BZ6" s="14">
        <f>BY6*VLOOKUP('Données projet'!$B$12,Paramètres!$A$1:$I$89,3,0)*VLOOKUP('Données projet'!$B$12,Paramètres!$A$1:$I$89,5,0)</f>
        <v>1.694352163012101</v>
      </c>
      <c r="CA6" s="14">
        <f t="shared" si="39"/>
        <v>0.73434428233124405</v>
      </c>
      <c r="CB6" s="22">
        <f t="shared" si="10"/>
        <v>4.2299796423063247</v>
      </c>
      <c r="CC6" s="60">
        <f t="shared" si="11"/>
        <v>177.5850002121912</v>
      </c>
      <c r="CD6" s="60">
        <f ca="1">AVERAGE(OFFSET($CC$3,0,0,'Données projet'!$E$12+1,1))-AVERAGE(OFFSET($H$3,0,0,'Données projet'!$E$12+1,1))</f>
        <v>496.33873798282525</v>
      </c>
      <c r="CE6" s="60">
        <f t="shared" si="40"/>
        <v>280.25465074992246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2.1</v>
      </c>
      <c r="CT6" s="13">
        <f>IF('Données projet'!$A$140&gt;35,CT5+CS6-DB5,IF(A6&lt;'Données projet'!$A$140,$CQ$205^A6,IF(A6='Données projet'!$A$140,'Données projet'!$B$140,CT5+CS6-DB5)))</f>
        <v>1.7518115829322798</v>
      </c>
      <c r="CU6" s="18">
        <f>CT6*VLOOKUP('Données projet'!$B$13,Paramètres!$A$1:$I$89,3,0)*VLOOKUP('Données projet'!$B$13,Paramètres!$A$1:$I$89,5,0)</f>
        <v>1.885649987868306</v>
      </c>
      <c r="CV6" s="14">
        <f t="shared" si="41"/>
        <v>0.8071411281590839</v>
      </c>
      <c r="CW6" s="22">
        <f t="shared" si="13"/>
        <v>4.6899445270810372</v>
      </c>
      <c r="CX6" s="60">
        <f t="shared" si="14"/>
        <v>178.04496509696591</v>
      </c>
      <c r="CY6" s="60">
        <f ca="1">AVERAGE(OFFSET($CX$3,0,0,'Données projet'!$E$13+1,1))-AVERAGE(OFFSET($H$3,0,0,'Données projet'!$E$13+1,1))</f>
        <v>542.90832990875208</v>
      </c>
      <c r="CZ6" s="60">
        <f t="shared" si="42"/>
        <v>304.94365539329362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0" t="e">
        <f t="shared" si="17"/>
        <v>#N/A</v>
      </c>
      <c r="DT6" s="60" t="e">
        <f ca="1">AVERAGE(OFFSET($DS$3,0,0,'Données projet'!$E$14+1,1))-AVERAGE(OFFSET($H$3,0,0,'Données projet'!$E$14+1,1))</f>
        <v>#N/A</v>
      </c>
      <c r="DU6" s="60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0" t="e">
        <f t="shared" si="20"/>
        <v>#N/A</v>
      </c>
      <c r="EO6" s="60" t="e">
        <f ca="1">AVERAGE(OFFSET($EN$3,0,0,'Données projet'!$E$15+1,1))-AVERAGE(OFFSET($H$3,0,0,'Données projet'!$E$15+1,1))</f>
        <v>#N/A</v>
      </c>
      <c r="EP6" s="60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0" t="e">
        <f t="shared" si="23"/>
        <v>#N/A</v>
      </c>
      <c r="FJ6" s="60" t="e">
        <f ca="1">AVERAGE(OFFSET($FI$3,0,0,'Données projet'!$E$16+1,1))-AVERAGE(OFFSET($H$3,0,0,'Données projet'!$E$16+1,1))</f>
        <v>#N/A</v>
      </c>
      <c r="FK6" s="60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0" t="e">
        <f t="shared" si="26"/>
        <v>#N/A</v>
      </c>
      <c r="GE6" s="60" t="e">
        <f ca="1">AVERAGE(OFFSET($GD$3,0,0,'Données projet'!$E$17+1,1))-AVERAGE(OFFSET($H$3,0,0,'Données projet'!$E$17+1,1))</f>
        <v>#N/A</v>
      </c>
      <c r="GF6" s="60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4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3.4425641025641025</v>
      </c>
      <c r="N7" s="14">
        <f>IF('Données projet'!$A$36&gt;35,N6+M7-V6,IF(A7&lt;'Données projet'!$A$36,$K$205^A7,IF(A7='Données projet'!$A$36,'Données projet'!$B$36,N6+M7-V6)))</f>
        <v>1.8558111173927514</v>
      </c>
      <c r="O7" s="14">
        <f>N7*VLOOKUP('Données projet'!$B$9,Paramètres!$A$1:$I$89,3,0)*VLOOKUP('Données projet'!$B$9,Paramètres!$A$1:$I$89,5,0)</f>
        <v>0.86851960293980757</v>
      </c>
      <c r="P7" s="14">
        <f t="shared" si="33"/>
        <v>0.40687194183965542</v>
      </c>
      <c r="Q7" s="22">
        <f t="shared" si="2"/>
        <v>2.2213069404908978</v>
      </c>
      <c r="R7" s="60">
        <f t="shared" si="0"/>
        <v>178.30742900466785</v>
      </c>
      <c r="S7" s="60">
        <f ca="1">AVERAGE(OFFSET($R$3,0,0,'Données projet'!$E$9+1,1))-AVERAGE(OFFSET($H$3,0,0,'Données projet'!$E$9+1,1))</f>
        <v>277.7918215389401</v>
      </c>
      <c r="T7" s="60">
        <f t="shared" si="34"/>
        <v>164.65640238394164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IF('Données projet'!$A$62&gt;35,AI6+AH7-AQ6,IF(A7&lt;'Données projet'!$A$62,$AF$205^A7,IF(A7='Données projet'!$A$62,'Données projet'!$B$62,AI6+AH7-AQ6)))</f>
        <v>2.1117857649667546</v>
      </c>
      <c r="AJ7" s="14">
        <f>AI7*VLOOKUP('Données projet'!$B$10,Paramètres!$A$1:$I$89,3,0)*VLOOKUP('Données projet'!$B$10,Paramètres!$A$1:$I$89,5,0)</f>
        <v>1.9107437601419195</v>
      </c>
      <c r="AK7" s="14">
        <f t="shared" si="35"/>
        <v>0.81662477151702284</v>
      </c>
      <c r="AL7" s="22">
        <f t="shared" si="4"/>
        <v>4.7501668593059909</v>
      </c>
      <c r="AM7" s="60">
        <f t="shared" si="5"/>
        <v>180.83628892348293</v>
      </c>
      <c r="AN7" s="60">
        <f ca="1">AVERAGE(OFFSET($AM$3,0,0,'Données projet'!$E$10+1,1))-AVERAGE(OFFSET($H$3,0,0,'Données projet'!$E$10+1,1))</f>
        <v>469.67944008675863</v>
      </c>
      <c r="AO7" s="60">
        <f t="shared" si="36"/>
        <v>266.11908070867173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3.2392083333333335</v>
      </c>
      <c r="BD7" s="13">
        <f>IF('Données projet'!$A$88&gt;35,BD6+BC7-BL6,IF(A7&lt;'Données projet'!$A$88,$BA$205^A7,IF(A7='Données projet'!$A$88,'Données projet'!$B$88,BD6+BC7-BL6)))</f>
        <v>3.3874537604378059</v>
      </c>
      <c r="BE7" s="14">
        <f>BD7*VLOOKUP('Données projet'!$B$11,Paramètres!$A$1:$I$89,3,0)*VLOOKUP('Données projet'!$B$11,Paramètres!$A$1:$I$89,5,0)</f>
        <v>2.025697348741808</v>
      </c>
      <c r="BF7" s="14">
        <f t="shared" si="37"/>
        <v>0.85988692592849703</v>
      </c>
      <c r="BG7" s="22">
        <f t="shared" si="7"/>
        <v>5.0257259450507812</v>
      </c>
      <c r="BH7" s="60">
        <f t="shared" si="8"/>
        <v>181.11184800922774</v>
      </c>
      <c r="BI7" s="60">
        <f ca="1">AVERAGE(OFFSET($BH$3,0,0,'Données projet'!$E$11+1,1))-AVERAGE(OFFSET($H$3,0,0,'Données projet'!$E$11+1,1))</f>
        <v>216.36762889365235</v>
      </c>
      <c r="BJ7" s="60">
        <f t="shared" si="38"/>
        <v>333.29599352215496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2.1</v>
      </c>
      <c r="BY7" s="13">
        <f>IF('Données projet'!$A$114&gt;35,BY6+BX7-CG6,IF(A7&lt;'Données projet'!$A$114,$BV$205^A7,IF(A7='Données projet'!$A$114,'Données projet'!$B$114,BY6+BX7-CG6)))</f>
        <v>2.1117857649667546</v>
      </c>
      <c r="BZ7" s="14">
        <f>BY7*VLOOKUP('Données projet'!$B$12,Paramètres!$A$1:$I$89,3,0)*VLOOKUP('Données projet'!$B$12,Paramètres!$A$1:$I$89,5,0)</f>
        <v>2.042519191875845</v>
      </c>
      <c r="CA7" s="14">
        <f t="shared" si="39"/>
        <v>0.86619340226463792</v>
      </c>
      <c r="CB7" s="22">
        <f t="shared" si="10"/>
        <v>5.0660077681280073</v>
      </c>
      <c r="CC7" s="60">
        <f t="shared" si="11"/>
        <v>181.15212983230495</v>
      </c>
      <c r="CD7" s="60">
        <f ca="1">AVERAGE(OFFSET($CC$3,0,0,'Données projet'!$E$12+1,1))-AVERAGE(OFFSET($H$3,0,0,'Données projet'!$E$12+1,1))</f>
        <v>496.33873798282525</v>
      </c>
      <c r="CE7" s="60">
        <f t="shared" si="40"/>
        <v>280.25465074992246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2.1</v>
      </c>
      <c r="CT7" s="13">
        <f>IF('Données projet'!$A$140&gt;35,CT6+CS7-DB6,IF(A7&lt;'Données projet'!$A$140,$CQ$205^A7,IF(A7='Données projet'!$A$140,'Données projet'!$B$140,CT6+CS7-DB6)))</f>
        <v>2.1117857649667546</v>
      </c>
      <c r="CU7" s="18">
        <f>CT7*VLOOKUP('Données projet'!$B$13,Paramètres!$A$1:$I$89,3,0)*VLOOKUP('Données projet'!$B$13,Paramètres!$A$1:$I$89,5,0)</f>
        <v>2.2731261974102144</v>
      </c>
      <c r="CV7" s="14">
        <f t="shared" si="41"/>
        <v>0.95206068424520052</v>
      </c>
      <c r="CW7" s="22">
        <f t="shared" si="13"/>
        <v>5.617200485549847</v>
      </c>
      <c r="CX7" s="60">
        <f t="shared" si="14"/>
        <v>181.70332254972681</v>
      </c>
      <c r="CY7" s="60">
        <f ca="1">AVERAGE(OFFSET($CX$3,0,0,'Données projet'!$E$13+1,1))-AVERAGE(OFFSET($H$3,0,0,'Données projet'!$E$13+1,1))</f>
        <v>542.90832990875208</v>
      </c>
      <c r="CZ7" s="60">
        <f t="shared" si="42"/>
        <v>304.94365539329362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0" t="e">
        <f t="shared" si="17"/>
        <v>#N/A</v>
      </c>
      <c r="DT7" s="60" t="e">
        <f ca="1">AVERAGE(OFFSET($DS$3,0,0,'Données projet'!$E$14+1,1))-AVERAGE(OFFSET($H$3,0,0,'Données projet'!$E$14+1,1))</f>
        <v>#N/A</v>
      </c>
      <c r="DU7" s="60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0" t="e">
        <f t="shared" si="20"/>
        <v>#N/A</v>
      </c>
      <c r="EO7" s="60" t="e">
        <f ca="1">AVERAGE(OFFSET($EN$3,0,0,'Données projet'!$E$15+1,1))-AVERAGE(OFFSET($H$3,0,0,'Données projet'!$E$15+1,1))</f>
        <v>#N/A</v>
      </c>
      <c r="EP7" s="60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0" t="e">
        <f t="shared" si="23"/>
        <v>#N/A</v>
      </c>
      <c r="FJ7" s="60" t="e">
        <f ca="1">AVERAGE(OFFSET($FI$3,0,0,'Données projet'!$E$16+1,1))-AVERAGE(OFFSET($H$3,0,0,'Données projet'!$E$16+1,1))</f>
        <v>#N/A</v>
      </c>
      <c r="FK7" s="60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0" t="e">
        <f t="shared" si="26"/>
        <v>#N/A</v>
      </c>
      <c r="GE7" s="60" t="e">
        <f ca="1">AVERAGE(OFFSET($GD$3,0,0,'Données projet'!$E$17+1,1))-AVERAGE(OFFSET($H$3,0,0,'Données projet'!$E$17+1,1))</f>
        <v>#N/A</v>
      </c>
      <c r="GF7" s="60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4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3.4425641025641025</v>
      </c>
      <c r="N8" s="14">
        <f>IF('Données projet'!$A$36&gt;35,N7+M8-V7,IF(A8&lt;'Données projet'!$A$36,$K$205^A8,IF(A8='Données projet'!$A$36,'Données projet'!$B$36,N7+M8-V7)))</f>
        <v>2.1660437040287945</v>
      </c>
      <c r="O8" s="14">
        <f>N8*VLOOKUP('Données projet'!$B$9,Paramètres!$A$1:$I$89,3,0)*VLOOKUP('Données projet'!$B$9,Paramètres!$A$1:$I$89,5,0)</f>
        <v>1.0137084534854759</v>
      </c>
      <c r="P8" s="14">
        <f t="shared" si="33"/>
        <v>0.46641966415357117</v>
      </c>
      <c r="Q8" s="22">
        <f t="shared" si="2"/>
        <v>2.5778898048880068</v>
      </c>
      <c r="R8" s="60">
        <f t="shared" si="0"/>
        <v>181.36893768133535</v>
      </c>
      <c r="S8" s="60">
        <f ca="1">AVERAGE(OFFSET($R$3,0,0,'Données projet'!$E$9+1,1))-AVERAGE(OFFSET($H$3,0,0,'Données projet'!$E$9+1,1))</f>
        <v>277.7918215389401</v>
      </c>
      <c r="T8" s="60">
        <f t="shared" si="34"/>
        <v>164.65640238394164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IF('Données projet'!$A$62&gt;35,AI7+AH8-AQ7,IF(A8&lt;'Données projet'!$A$62,$AF$205^A8,IF(A8='Données projet'!$A$62,'Données projet'!$B$62,AI7+AH8-AQ7)))</f>
        <v>2.5457298950218314</v>
      </c>
      <c r="AJ8" s="14">
        <f>AI8*VLOOKUP('Données projet'!$B$10,Paramètres!$A$1:$I$89,3,0)*VLOOKUP('Données projet'!$B$10,Paramètres!$A$1:$I$89,5,0)</f>
        <v>2.3033764090157529</v>
      </c>
      <c r="AK8" s="14">
        <f t="shared" si="35"/>
        <v>0.96324708482559218</v>
      </c>
      <c r="AL8" s="22">
        <f t="shared" si="4"/>
        <v>5.6893692517736758</v>
      </c>
      <c r="AM8" s="60">
        <f t="shared" si="5"/>
        <v>184.48041712822103</v>
      </c>
      <c r="AN8" s="60">
        <f ca="1">AVERAGE(OFFSET($AM$3,0,0,'Données projet'!$E$10+1,1))-AVERAGE(OFFSET($H$3,0,0,'Données projet'!$E$10+1,1))</f>
        <v>469.67944008675863</v>
      </c>
      <c r="AO8" s="60">
        <f t="shared" si="36"/>
        <v>266.11908070867173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3.2392083333333335</v>
      </c>
      <c r="BD8" s="13">
        <f>IF('Données projet'!$A$88&gt;35,BD7+BC8-BL7,IF(A8&lt;'Données projet'!$A$88,$BA$205^A8,IF(A8='Données projet'!$A$88,'Données projet'!$B$88,BD7+BC8-BL7)))</f>
        <v>4.5955946970238246</v>
      </c>
      <c r="BE8" s="14">
        <f>BD8*VLOOKUP('Données projet'!$B$11,Paramètres!$A$1:$I$89,3,0)*VLOOKUP('Données projet'!$B$11,Paramètres!$A$1:$I$89,5,0)</f>
        <v>2.7481656288202476</v>
      </c>
      <c r="BF8" s="14">
        <f t="shared" si="37"/>
        <v>1.1258755152408089</v>
      </c>
      <c r="BG8" s="22">
        <f t="shared" si="7"/>
        <v>6.7472883259063394</v>
      </c>
      <c r="BH8" s="60">
        <f t="shared" si="8"/>
        <v>185.53833620235369</v>
      </c>
      <c r="BI8" s="60">
        <f ca="1">AVERAGE(OFFSET($BH$3,0,0,'Données projet'!$E$11+1,1))-AVERAGE(OFFSET($H$3,0,0,'Données projet'!$E$11+1,1))</f>
        <v>216.36762889365235</v>
      </c>
      <c r="BJ8" s="60">
        <f t="shared" si="38"/>
        <v>333.29599352215496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2.1</v>
      </c>
      <c r="BY8" s="13">
        <f>IF('Données projet'!$A$114&gt;35,BY7+BX8-CG7,IF(A8&lt;'Données projet'!$A$114,$BV$205^A8,IF(A8='Données projet'!$A$114,'Données projet'!$B$114,BY7+BX8-CG7)))</f>
        <v>2.5457298950218314</v>
      </c>
      <c r="BZ8" s="14">
        <f>BY8*VLOOKUP('Données projet'!$B$12,Paramètres!$A$1:$I$89,3,0)*VLOOKUP('Données projet'!$B$12,Paramètres!$A$1:$I$89,5,0)</f>
        <v>2.4622299544651152</v>
      </c>
      <c r="CA8" s="14">
        <f t="shared" si="39"/>
        <v>1.021715601495419</v>
      </c>
      <c r="CB8" s="22">
        <f t="shared" si="10"/>
        <v>6.0678718432979295</v>
      </c>
      <c r="CC8" s="60">
        <f t="shared" si="11"/>
        <v>184.85891971974527</v>
      </c>
      <c r="CD8" s="60">
        <f ca="1">AVERAGE(OFFSET($CC$3,0,0,'Données projet'!$E$12+1,1))-AVERAGE(OFFSET($H$3,0,0,'Données projet'!$E$12+1,1))</f>
        <v>496.33873798282525</v>
      </c>
      <c r="CE8" s="60">
        <f t="shared" si="40"/>
        <v>280.25465074992246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2.1</v>
      </c>
      <c r="CT8" s="13">
        <f>IF('Données projet'!$A$140&gt;35,CT7+CS8-DB7,IF(A8&lt;'Données projet'!$A$140,$CQ$205^A8,IF(A8='Données projet'!$A$140,'Données projet'!$B$140,CT7+CS8-DB7)))</f>
        <v>2.5457298950218314</v>
      </c>
      <c r="CU8" s="18">
        <f>CT8*VLOOKUP('Données projet'!$B$13,Paramètres!$A$1:$I$89,3,0)*VLOOKUP('Données projet'!$B$13,Paramètres!$A$1:$I$89,5,0)</f>
        <v>2.740223659001499</v>
      </c>
      <c r="CV8" s="14">
        <f t="shared" si="41"/>
        <v>1.1230000737947632</v>
      </c>
      <c r="CW8" s="22">
        <f t="shared" si="13"/>
        <v>6.7284480012868242</v>
      </c>
      <c r="CX8" s="60">
        <f t="shared" si="14"/>
        <v>185.51949587773419</v>
      </c>
      <c r="CY8" s="60">
        <f ca="1">AVERAGE(OFFSET($CX$3,0,0,'Données projet'!$E$13+1,1))-AVERAGE(OFFSET($H$3,0,0,'Données projet'!$E$13+1,1))</f>
        <v>542.90832990875208</v>
      </c>
      <c r="CZ8" s="60">
        <f t="shared" si="42"/>
        <v>304.94365539329362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0" t="e">
        <f t="shared" si="17"/>
        <v>#N/A</v>
      </c>
      <c r="DT8" s="60" t="e">
        <f ca="1">AVERAGE(OFFSET($DS$3,0,0,'Données projet'!$E$14+1,1))-AVERAGE(OFFSET($H$3,0,0,'Données projet'!$E$14+1,1))</f>
        <v>#N/A</v>
      </c>
      <c r="DU8" s="60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0" t="e">
        <f t="shared" si="20"/>
        <v>#N/A</v>
      </c>
      <c r="EO8" s="60" t="e">
        <f ca="1">AVERAGE(OFFSET($EN$3,0,0,'Données projet'!$E$15+1,1))-AVERAGE(OFFSET($H$3,0,0,'Données projet'!$E$15+1,1))</f>
        <v>#N/A</v>
      </c>
      <c r="EP8" s="60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0" t="e">
        <f t="shared" si="23"/>
        <v>#N/A</v>
      </c>
      <c r="FJ8" s="60" t="e">
        <f ca="1">AVERAGE(OFFSET($FI$3,0,0,'Données projet'!$E$16+1,1))-AVERAGE(OFFSET($H$3,0,0,'Données projet'!$E$16+1,1))</f>
        <v>#N/A</v>
      </c>
      <c r="FK8" s="60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0" t="e">
        <f t="shared" si="26"/>
        <v>#N/A</v>
      </c>
      <c r="GE8" s="60" t="e">
        <f ca="1">AVERAGE(OFFSET($GD$3,0,0,'Données projet'!$E$17+1,1))-AVERAGE(OFFSET($H$3,0,0,'Données projet'!$E$17+1,1))</f>
        <v>#N/A</v>
      </c>
      <c r="GF8" s="60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4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3.4425641025641025</v>
      </c>
      <c r="N9" s="14">
        <f>IF('Données projet'!$A$36&gt;35,N8+M9-V8,IF(A9&lt;'Données projet'!$A$36,$K$205^A9,IF(A9='Données projet'!$A$36,'Données projet'!$B$36,N8+M9-V8)))</f>
        <v>2.5281373108456551</v>
      </c>
      <c r="O9" s="14">
        <f>N9*VLOOKUP('Données projet'!$B$9,Paramètres!$A$1:$I$89,3,0)*VLOOKUP('Données projet'!$B$9,Paramètres!$A$1:$I$89,5,0)</f>
        <v>1.1831682614757666</v>
      </c>
      <c r="P9" s="14">
        <f t="shared" si="33"/>
        <v>0.53468249033221249</v>
      </c>
      <c r="Q9" s="22">
        <f t="shared" si="2"/>
        <v>2.9919233927322302</v>
      </c>
      <c r="R9" s="60">
        <f t="shared" si="0"/>
        <v>184.46217548899119</v>
      </c>
      <c r="S9" s="60">
        <f ca="1">AVERAGE(OFFSET($R$3,0,0,'Données projet'!$E$9+1,1))-AVERAGE(OFFSET($H$3,0,0,'Données projet'!$E$9+1,1))</f>
        <v>277.7918215389401</v>
      </c>
      <c r="T9" s="60">
        <f t="shared" si="34"/>
        <v>164.65640238394164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IF('Données projet'!$A$62&gt;35,AI8+AH9-AQ8,IF(A9&lt;'Données projet'!$A$62,$AF$205^A9,IF(A9='Données projet'!$A$62,'Données projet'!$B$62,AI8+AH9-AQ8)))</f>
        <v>3.0688438220956993</v>
      </c>
      <c r="AJ9" s="14">
        <f>AI9*VLOOKUP('Données projet'!$B$10,Paramètres!$A$1:$I$89,3,0)*VLOOKUP('Données projet'!$B$10,Paramètres!$A$1:$I$89,5,0)</f>
        <v>2.7766898902321886</v>
      </c>
      <c r="AK9" s="14">
        <f t="shared" si="35"/>
        <v>1.1361949561012803</v>
      </c>
      <c r="AL9" s="22">
        <f t="shared" si="4"/>
        <v>6.8149411073641248</v>
      </c>
      <c r="AM9" s="60">
        <f t="shared" si="5"/>
        <v>188.28519320362309</v>
      </c>
      <c r="AN9" s="60">
        <f ca="1">AVERAGE(OFFSET($AM$3,0,0,'Données projet'!$E$10+1,1))-AVERAGE(OFFSET($H$3,0,0,'Données projet'!$E$10+1,1))</f>
        <v>469.67944008675863</v>
      </c>
      <c r="AO9" s="60">
        <f t="shared" si="36"/>
        <v>266.11908070867173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3.2392083333333335</v>
      </c>
      <c r="BD9" s="13">
        <f>IF('Données projet'!$A$88&gt;35,BD8+BC9-BL8,IF(A9&lt;'Données projet'!$A$88,$BA$205^A9,IF(A9='Données projet'!$A$88,'Données projet'!$B$88,BD8+BC9-BL8)))</f>
        <v>6.2346210791033627</v>
      </c>
      <c r="BE9" s="14">
        <f>BD9*VLOOKUP('Données projet'!$B$11,Paramètres!$A$1:$I$89,3,0)*VLOOKUP('Données projet'!$B$11,Paramètres!$A$1:$I$89,5,0)</f>
        <v>3.7283034053038109</v>
      </c>
      <c r="BF9" s="14">
        <f t="shared" si="37"/>
        <v>1.4741422826611996</v>
      </c>
      <c r="BG9" s="22">
        <f t="shared" si="7"/>
        <v>9.0609262398723924</v>
      </c>
      <c r="BH9" s="60">
        <f t="shared" si="8"/>
        <v>190.53117833613138</v>
      </c>
      <c r="BI9" s="60">
        <f ca="1">AVERAGE(OFFSET($BH$3,0,0,'Données projet'!$E$11+1,1))-AVERAGE(OFFSET($H$3,0,0,'Données projet'!$E$11+1,1))</f>
        <v>216.36762889365235</v>
      </c>
      <c r="BJ9" s="60">
        <f t="shared" si="38"/>
        <v>333.29599352215496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2.1</v>
      </c>
      <c r="BY9" s="13">
        <f>IF('Données projet'!$A$114&gt;35,BY8+BX9-CG8,IF(A9&lt;'Données projet'!$A$114,$BV$205^A9,IF(A9='Données projet'!$A$114,'Données projet'!$B$114,BY8+BX9-CG8)))</f>
        <v>3.0688438220956993</v>
      </c>
      <c r="BZ9" s="14">
        <f>BY9*VLOOKUP('Données projet'!$B$12,Paramètres!$A$1:$I$89,3,0)*VLOOKUP('Données projet'!$B$12,Paramètres!$A$1:$I$89,5,0)</f>
        <v>2.9681857447309605</v>
      </c>
      <c r="CA9" s="14">
        <f t="shared" si="39"/>
        <v>1.2051613041728233</v>
      </c>
      <c r="CB9" s="22">
        <f t="shared" si="10"/>
        <v>7.2685794435074236</v>
      </c>
      <c r="CC9" s="60">
        <f t="shared" si="11"/>
        <v>188.73883153976641</v>
      </c>
      <c r="CD9" s="60">
        <f ca="1">AVERAGE(OFFSET($CC$3,0,0,'Données projet'!$E$12+1,1))-AVERAGE(OFFSET($H$3,0,0,'Données projet'!$E$12+1,1))</f>
        <v>496.33873798282525</v>
      </c>
      <c r="CE9" s="60">
        <f t="shared" si="40"/>
        <v>280.25465074992246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2.1</v>
      </c>
      <c r="CT9" s="13">
        <f>IF('Données projet'!$A$140&gt;35,CT8+CS9-DB8,IF(A9&lt;'Données projet'!$A$140,$CQ$205^A9,IF(A9='Données projet'!$A$140,'Données projet'!$B$140,CT8+CS9-DB8)))</f>
        <v>3.0688438220956993</v>
      </c>
      <c r="CU9" s="18">
        <f>CT9*VLOOKUP('Données projet'!$B$13,Paramètres!$A$1:$I$89,3,0)*VLOOKUP('Données projet'!$B$13,Paramètres!$A$1:$I$89,5,0)</f>
        <v>3.3033034901038101</v>
      </c>
      <c r="CV9" s="14">
        <f t="shared" si="41"/>
        <v>1.3246310730107231</v>
      </c>
      <c r="CW9" s="22">
        <f t="shared" si="13"/>
        <v>8.0603193640911446</v>
      </c>
      <c r="CX9" s="60">
        <f t="shared" si="14"/>
        <v>189.53057146035013</v>
      </c>
      <c r="CY9" s="60">
        <f ca="1">AVERAGE(OFFSET($CX$3,0,0,'Données projet'!$E$13+1,1))-AVERAGE(OFFSET($H$3,0,0,'Données projet'!$E$13+1,1))</f>
        <v>542.90832990875208</v>
      </c>
      <c r="CZ9" s="60">
        <f t="shared" si="42"/>
        <v>304.94365539329362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0" t="e">
        <f t="shared" si="17"/>
        <v>#N/A</v>
      </c>
      <c r="DT9" s="60" t="e">
        <f ca="1">AVERAGE(OFFSET($DS$3,0,0,'Données projet'!$E$14+1,1))-AVERAGE(OFFSET($H$3,0,0,'Données projet'!$E$14+1,1))</f>
        <v>#N/A</v>
      </c>
      <c r="DU9" s="60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0" t="e">
        <f t="shared" si="20"/>
        <v>#N/A</v>
      </c>
      <c r="EO9" s="60" t="e">
        <f ca="1">AVERAGE(OFFSET($EN$3,0,0,'Données projet'!$E$15+1,1))-AVERAGE(OFFSET($H$3,0,0,'Données projet'!$E$15+1,1))</f>
        <v>#N/A</v>
      </c>
      <c r="EP9" s="60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0" t="e">
        <f t="shared" si="23"/>
        <v>#N/A</v>
      </c>
      <c r="FJ9" s="60" t="e">
        <f ca="1">AVERAGE(OFFSET($FI$3,0,0,'Données projet'!$E$16+1,1))-AVERAGE(OFFSET($H$3,0,0,'Données projet'!$E$16+1,1))</f>
        <v>#N/A</v>
      </c>
      <c r="FK9" s="60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0" t="e">
        <f t="shared" si="26"/>
        <v>#N/A</v>
      </c>
      <c r="GE9" s="60" t="e">
        <f ca="1">AVERAGE(OFFSET($GD$3,0,0,'Données projet'!$E$17+1,1))-AVERAGE(OFFSET($H$3,0,0,'Données projet'!$E$17+1,1))</f>
        <v>#N/A</v>
      </c>
      <c r="GF9" s="60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4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3.4425641025641025</v>
      </c>
      <c r="N10" s="14">
        <f>IF('Données projet'!$A$36&gt;35,N9+M10-V9,IF(A10&lt;'Données projet'!$A$36,$K$205^A10,IF(A10='Données projet'!$A$36,'Données projet'!$B$36,N9+M10-V9)))</f>
        <v>2.9507614507509188</v>
      </c>
      <c r="O10" s="14">
        <f>N10*VLOOKUP('Données projet'!$B$9,Paramètres!$A$1:$I$89,3,0)*VLOOKUP('Données projet'!$B$9,Paramètres!$A$1:$I$89,5,0)</f>
        <v>1.38095635895143</v>
      </c>
      <c r="P10" s="14">
        <f t="shared" si="33"/>
        <v>0.61293591895758326</v>
      </c>
      <c r="Q10" s="22">
        <f t="shared" si="2"/>
        <v>3.472695717358198</v>
      </c>
      <c r="R10" s="60">
        <f t="shared" si="0"/>
        <v>187.59687665309443</v>
      </c>
      <c r="S10" s="60">
        <f ca="1">AVERAGE(OFFSET($R$3,0,0,'Données projet'!$E$9+1,1))-AVERAGE(OFFSET($H$3,0,0,'Données projet'!$E$9+1,1))</f>
        <v>277.7918215389401</v>
      </c>
      <c r="T10" s="60">
        <f t="shared" si="34"/>
        <v>164.65640238394164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IF('Données projet'!$A$62&gt;35,AI9+AH10-AQ9,IF(A10&lt;'Données projet'!$A$62,$AF$205^A10,IF(A10='Données projet'!$A$62,'Données projet'!$B$62,AI9+AH10-AQ9)))</f>
        <v>3.6994507637402658</v>
      </c>
      <c r="AJ10" s="14">
        <f>AI10*VLOOKUP('Données projet'!$B$10,Paramètres!$A$1:$I$89,3,0)*VLOOKUP('Données projet'!$B$10,Paramètres!$A$1:$I$89,5,0)</f>
        <v>3.3472630510321921</v>
      </c>
      <c r="AK10" s="14">
        <f t="shared" si="35"/>
        <v>1.34019505338418</v>
      </c>
      <c r="AL10" s="22">
        <f t="shared" si="4"/>
        <v>8.1639895318585136</v>
      </c>
      <c r="AM10" s="60">
        <f t="shared" si="5"/>
        <v>192.28817046759474</v>
      </c>
      <c r="AN10" s="60">
        <f ca="1">AVERAGE(OFFSET($AM$3,0,0,'Données projet'!$E$10+1,1))-AVERAGE(OFFSET($H$3,0,0,'Données projet'!$E$10+1,1))</f>
        <v>469.67944008675863</v>
      </c>
      <c r="AO10" s="60">
        <f t="shared" si="36"/>
        <v>266.11908070867173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3.2392083333333335</v>
      </c>
      <c r="BD10" s="13">
        <f>IF('Données projet'!$A$88&gt;35,BD9+BC10-BL9,IF(A10&lt;'Données projet'!$A$88,$BA$205^A10,IF(A10='Données projet'!$A$88,'Données projet'!$B$88,BD9+BC10-BL9)))</f>
        <v>8.458208907146032</v>
      </c>
      <c r="BE10" s="14">
        <f>BD10*VLOOKUP('Données projet'!$B$11,Paramètres!$A$1:$I$89,3,0)*VLOOKUP('Données projet'!$B$11,Paramètres!$A$1:$I$89,5,0)</f>
        <v>5.0580089264733274</v>
      </c>
      <c r="BF10" s="14">
        <f t="shared" si="37"/>
        <v>1.9301383146828432</v>
      </c>
      <c r="BG10" s="22">
        <f t="shared" si="7"/>
        <v>12.171023111680329</v>
      </c>
      <c r="BH10" s="60">
        <f t="shared" si="8"/>
        <v>196.29520404741658</v>
      </c>
      <c r="BI10" s="60">
        <f ca="1">AVERAGE(OFFSET($BH$3,0,0,'Données projet'!$E$11+1,1))-AVERAGE(OFFSET($H$3,0,0,'Données projet'!$E$11+1,1))</f>
        <v>216.36762889365235</v>
      </c>
      <c r="BJ10" s="60">
        <f t="shared" si="38"/>
        <v>333.29599352215496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2.1</v>
      </c>
      <c r="BY10" s="13">
        <f>IF('Données projet'!$A$114&gt;35,BY9+BX10-CG9,IF(A10&lt;'Données projet'!$A$114,$BV$205^A10,IF(A10='Données projet'!$A$114,'Données projet'!$B$114,BY9+BX10-CG9)))</f>
        <v>3.6994507637402658</v>
      </c>
      <c r="BZ10" s="14">
        <f>BY10*VLOOKUP('Données projet'!$B$12,Paramètres!$A$1:$I$89,3,0)*VLOOKUP('Données projet'!$B$12,Paramètres!$A$1:$I$89,5,0)</f>
        <v>3.5781087786895851</v>
      </c>
      <c r="CA10" s="14">
        <f t="shared" si="39"/>
        <v>1.4215440842341414</v>
      </c>
      <c r="CB10" s="22">
        <f t="shared" si="10"/>
        <v>8.707728736258824</v>
      </c>
      <c r="CC10" s="60">
        <f t="shared" si="11"/>
        <v>192.83190967199505</v>
      </c>
      <c r="CD10" s="60">
        <f ca="1">AVERAGE(OFFSET($CC$3,0,0,'Données projet'!$E$12+1,1))-AVERAGE(OFFSET($H$3,0,0,'Données projet'!$E$12+1,1))</f>
        <v>496.33873798282525</v>
      </c>
      <c r="CE10" s="60">
        <f t="shared" si="40"/>
        <v>280.25465074992246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2.1</v>
      </c>
      <c r="CT10" s="13">
        <f>IF('Données projet'!$A$140&gt;35,CT9+CS10-DB9,IF(A10&lt;'Données projet'!$A$140,$CQ$205^A10,IF(A10='Données projet'!$A$140,'Données projet'!$B$140,CT9+CS10-DB9)))</f>
        <v>3.6994507637402658</v>
      </c>
      <c r="CU10" s="18">
        <f>CT10*VLOOKUP('Données projet'!$B$13,Paramètres!$A$1:$I$89,3,0)*VLOOKUP('Données projet'!$B$13,Paramètres!$A$1:$I$89,5,0)</f>
        <v>3.982088802090022</v>
      </c>
      <c r="CV10" s="14">
        <f t="shared" si="41"/>
        <v>1.5624642602705792</v>
      </c>
      <c r="CW10" s="22">
        <f t="shared" si="13"/>
        <v>9.6567632502780452</v>
      </c>
      <c r="CX10" s="60">
        <f t="shared" si="14"/>
        <v>193.78094418601427</v>
      </c>
      <c r="CY10" s="60">
        <f ca="1">AVERAGE(OFFSET($CX$3,0,0,'Données projet'!$E$13+1,1))-AVERAGE(OFFSET($H$3,0,0,'Données projet'!$E$13+1,1))</f>
        <v>542.90832990875208</v>
      </c>
      <c r="CZ10" s="60">
        <f t="shared" si="42"/>
        <v>304.94365539329362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0" t="e">
        <f t="shared" si="17"/>
        <v>#N/A</v>
      </c>
      <c r="DT10" s="60" t="e">
        <f ca="1">AVERAGE(OFFSET($DS$3,0,0,'Données projet'!$E$14+1,1))-AVERAGE(OFFSET($H$3,0,0,'Données projet'!$E$14+1,1))</f>
        <v>#N/A</v>
      </c>
      <c r="DU10" s="60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0" t="e">
        <f t="shared" si="20"/>
        <v>#N/A</v>
      </c>
      <c r="EO10" s="60" t="e">
        <f ca="1">AVERAGE(OFFSET($EN$3,0,0,'Données projet'!$E$15+1,1))-AVERAGE(OFFSET($H$3,0,0,'Données projet'!$E$15+1,1))</f>
        <v>#N/A</v>
      </c>
      <c r="EP10" s="60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0" t="e">
        <f t="shared" si="23"/>
        <v>#N/A</v>
      </c>
      <c r="FJ10" s="60" t="e">
        <f ca="1">AVERAGE(OFFSET($FI$3,0,0,'Données projet'!$E$16+1,1))-AVERAGE(OFFSET($H$3,0,0,'Données projet'!$E$16+1,1))</f>
        <v>#N/A</v>
      </c>
      <c r="FK10" s="60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0" t="e">
        <f t="shared" si="26"/>
        <v>#N/A</v>
      </c>
      <c r="GE10" s="60" t="e">
        <f ca="1">AVERAGE(OFFSET($GD$3,0,0,'Données projet'!$E$17+1,1))-AVERAGE(OFFSET($H$3,0,0,'Données projet'!$E$17+1,1))</f>
        <v>#N/A</v>
      </c>
      <c r="GF10" s="60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4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3.4425641025641025</v>
      </c>
      <c r="N11" s="14">
        <f>IF('Données projet'!$A$36&gt;35,N10+M11-V10,IF(A11&lt;'Données projet'!$A$36,$K$205^A11,IF(A11='Données projet'!$A$36,'Données projet'!$B$36,N10+M11-V10)))</f>
        <v>3.4440349034385327</v>
      </c>
      <c r="O11" s="14">
        <f>N11*VLOOKUP('Données projet'!$B$9,Paramètres!$A$1:$I$89,3,0)*VLOOKUP('Données projet'!$B$9,Paramètres!$A$1:$I$89,5,0)</f>
        <v>1.6118083348092334</v>
      </c>
      <c r="P11" s="14">
        <f t="shared" si="33"/>
        <v>0.70264212414165761</v>
      </c>
      <c r="Q11" s="22">
        <f t="shared" si="2"/>
        <v>4.0310012160061346</v>
      </c>
      <c r="R11" s="60">
        <f t="shared" si="0"/>
        <v>190.78427408222669</v>
      </c>
      <c r="S11" s="60">
        <f ca="1">AVERAGE(OFFSET($R$3,0,0,'Données projet'!$E$9+1,1))-AVERAGE(OFFSET($H$3,0,0,'Données projet'!$E$9+1,1))</f>
        <v>277.7918215389401</v>
      </c>
      <c r="T11" s="60">
        <f t="shared" si="34"/>
        <v>164.65640238394164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IF('Données projet'!$A$62&gt;35,AI10+AH11-AQ10,IF(A11&lt;'Données projet'!$A$62,$AF$205^A11,IF(A11='Données projet'!$A$62,'Données projet'!$B$62,AI10+AH11-AQ10)))</f>
        <v>4.4596391171162209</v>
      </c>
      <c r="AJ11" s="14">
        <f>AI11*VLOOKUP('Données projet'!$B$10,Paramètres!$A$1:$I$89,3,0)*VLOOKUP('Données projet'!$B$10,Paramètres!$A$1:$I$89,5,0)</f>
        <v>4.0350814731667564</v>
      </c>
      <c r="AK11" s="14">
        <f t="shared" si="35"/>
        <v>1.5808227025391921</v>
      </c>
      <c r="AL11" s="22">
        <f t="shared" si="4"/>
        <v>9.7810331060211926</v>
      </c>
      <c r="AM11" s="60">
        <f t="shared" si="5"/>
        <v>196.53430597224175</v>
      </c>
      <c r="AN11" s="60">
        <f ca="1">AVERAGE(OFFSET($AM$3,0,0,'Données projet'!$E$10+1,1))-AVERAGE(OFFSET($H$3,0,0,'Données projet'!$E$10+1,1))</f>
        <v>469.67944008675863</v>
      </c>
      <c r="AO11" s="60">
        <f t="shared" si="36"/>
        <v>266.11908070867173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3.2392083333333335</v>
      </c>
      <c r="BD11" s="13">
        <f>IF('Données projet'!$A$88&gt;35,BD10+BC11-BL10,IF(A11&lt;'Données projet'!$A$88,$BA$205^A11,IF(A11='Données projet'!$A$88,'Données projet'!$B$88,BD10+BC11-BL10)))</f>
        <v>11.474842979104231</v>
      </c>
      <c r="BE11" s="14">
        <f>BD11*VLOOKUP('Données projet'!$B$11,Paramètres!$A$1:$I$89,3,0)*VLOOKUP('Données projet'!$B$11,Paramètres!$A$1:$I$89,5,0)</f>
        <v>6.8619561015043313</v>
      </c>
      <c r="BF11" s="14">
        <f t="shared" si="37"/>
        <v>2.5271874754731107</v>
      </c>
      <c r="BG11" s="22">
        <f t="shared" si="7"/>
        <v>16.352758396569048</v>
      </c>
      <c r="BH11" s="60">
        <f t="shared" si="8"/>
        <v>203.1060312627896</v>
      </c>
      <c r="BI11" s="60">
        <f ca="1">AVERAGE(OFFSET($BH$3,0,0,'Données projet'!$E$11+1,1))-AVERAGE(OFFSET($H$3,0,0,'Données projet'!$E$11+1,1))</f>
        <v>216.36762889365235</v>
      </c>
      <c r="BJ11" s="60">
        <f t="shared" si="38"/>
        <v>333.29599352215496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2.1</v>
      </c>
      <c r="BY11" s="13">
        <f>IF('Données projet'!$A$114&gt;35,BY10+BX11-CG10,IF(A11&lt;'Données projet'!$A$114,$BV$205^A11,IF(A11='Données projet'!$A$114,'Données projet'!$B$114,BY10+BX11-CG10)))</f>
        <v>4.4596391171162209</v>
      </c>
      <c r="BZ11" s="14">
        <f>BY11*VLOOKUP('Données projet'!$B$12,Paramètres!$A$1:$I$89,3,0)*VLOOKUP('Données projet'!$B$12,Paramètres!$A$1:$I$89,5,0)</f>
        <v>4.3133629540748091</v>
      </c>
      <c r="CA11" s="14">
        <f t="shared" si="39"/>
        <v>1.6767776864592203</v>
      </c>
      <c r="CB11" s="22">
        <f t="shared" si="10"/>
        <v>10.432828282263435</v>
      </c>
      <c r="CC11" s="60">
        <f t="shared" si="11"/>
        <v>197.186101148484</v>
      </c>
      <c r="CD11" s="60">
        <f ca="1">AVERAGE(OFFSET($CC$3,0,0,'Données projet'!$E$12+1,1))-AVERAGE(OFFSET($H$3,0,0,'Données projet'!$E$12+1,1))</f>
        <v>496.33873798282525</v>
      </c>
      <c r="CE11" s="60">
        <f t="shared" si="40"/>
        <v>280.25465074992246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2.1</v>
      </c>
      <c r="CT11" s="13">
        <f>IF('Données projet'!$A$140&gt;35,CT10+CS11-DB10,IF(A11&lt;'Données projet'!$A$140,$CQ$205^A11,IF(A11='Données projet'!$A$140,'Données projet'!$B$140,CT10+CS11-DB10)))</f>
        <v>4.4596391171162209</v>
      </c>
      <c r="CU11" s="18">
        <f>CT11*VLOOKUP('Données projet'!$B$13,Paramètres!$A$1:$I$89,3,0)*VLOOKUP('Données projet'!$B$13,Paramètres!$A$1:$I$89,5,0)</f>
        <v>4.8003555456638995</v>
      </c>
      <c r="CV11" s="14">
        <f t="shared" si="41"/>
        <v>1.8429996203200378</v>
      </c>
      <c r="CW11" s="22">
        <f t="shared" si="13"/>
        <v>11.570510247422023</v>
      </c>
      <c r="CX11" s="60">
        <f t="shared" si="14"/>
        <v>198.32378311364258</v>
      </c>
      <c r="CY11" s="60">
        <f ca="1">AVERAGE(OFFSET($CX$3,0,0,'Données projet'!$E$13+1,1))-AVERAGE(OFFSET($H$3,0,0,'Données projet'!$E$13+1,1))</f>
        <v>542.90832990875208</v>
      </c>
      <c r="CZ11" s="60">
        <f t="shared" si="42"/>
        <v>304.94365539329362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0" t="e">
        <f t="shared" si="17"/>
        <v>#N/A</v>
      </c>
      <c r="DT11" s="60" t="e">
        <f ca="1">AVERAGE(OFFSET($DS$3,0,0,'Données projet'!$E$14+1,1))-AVERAGE(OFFSET($H$3,0,0,'Données projet'!$E$14+1,1))</f>
        <v>#N/A</v>
      </c>
      <c r="DU11" s="60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0" t="e">
        <f t="shared" si="20"/>
        <v>#N/A</v>
      </c>
      <c r="EO11" s="60" t="e">
        <f ca="1">AVERAGE(OFFSET($EN$3,0,0,'Données projet'!$E$15+1,1))-AVERAGE(OFFSET($H$3,0,0,'Données projet'!$E$15+1,1))</f>
        <v>#N/A</v>
      </c>
      <c r="EP11" s="60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0" t="e">
        <f t="shared" si="23"/>
        <v>#N/A</v>
      </c>
      <c r="FJ11" s="60" t="e">
        <f ca="1">AVERAGE(OFFSET($FI$3,0,0,'Données projet'!$E$16+1,1))-AVERAGE(OFFSET($H$3,0,0,'Données projet'!$E$16+1,1))</f>
        <v>#N/A</v>
      </c>
      <c r="FK11" s="60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0" t="e">
        <f t="shared" si="26"/>
        <v>#N/A</v>
      </c>
      <c r="GE11" s="60" t="e">
        <f ca="1">AVERAGE(OFFSET($GD$3,0,0,'Données projet'!$E$17+1,1))-AVERAGE(OFFSET($H$3,0,0,'Données projet'!$E$17+1,1))</f>
        <v>#N/A</v>
      </c>
      <c r="GF11" s="60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4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3.4425641025641025</v>
      </c>
      <c r="N12" s="14">
        <f>IF('Données projet'!$A$36&gt;35,N11+M12-V11,IF(A12&lt;'Données projet'!$A$36,$K$205^A12,IF(A12='Données projet'!$A$36,'Données projet'!$B$36,N11+M12-V11)))</f>
        <v>4.0197679866952116</v>
      </c>
      <c r="O12" s="14">
        <f>N12*VLOOKUP('Données projet'!$B$9,Paramètres!$A$1:$I$89,3,0)*VLOOKUP('Données projet'!$B$9,Paramètres!$A$1:$I$89,5,0)</f>
        <v>1.881251417773359</v>
      </c>
      <c r="P12" s="14">
        <f t="shared" si="33"/>
        <v>0.80547727641405575</v>
      </c>
      <c r="Q12" s="22">
        <f t="shared" si="2"/>
        <v>4.6793858090430804</v>
      </c>
      <c r="R12" s="60">
        <f t="shared" si="0"/>
        <v>194.03734456159916</v>
      </c>
      <c r="S12" s="60">
        <f ca="1">AVERAGE(OFFSET($R$3,0,0,'Données projet'!$E$9+1,1))-AVERAGE(OFFSET($H$3,0,0,'Données projet'!$E$9+1,1))</f>
        <v>277.7918215389401</v>
      </c>
      <c r="T12" s="60">
        <f t="shared" si="34"/>
        <v>164.65640238394164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IF('Données projet'!$A$62&gt;35,AI11+AH12-AQ11,IF(A12&lt;'Données projet'!$A$62,$AF$205^A12,IF(A12='Données projet'!$A$62,'Données projet'!$B$62,AI11+AH12-AQ11)))</f>
        <v>5.3760361537574148</v>
      </c>
      <c r="AJ12" s="14">
        <f>AI12*VLOOKUP('Données projet'!$B$10,Paramètres!$A$1:$I$89,3,0)*VLOOKUP('Données projet'!$B$10,Paramètres!$A$1:$I$89,5,0)</f>
        <v>4.8642375119197085</v>
      </c>
      <c r="AK12" s="14">
        <f t="shared" si="35"/>
        <v>1.8646542609995393</v>
      </c>
      <c r="AL12" s="22">
        <f t="shared" si="4"/>
        <v>11.719486504501022</v>
      </c>
      <c r="AM12" s="60">
        <f t="shared" si="5"/>
        <v>201.07744525705709</v>
      </c>
      <c r="AN12" s="60">
        <f ca="1">AVERAGE(OFFSET($AM$3,0,0,'Données projet'!$E$10+1,1))-AVERAGE(OFFSET($H$3,0,0,'Données projet'!$E$10+1,1))</f>
        <v>469.67944008675863</v>
      </c>
      <c r="AO12" s="60">
        <f t="shared" si="36"/>
        <v>266.11908070867173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3.2392083333333335</v>
      </c>
      <c r="BD12" s="13">
        <f>IF('Données projet'!$A$88&gt;35,BD11+BC12-BL11,IF(A12&lt;'Données projet'!$A$88,$BA$205^A12,IF(A12='Données projet'!$A$88,'Données projet'!$B$88,BD11+BC12-BL11)))</f>
        <v>15.567364537881392</v>
      </c>
      <c r="BE12" s="14">
        <f>BD12*VLOOKUP('Données projet'!$B$11,Paramètres!$A$1:$I$89,3,0)*VLOOKUP('Données projet'!$B$11,Paramètres!$A$1:$I$89,5,0)</f>
        <v>9.3092839936530734</v>
      </c>
      <c r="BF12" s="14">
        <f t="shared" si="37"/>
        <v>3.3089216910538366</v>
      </c>
      <c r="BG12" s="22">
        <f t="shared" si="7"/>
        <v>21.976708234197869</v>
      </c>
      <c r="BH12" s="60">
        <f t="shared" si="8"/>
        <v>211.33466698675394</v>
      </c>
      <c r="BI12" s="60">
        <f ca="1">AVERAGE(OFFSET($BH$3,0,0,'Données projet'!$E$11+1,1))-AVERAGE(OFFSET($H$3,0,0,'Données projet'!$E$11+1,1))</f>
        <v>216.36762889365235</v>
      </c>
      <c r="BJ12" s="60">
        <f t="shared" si="38"/>
        <v>333.29599352215496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2.1</v>
      </c>
      <c r="BY12" s="13">
        <f>IF('Données projet'!$A$114&gt;35,BY11+BX12-CG11,IF(A12&lt;'Données projet'!$A$114,$BV$205^A12,IF(A12='Données projet'!$A$114,'Données projet'!$B$114,BY11+BX12-CG11)))</f>
        <v>5.3760361537574148</v>
      </c>
      <c r="BZ12" s="14">
        <f>BY12*VLOOKUP('Données projet'!$B$12,Paramètres!$A$1:$I$89,3,0)*VLOOKUP('Données projet'!$B$12,Paramètres!$A$1:$I$89,5,0)</f>
        <v>5.1997021679141717</v>
      </c>
      <c r="CA12" s="14">
        <f t="shared" si="39"/>
        <v>1.977837649208241</v>
      </c>
      <c r="CB12" s="22">
        <f t="shared" si="10"/>
        <v>12.500881848154869</v>
      </c>
      <c r="CC12" s="60">
        <f t="shared" si="11"/>
        <v>201.85884060071095</v>
      </c>
      <c r="CD12" s="60">
        <f ca="1">AVERAGE(OFFSET($CC$3,0,0,'Données projet'!$E$12+1,1))-AVERAGE(OFFSET($H$3,0,0,'Données projet'!$E$12+1,1))</f>
        <v>496.33873798282525</v>
      </c>
      <c r="CE12" s="60">
        <f t="shared" si="40"/>
        <v>280.25465074992246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2.1</v>
      </c>
      <c r="CT12" s="13">
        <f>IF('Données projet'!$A$140&gt;35,CT11+CS12-DB11,IF(A12&lt;'Données projet'!$A$140,$CQ$205^A12,IF(A12='Données projet'!$A$140,'Données projet'!$B$140,CT11+CS12-DB11)))</f>
        <v>5.3760361537574148</v>
      </c>
      <c r="CU12" s="18">
        <f>CT12*VLOOKUP('Données projet'!$B$13,Paramètres!$A$1:$I$89,3,0)*VLOOKUP('Données projet'!$B$13,Paramètres!$A$1:$I$89,5,0)</f>
        <v>5.7867653159044812</v>
      </c>
      <c r="CV12" s="14">
        <f t="shared" si="41"/>
        <v>2.1739041889582755</v>
      </c>
      <c r="CW12" s="22">
        <f t="shared" si="13"/>
        <v>13.864832720969302</v>
      </c>
      <c r="CX12" s="60">
        <f t="shared" si="14"/>
        <v>203.22279147352538</v>
      </c>
      <c r="CY12" s="60">
        <f ca="1">AVERAGE(OFFSET($CX$3,0,0,'Données projet'!$E$13+1,1))-AVERAGE(OFFSET($H$3,0,0,'Données projet'!$E$13+1,1))</f>
        <v>542.90832990875208</v>
      </c>
      <c r="CZ12" s="60">
        <f t="shared" si="42"/>
        <v>304.94365539329362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0" t="e">
        <f t="shared" si="17"/>
        <v>#N/A</v>
      </c>
      <c r="DT12" s="60" t="e">
        <f ca="1">AVERAGE(OFFSET($DS$3,0,0,'Données projet'!$E$14+1,1))-AVERAGE(OFFSET($H$3,0,0,'Données projet'!$E$14+1,1))</f>
        <v>#N/A</v>
      </c>
      <c r="DU12" s="60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0" t="e">
        <f t="shared" si="20"/>
        <v>#N/A</v>
      </c>
      <c r="EO12" s="60" t="e">
        <f ca="1">AVERAGE(OFFSET($EN$3,0,0,'Données projet'!$E$15+1,1))-AVERAGE(OFFSET($H$3,0,0,'Données projet'!$E$15+1,1))</f>
        <v>#N/A</v>
      </c>
      <c r="EP12" s="60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0" t="e">
        <f t="shared" si="23"/>
        <v>#N/A</v>
      </c>
      <c r="FJ12" s="60" t="e">
        <f ca="1">AVERAGE(OFFSET($FI$3,0,0,'Données projet'!$E$16+1,1))-AVERAGE(OFFSET($H$3,0,0,'Données projet'!$E$16+1,1))</f>
        <v>#N/A</v>
      </c>
      <c r="FK12" s="60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0" t="e">
        <f t="shared" si="26"/>
        <v>#N/A</v>
      </c>
      <c r="GE12" s="60" t="e">
        <f ca="1">AVERAGE(OFFSET($GD$3,0,0,'Données projet'!$E$17+1,1))-AVERAGE(OFFSET($H$3,0,0,'Données projet'!$E$17+1,1))</f>
        <v>#N/A</v>
      </c>
      <c r="GF12" s="60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4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3.4425641025641025</v>
      </c>
      <c r="N13" s="14">
        <f>IF('Données projet'!$A$36&gt;35,N12+M13-V12,IF(A13&lt;'Données projet'!$A$36,$K$205^A13,IF(A13='Données projet'!$A$36,'Données projet'!$B$36,N12+M13-V12)))</f>
        <v>4.6917453277627805</v>
      </c>
      <c r="O13" s="14">
        <f>N13*VLOOKUP('Données projet'!$B$9,Paramètres!$A$1:$I$89,3,0)*VLOOKUP('Données projet'!$B$9,Paramètres!$A$1:$I$89,5,0)</f>
        <v>2.1957368133929811</v>
      </c>
      <c r="P13" s="14">
        <f t="shared" si="33"/>
        <v>0.9233628621568436</v>
      </c>
      <c r="Q13" s="22">
        <f t="shared" si="2"/>
        <v>5.432431934915944</v>
      </c>
      <c r="R13" s="60">
        <f t="shared" si="0"/>
        <v>197.37109391996083</v>
      </c>
      <c r="S13" s="60">
        <f ca="1">AVERAGE(OFFSET($R$3,0,0,'Données projet'!$E$9+1,1))-AVERAGE(OFFSET($H$3,0,0,'Données projet'!$E$9+1,1))</f>
        <v>277.7918215389401</v>
      </c>
      <c r="T13" s="60">
        <f t="shared" si="34"/>
        <v>164.65640238394164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IF('Données projet'!$A$62&gt;35,AI12+AH13-AQ12,IF(A13&lt;'Données projet'!$A$62,$AF$205^A13,IF(A13='Données projet'!$A$62,'Données projet'!$B$62,AI12+AH13-AQ12)))</f>
        <v>6.4807406984078657</v>
      </c>
      <c r="AJ13" s="14">
        <f>AI13*VLOOKUP('Données projet'!$B$10,Paramètres!$A$1:$I$89,3,0)*VLOOKUP('Données projet'!$B$10,Paramètres!$A$1:$I$89,5,0)</f>
        <v>5.8637741839194364</v>
      </c>
      <c r="AK13" s="14">
        <f t="shared" si="35"/>
        <v>2.1994468497187687</v>
      </c>
      <c r="AL13" s="22">
        <f t="shared" si="4"/>
        <v>14.043443300253207</v>
      </c>
      <c r="AM13" s="60">
        <f t="shared" si="5"/>
        <v>205.9821052852981</v>
      </c>
      <c r="AN13" s="60">
        <f ca="1">AVERAGE(OFFSET($AM$3,0,0,'Données projet'!$E$10+1,1))-AVERAGE(OFFSET($H$3,0,0,'Données projet'!$E$10+1,1))</f>
        <v>469.67944008675863</v>
      </c>
      <c r="AO13" s="60">
        <f t="shared" si="36"/>
        <v>266.11908070867173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3.2392083333333335</v>
      </c>
      <c r="BD13" s="13">
        <f>IF('Données projet'!$A$88&gt;35,BD12+BC13-BL12,IF(A13&lt;'Données projet'!$A$88,$BA$205^A13,IF(A13='Données projet'!$A$88,'Données projet'!$B$88,BD12+BC13-BL12)))</f>
        <v>21.119490619313495</v>
      </c>
      <c r="BE13" s="14">
        <f>BD13*VLOOKUP('Données projet'!$B$11,Paramètres!$A$1:$I$89,3,0)*VLOOKUP('Données projet'!$B$11,Paramètres!$A$1:$I$89,5,0)</f>
        <v>12.629455390349472</v>
      </c>
      <c r="BF13" s="14">
        <f t="shared" si="37"/>
        <v>4.3324695392758059</v>
      </c>
      <c r="BG13" s="22">
        <f t="shared" si="7"/>
        <v>29.542019252430688</v>
      </c>
      <c r="BH13" s="60">
        <f t="shared" si="8"/>
        <v>221.48068123747558</v>
      </c>
      <c r="BI13" s="60">
        <f ca="1">AVERAGE(OFFSET($BH$3,0,0,'Données projet'!$E$11+1,1))-AVERAGE(OFFSET($H$3,0,0,'Données projet'!$E$11+1,1))</f>
        <v>216.36762889365235</v>
      </c>
      <c r="BJ13" s="60">
        <f t="shared" si="38"/>
        <v>333.29599352215496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2.1</v>
      </c>
      <c r="BY13" s="13">
        <f>IF('Données projet'!$A$114&gt;35,BY12+BX13-CG12,IF(A13&lt;'Données projet'!$A$114,$BV$205^A13,IF(A13='Données projet'!$A$114,'Données projet'!$B$114,BY12+BX13-CG12)))</f>
        <v>6.4807406984078657</v>
      </c>
      <c r="BZ13" s="14">
        <f>BY13*VLOOKUP('Données projet'!$B$12,Paramètres!$A$1:$I$89,3,0)*VLOOKUP('Données projet'!$B$12,Paramètres!$A$1:$I$89,5,0)</f>
        <v>6.2681724035000874</v>
      </c>
      <c r="CA13" s="14">
        <f t="shared" si="39"/>
        <v>2.3329519459947301</v>
      </c>
      <c r="CB13" s="22">
        <f t="shared" si="10"/>
        <v>14.98029157537014</v>
      </c>
      <c r="CC13" s="60">
        <f t="shared" si="11"/>
        <v>206.91895356041502</v>
      </c>
      <c r="CD13" s="60">
        <f ca="1">AVERAGE(OFFSET($CC$3,0,0,'Données projet'!$E$12+1,1))-AVERAGE(OFFSET($H$3,0,0,'Données projet'!$E$12+1,1))</f>
        <v>496.33873798282525</v>
      </c>
      <c r="CE13" s="60">
        <f t="shared" si="40"/>
        <v>280.25465074992246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2.1</v>
      </c>
      <c r="CT13" s="13">
        <f>IF('Données projet'!$A$140&gt;35,CT12+CS13-DB12,IF(A13&lt;'Données projet'!$A$140,$CQ$205^A13,IF(A13='Données projet'!$A$140,'Données projet'!$B$140,CT12+CS13-DB12)))</f>
        <v>6.4807406984078657</v>
      </c>
      <c r="CU13" s="18">
        <f>CT13*VLOOKUP('Données projet'!$B$13,Paramètres!$A$1:$I$89,3,0)*VLOOKUP('Données projet'!$B$13,Paramètres!$A$1:$I$89,5,0)</f>
        <v>6.9758692877662263</v>
      </c>
      <c r="CV13" s="14">
        <f t="shared" si="41"/>
        <v>2.5642215932468222</v>
      </c>
      <c r="CW13" s="22">
        <f t="shared" si="13"/>
        <v>16.61565828443106</v>
      </c>
      <c r="CX13" s="60">
        <f t="shared" si="14"/>
        <v>208.55432026947594</v>
      </c>
      <c r="CY13" s="60">
        <f ca="1">AVERAGE(OFFSET($CX$3,0,0,'Données projet'!$E$13+1,1))-AVERAGE(OFFSET($H$3,0,0,'Données projet'!$E$13+1,1))</f>
        <v>542.90832990875208</v>
      </c>
      <c r="CZ13" s="60">
        <f t="shared" si="42"/>
        <v>304.94365539329362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0" t="e">
        <f t="shared" si="17"/>
        <v>#N/A</v>
      </c>
      <c r="DT13" s="60" t="e">
        <f ca="1">AVERAGE(OFFSET($DS$3,0,0,'Données projet'!$E$14+1,1))-AVERAGE(OFFSET($H$3,0,0,'Données projet'!$E$14+1,1))</f>
        <v>#N/A</v>
      </c>
      <c r="DU13" s="60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0" t="e">
        <f t="shared" si="20"/>
        <v>#N/A</v>
      </c>
      <c r="EO13" s="60" t="e">
        <f ca="1">AVERAGE(OFFSET($EN$3,0,0,'Données projet'!$E$15+1,1))-AVERAGE(OFFSET($H$3,0,0,'Données projet'!$E$15+1,1))</f>
        <v>#N/A</v>
      </c>
      <c r="EP13" s="60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0" t="e">
        <f t="shared" si="23"/>
        <v>#N/A</v>
      </c>
      <c r="FJ13" s="60" t="e">
        <f ca="1">AVERAGE(OFFSET($FI$3,0,0,'Données projet'!$E$16+1,1))-AVERAGE(OFFSET($H$3,0,0,'Données projet'!$E$16+1,1))</f>
        <v>#N/A</v>
      </c>
      <c r="FK13" s="60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0" t="e">
        <f t="shared" si="26"/>
        <v>#N/A</v>
      </c>
      <c r="GE13" s="60" t="e">
        <f ca="1">AVERAGE(OFFSET($GD$3,0,0,'Données projet'!$E$17+1,1))-AVERAGE(OFFSET($H$3,0,0,'Données projet'!$E$17+1,1))</f>
        <v>#N/A</v>
      </c>
      <c r="GF13" s="60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4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3.4425641025641025</v>
      </c>
      <c r="N14" s="14">
        <f>IF('Données projet'!$A$36&gt;35,N13+M14-V13,IF(A14&lt;'Données projet'!$A$36,$K$205^A14,IF(A14='Données projet'!$A$36,'Données projet'!$B$36,N13+M14-V13)))</f>
        <v>5.4760559050775193</v>
      </c>
      <c r="O14" s="14">
        <f>N14*VLOOKUP('Données projet'!$B$9,Paramètres!$A$1:$I$89,3,0)*VLOOKUP('Données projet'!$B$9,Paramètres!$A$1:$I$89,5,0)</f>
        <v>2.562794163576279</v>
      </c>
      <c r="P14" s="14">
        <f t="shared" si="33"/>
        <v>1.0585015867936163</v>
      </c>
      <c r="Q14" s="22">
        <f t="shared" si="2"/>
        <v>6.3070900985608995</v>
      </c>
      <c r="R14" s="60">
        <f t="shared" si="0"/>
        <v>200.80288870767504</v>
      </c>
      <c r="S14" s="60">
        <f ca="1">AVERAGE(OFFSET($R$3,0,0,'Données projet'!$E$9+1,1))-AVERAGE(OFFSET($H$3,0,0,'Données projet'!$E$9+1,1))</f>
        <v>277.7918215389401</v>
      </c>
      <c r="T14" s="60">
        <f t="shared" si="34"/>
        <v>164.65640238394164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IF('Données projet'!$A$62&gt;35,AI13+AH14-AQ13,IF(A14&lt;'Données projet'!$A$62,$AF$205^A14,IF(A14='Données projet'!$A$62,'Données projet'!$B$62,AI13+AH14-AQ13)))</f>
        <v>7.8124474610620815</v>
      </c>
      <c r="AJ14" s="14">
        <f>AI14*VLOOKUP('Données projet'!$B$10,Paramètres!$A$1:$I$89,3,0)*VLOOKUP('Données projet'!$B$10,Paramètres!$A$1:$I$89,5,0)</f>
        <v>7.0687024627689707</v>
      </c>
      <c r="AK14" s="14">
        <f t="shared" si="35"/>
        <v>2.5943503554083325</v>
      </c>
      <c r="AL14" s="22">
        <f t="shared" si="4"/>
        <v>16.829816991658799</v>
      </c>
      <c r="AM14" s="60">
        <f t="shared" si="5"/>
        <v>211.32561560077292</v>
      </c>
      <c r="AN14" s="60">
        <f ca="1">AVERAGE(OFFSET($AM$3,0,0,'Données projet'!$E$10+1,1))-AVERAGE(OFFSET($H$3,0,0,'Données projet'!$E$10+1,1))</f>
        <v>469.67944008675863</v>
      </c>
      <c r="AO14" s="60">
        <f t="shared" si="36"/>
        <v>266.11908070867173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3.2392083333333335</v>
      </c>
      <c r="BD14" s="13">
        <f>IF('Données projet'!$A$88&gt;35,BD13+BC14-BL13,IF(A14&lt;'Données projet'!$A$88,$BA$205^A14,IF(A14='Données projet'!$A$88,'Données projet'!$B$88,BD13+BC14-BL13)))</f>
        <v>28.65179156908037</v>
      </c>
      <c r="BE14" s="14">
        <f>BD14*VLOOKUP('Données projet'!$B$11,Paramètres!$A$1:$I$89,3,0)*VLOOKUP('Données projet'!$B$11,Paramètres!$A$1:$I$89,5,0)</f>
        <v>17.133771358310064</v>
      </c>
      <c r="BF14" s="14">
        <f t="shared" si="37"/>
        <v>5.6726311654642698</v>
      </c>
      <c r="BG14" s="22">
        <f t="shared" si="7"/>
        <v>39.721151062240295</v>
      </c>
      <c r="BH14" s="60">
        <f t="shared" si="8"/>
        <v>234.21694967135443</v>
      </c>
      <c r="BI14" s="60">
        <f ca="1">AVERAGE(OFFSET($BH$3,0,0,'Données projet'!$E$11+1,1))-AVERAGE(OFFSET($H$3,0,0,'Données projet'!$E$11+1,1))</f>
        <v>216.36762889365235</v>
      </c>
      <c r="BJ14" s="60">
        <f t="shared" si="38"/>
        <v>333.29599352215496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2.1</v>
      </c>
      <c r="BY14" s="13">
        <f>IF('Données projet'!$A$114&gt;35,BY13+BX14-CG13,IF(A14&lt;'Données projet'!$A$114,$BV$205^A14,IF(A14='Données projet'!$A$114,'Données projet'!$B$114,BY13+BX14-CG13)))</f>
        <v>7.8124474610620815</v>
      </c>
      <c r="BZ14" s="14">
        <f>BY14*VLOOKUP('Données projet'!$B$12,Paramètres!$A$1:$I$89,3,0)*VLOOKUP('Données projet'!$B$12,Paramètres!$A$1:$I$89,5,0)</f>
        <v>7.5561991843392455</v>
      </c>
      <c r="CA14" s="14">
        <f t="shared" si="39"/>
        <v>2.7518258561310041</v>
      </c>
      <c r="CB14" s="22">
        <f t="shared" si="10"/>
        <v>17.953143612152349</v>
      </c>
      <c r="CC14" s="60">
        <f t="shared" si="11"/>
        <v>212.44894222126649</v>
      </c>
      <c r="CD14" s="60">
        <f ca="1">AVERAGE(OFFSET($CC$3,0,0,'Données projet'!$E$12+1,1))-AVERAGE(OFFSET($H$3,0,0,'Données projet'!$E$12+1,1))</f>
        <v>496.33873798282525</v>
      </c>
      <c r="CE14" s="60">
        <f t="shared" si="40"/>
        <v>280.25465074992246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2.1</v>
      </c>
      <c r="CT14" s="13">
        <f>IF('Données projet'!$A$140&gt;35,CT13+CS14-DB13,IF(A14&lt;'Données projet'!$A$140,$CQ$205^A14,IF(A14='Données projet'!$A$140,'Données projet'!$B$140,CT13+CS14-DB13)))</f>
        <v>7.8124474610620815</v>
      </c>
      <c r="CU14" s="18">
        <f>CT14*VLOOKUP('Données projet'!$B$13,Paramètres!$A$1:$I$89,3,0)*VLOOKUP('Données projet'!$B$13,Paramètres!$A$1:$I$89,5,0)</f>
        <v>8.4093184470872249</v>
      </c>
      <c r="CV14" s="14">
        <f t="shared" si="41"/>
        <v>3.0246192139792929</v>
      </c>
      <c r="CW14" s="22">
        <f t="shared" si="13"/>
        <v>19.914108093024186</v>
      </c>
      <c r="CX14" s="60">
        <f t="shared" si="14"/>
        <v>214.40990670213833</v>
      </c>
      <c r="CY14" s="60">
        <f ca="1">AVERAGE(OFFSET($CX$3,0,0,'Données projet'!$E$13+1,1))-AVERAGE(OFFSET($H$3,0,0,'Données projet'!$E$13+1,1))</f>
        <v>542.90832990875208</v>
      </c>
      <c r="CZ14" s="60">
        <f t="shared" si="42"/>
        <v>304.94365539329362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0" t="e">
        <f t="shared" si="17"/>
        <v>#N/A</v>
      </c>
      <c r="DT14" s="60" t="e">
        <f ca="1">AVERAGE(OFFSET($DS$3,0,0,'Données projet'!$E$14+1,1))-AVERAGE(OFFSET($H$3,0,0,'Données projet'!$E$14+1,1))</f>
        <v>#N/A</v>
      </c>
      <c r="DU14" s="60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0" t="e">
        <f t="shared" si="20"/>
        <v>#N/A</v>
      </c>
      <c r="EO14" s="60" t="e">
        <f ca="1">AVERAGE(OFFSET($EN$3,0,0,'Données projet'!$E$15+1,1))-AVERAGE(OFFSET($H$3,0,0,'Données projet'!$E$15+1,1))</f>
        <v>#N/A</v>
      </c>
      <c r="EP14" s="60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0" t="e">
        <f t="shared" si="23"/>
        <v>#N/A</v>
      </c>
      <c r="FJ14" s="60" t="e">
        <f ca="1">AVERAGE(OFFSET($FI$3,0,0,'Données projet'!$E$16+1,1))-AVERAGE(OFFSET($H$3,0,0,'Données projet'!$E$16+1,1))</f>
        <v>#N/A</v>
      </c>
      <c r="FK14" s="60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0" t="e">
        <f t="shared" si="26"/>
        <v>#N/A</v>
      </c>
      <c r="GE14" s="60" t="e">
        <f ca="1">AVERAGE(OFFSET($GD$3,0,0,'Données projet'!$E$17+1,1))-AVERAGE(OFFSET($H$3,0,0,'Données projet'!$E$17+1,1))</f>
        <v>#N/A</v>
      </c>
      <c r="GF14" s="60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4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3.4425641025641025</v>
      </c>
      <c r="N15" s="14">
        <f>IF('Données projet'!$A$36&gt;35,N14+M15-V14,IF(A15&lt;'Données projet'!$A$36,$K$205^A15,IF(A15='Données projet'!$A$36,'Données projet'!$B$36,N14+M15-V14)))</f>
        <v>6.3914782624899003</v>
      </c>
      <c r="O15" s="14">
        <f>N15*VLOOKUP('Données projet'!$B$9,Paramètres!$A$1:$I$89,3,0)*VLOOKUP('Données projet'!$B$9,Paramètres!$A$1:$I$89,5,0)</f>
        <v>2.9912118268452734</v>
      </c>
      <c r="P15" s="14">
        <f t="shared" si="33"/>
        <v>1.2134185325879896</v>
      </c>
      <c r="Q15" s="22">
        <f t="shared" si="2"/>
        <v>7.3230645426796004</v>
      </c>
      <c r="R15" s="60">
        <f t="shared" si="0"/>
        <v>204.35284199541246</v>
      </c>
      <c r="S15" s="60">
        <f ca="1">AVERAGE(OFFSET($R$3,0,0,'Données projet'!$E$9+1,1))-AVERAGE(OFFSET($H$3,0,0,'Données projet'!$E$9+1,1))</f>
        <v>277.7918215389401</v>
      </c>
      <c r="T15" s="60">
        <f t="shared" si="34"/>
        <v>164.65640238394164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IF('Données projet'!$A$62&gt;35,AI14+AH15-AQ14,IF(A15&lt;'Données projet'!$A$62,$AF$205^A15,IF(A15='Données projet'!$A$62,'Données projet'!$B$62,AI14+AH15-AQ14)))</f>
        <v>9.4178024044149407</v>
      </c>
      <c r="AJ15" s="14">
        <f>AI15*VLOOKUP('Données projet'!$B$10,Paramètres!$A$1:$I$89,3,0)*VLOOKUP('Données projet'!$B$10,Paramètres!$A$1:$I$89,5,0)</f>
        <v>8.521227615514638</v>
      </c>
      <c r="AK15" s="14">
        <f t="shared" si="35"/>
        <v>3.0601574970852128</v>
      </c>
      <c r="AL15" s="22">
        <f t="shared" si="4"/>
        <v>20.170912404444739</v>
      </c>
      <c r="AM15" s="60">
        <f t="shared" si="5"/>
        <v>217.20068985717762</v>
      </c>
      <c r="AN15" s="60">
        <f ca="1">AVERAGE(OFFSET($AM$3,0,0,'Données projet'!$E$10+1,1))-AVERAGE(OFFSET($H$3,0,0,'Données projet'!$E$10+1,1))</f>
        <v>469.67944008675863</v>
      </c>
      <c r="AO15" s="60">
        <f t="shared" si="36"/>
        <v>266.11908070867173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>
        <f>VLOOKUP(A15,'Données projet'!$A$87:$I$107,2,0)</f>
        <v>38.8705</v>
      </c>
      <c r="BB15" s="13">
        <f>VLOOKUP(A15,'Données projet'!$A$87:$I$107,9,0)</f>
        <v>3.2392083333333335</v>
      </c>
      <c r="BC15" s="13">
        <f t="array" ref="BC15">INDEX(BB:BB,MIN(IF(ISNUMBER(BB15:BB211),ROW(BB15:BB211),"")))</f>
        <v>3.2392083333333335</v>
      </c>
      <c r="BD15" s="13">
        <f>IF('Données projet'!$A$88&gt;35,BD14+BC15-BL14,IF(A15&lt;'Données projet'!$A$88,$BA$205^A15,IF(A15='Données projet'!$A$88,'Données projet'!$B$88,BD14+BC15-BL14)))</f>
        <v>38.8705</v>
      </c>
      <c r="BE15" s="14">
        <f>BD15*VLOOKUP('Données projet'!$B$11,Paramètres!$A$1:$I$89,3,0)*VLOOKUP('Données projet'!$B$11,Paramètres!$A$1:$I$89,5,0)</f>
        <v>23.244559000000002</v>
      </c>
      <c r="BF15" s="14">
        <f t="shared" si="37"/>
        <v>7.427344623587441</v>
      </c>
      <c r="BG15" s="22">
        <f t="shared" si="7"/>
        <v>53.420232144414797</v>
      </c>
      <c r="BH15" s="60">
        <f t="shared" si="8"/>
        <v>250.45000959714767</v>
      </c>
      <c r="BI15" s="60">
        <f ca="1">AVERAGE(OFFSET($BH$3,0,0,'Données projet'!$E$11+1,1))-AVERAGE(OFFSET($H$3,0,0,'Données projet'!$E$11+1,1))</f>
        <v>216.36762889365235</v>
      </c>
      <c r="BJ15" s="60">
        <f t="shared" si="38"/>
        <v>333.29599352215496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2.1</v>
      </c>
      <c r="BY15" s="13">
        <f>IF('Données projet'!$A$114&gt;35,BY14+BX15-CG14,IF(A15&lt;'Données projet'!$A$114,$BV$205^A15,IF(A15='Données projet'!$A$114,'Données projet'!$B$114,BY14+BX15-CG14)))</f>
        <v>9.4178024044149407</v>
      </c>
      <c r="BZ15" s="14">
        <f>BY15*VLOOKUP('Données projet'!$B$12,Paramètres!$A$1:$I$89,3,0)*VLOOKUP('Données projet'!$B$12,Paramètres!$A$1:$I$89,5,0)</f>
        <v>9.1088984855501316</v>
      </c>
      <c r="CA15" s="14">
        <f t="shared" si="39"/>
        <v>3.2459072101643005</v>
      </c>
      <c r="CB15" s="22">
        <f t="shared" si="10"/>
        <v>21.517953253369303</v>
      </c>
      <c r="CC15" s="60">
        <f t="shared" si="11"/>
        <v>218.54773070610219</v>
      </c>
      <c r="CD15" s="60">
        <f ca="1">AVERAGE(OFFSET($CC$3,0,0,'Données projet'!$E$12+1,1))-AVERAGE(OFFSET($H$3,0,0,'Données projet'!$E$12+1,1))</f>
        <v>496.33873798282525</v>
      </c>
      <c r="CE15" s="60">
        <f t="shared" si="40"/>
        <v>280.25465074992246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2.1</v>
      </c>
      <c r="CT15" s="13">
        <f>IF('Données projet'!$A$140&gt;35,CT14+CS15-DB14,IF(A15&lt;'Données projet'!$A$140,$CQ$205^A15,IF(A15='Données projet'!$A$140,'Données projet'!$B$140,CT14+CS15-DB14)))</f>
        <v>9.4178024044149407</v>
      </c>
      <c r="CU15" s="18">
        <f>CT15*VLOOKUP('Données projet'!$B$13,Paramètres!$A$1:$I$89,3,0)*VLOOKUP('Données projet'!$B$13,Paramètres!$A$1:$I$89,5,0)</f>
        <v>10.137322508112241</v>
      </c>
      <c r="CV15" s="14">
        <f t="shared" si="41"/>
        <v>3.5676797253661268</v>
      </c>
      <c r="CW15" s="22">
        <f t="shared" si="13"/>
        <v>23.869545556641487</v>
      </c>
      <c r="CX15" s="60">
        <f t="shared" si="14"/>
        <v>220.89932300937437</v>
      </c>
      <c r="CY15" s="60">
        <f ca="1">AVERAGE(OFFSET($CX$3,0,0,'Données projet'!$E$13+1,1))-AVERAGE(OFFSET($H$3,0,0,'Données projet'!$E$13+1,1))</f>
        <v>542.90832990875208</v>
      </c>
      <c r="CZ15" s="60">
        <f t="shared" si="42"/>
        <v>304.94365539329362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0" t="e">
        <f t="shared" si="17"/>
        <v>#N/A</v>
      </c>
      <c r="DT15" s="60" t="e">
        <f ca="1">AVERAGE(OFFSET($DS$3,0,0,'Données projet'!$E$14+1,1))-AVERAGE(OFFSET($H$3,0,0,'Données projet'!$E$14+1,1))</f>
        <v>#N/A</v>
      </c>
      <c r="DU15" s="60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0" t="e">
        <f t="shared" si="20"/>
        <v>#N/A</v>
      </c>
      <c r="EO15" s="60" t="e">
        <f ca="1">AVERAGE(OFFSET($EN$3,0,0,'Données projet'!$E$15+1,1))-AVERAGE(OFFSET($H$3,0,0,'Données projet'!$E$15+1,1))</f>
        <v>#N/A</v>
      </c>
      <c r="EP15" s="60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0" t="e">
        <f t="shared" si="23"/>
        <v>#N/A</v>
      </c>
      <c r="FJ15" s="60" t="e">
        <f ca="1">AVERAGE(OFFSET($FI$3,0,0,'Données projet'!$E$16+1,1))-AVERAGE(OFFSET($H$3,0,0,'Données projet'!$E$16+1,1))</f>
        <v>#N/A</v>
      </c>
      <c r="FK15" s="60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0" t="e">
        <f t="shared" si="26"/>
        <v>#N/A</v>
      </c>
      <c r="GE15" s="60" t="e">
        <f ca="1">AVERAGE(OFFSET($GD$3,0,0,'Données projet'!$E$17+1,1))-AVERAGE(OFFSET($H$3,0,0,'Données projet'!$E$17+1,1))</f>
        <v>#N/A</v>
      </c>
      <c r="GF15" s="60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4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3.4425641025641025</v>
      </c>
      <c r="N16" s="14">
        <f>IF('Données projet'!$A$36&gt;35,N15+M16-V15,IF(A16&lt;'Données projet'!$A$36,$K$205^A16,IF(A16='Données projet'!$A$36,'Données projet'!$B$36,N15+M16-V15)))</f>
        <v>7.459930119048451</v>
      </c>
      <c r="O16" s="14">
        <f>N16*VLOOKUP('Données projet'!$B$9,Paramètres!$A$1:$I$89,3,0)*VLOOKUP('Données projet'!$B$9,Paramètres!$A$1:$I$89,5,0)</f>
        <v>3.4912472957146754</v>
      </c>
      <c r="P16" s="14">
        <f t="shared" si="33"/>
        <v>1.3910083400895945</v>
      </c>
      <c r="Q16" s="22">
        <f t="shared" si="2"/>
        <v>8.5032618990257713</v>
      </c>
      <c r="R16" s="60">
        <f t="shared" si="0"/>
        <v>208.04426215064458</v>
      </c>
      <c r="S16" s="60">
        <f ca="1">AVERAGE(OFFSET($R$3,0,0,'Données projet'!$E$9+1,1))-AVERAGE(OFFSET($H$3,0,0,'Données projet'!$E$9+1,1))</f>
        <v>277.7918215389401</v>
      </c>
      <c r="T16" s="60">
        <f t="shared" si="34"/>
        <v>164.65640238394164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IF('Données projet'!$A$62&gt;35,AI15+AH16-AQ15,IF(A16&lt;'Données projet'!$A$62,$AF$205^A16,IF(A16='Données projet'!$A$62,'Données projet'!$B$62,AI15+AH16-AQ15)))</f>
        <v>11.35303662145153</v>
      </c>
      <c r="AJ16" s="14">
        <f>AI16*VLOOKUP('Données projet'!$B$10,Paramètres!$A$1:$I$89,3,0)*VLOOKUP('Données projet'!$B$10,Paramètres!$A$1:$I$89,5,0)</f>
        <v>10.272227535089344</v>
      </c>
      <c r="AK16" s="14">
        <f t="shared" si="35"/>
        <v>3.6095987912522753</v>
      </c>
      <c r="AL16" s="22">
        <f t="shared" si="4"/>
        <v>24.177514185044988</v>
      </c>
      <c r="AM16" s="60">
        <f t="shared" si="5"/>
        <v>223.71851443666381</v>
      </c>
      <c r="AN16" s="60">
        <f ca="1">AVERAGE(OFFSET($AM$3,0,0,'Données projet'!$E$10+1,1))-AVERAGE(OFFSET($H$3,0,0,'Données projet'!$E$10+1,1))</f>
        <v>469.67944008675863</v>
      </c>
      <c r="AO16" s="60">
        <f t="shared" si="36"/>
        <v>266.11908070867173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>
        <f>VLOOKUP(A16,'Données projet'!$A$87:$I$107,2,0)</f>
        <v>53.7455</v>
      </c>
      <c r="BB16" s="13">
        <f>VLOOKUP(A16,'Données projet'!$A$87:$I$107,9,0)</f>
        <v>14.875</v>
      </c>
      <c r="BC16" s="13">
        <f t="array" ref="BC16">INDEX(BB:BB,MIN(IF(ISNUMBER(BB16:BB212),ROW(BB16:BB212),"")))</f>
        <v>14.875</v>
      </c>
      <c r="BD16" s="13">
        <f>IF('Données projet'!$A$88&gt;35,BD15+BC16-BL15,IF(A16&lt;'Données projet'!$A$88,$BA$205^A16,IF(A16='Données projet'!$A$88,'Données projet'!$B$88,BD15+BC16-BL15)))</f>
        <v>53.7455</v>
      </c>
      <c r="BE16" s="14">
        <f>BD16*VLOOKUP('Données projet'!$B$11,Paramètres!$A$1:$I$89,3,0)*VLOOKUP('Données projet'!$B$11,Paramètres!$A$1:$I$89,5,0)</f>
        <v>32.139809000000007</v>
      </c>
      <c r="BF16" s="14">
        <f t="shared" si="37"/>
        <v>9.8895269261794354</v>
      </c>
      <c r="BG16" s="22">
        <f t="shared" si="7"/>
        <v>73.201093404762517</v>
      </c>
      <c r="BH16" s="60">
        <f t="shared" si="8"/>
        <v>272.74209365638131</v>
      </c>
      <c r="BI16" s="60">
        <f ca="1">AVERAGE(OFFSET($BH$3,0,0,'Données projet'!$E$11+1,1))-AVERAGE(OFFSET($H$3,0,0,'Données projet'!$E$11+1,1))</f>
        <v>216.36762889365235</v>
      </c>
      <c r="BJ16" s="60">
        <f t="shared" si="38"/>
        <v>333.29599352215496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2.1</v>
      </c>
      <c r="BY16" s="13">
        <f>IF('Données projet'!$A$114&gt;35,BY15+BX16-CG15,IF(A16&lt;'Données projet'!$A$114,$BV$205^A16,IF(A16='Données projet'!$A$114,'Données projet'!$B$114,BY15+BX16-CG15)))</f>
        <v>11.35303662145153</v>
      </c>
      <c r="BZ16" s="14">
        <f>BY16*VLOOKUP('Données projet'!$B$12,Paramètres!$A$1:$I$89,3,0)*VLOOKUP('Données projet'!$B$12,Paramètres!$A$1:$I$89,5,0)</f>
        <v>10.98065702026792</v>
      </c>
      <c r="CA16" s="14">
        <f t="shared" si="39"/>
        <v>3.8286992592655618</v>
      </c>
      <c r="CB16" s="22">
        <f t="shared" si="10"/>
        <v>25.792962186854144</v>
      </c>
      <c r="CC16" s="60">
        <f t="shared" si="11"/>
        <v>225.33396243847295</v>
      </c>
      <c r="CD16" s="60">
        <f ca="1">AVERAGE(OFFSET($CC$3,0,0,'Données projet'!$E$12+1,1))-AVERAGE(OFFSET($H$3,0,0,'Données projet'!$E$12+1,1))</f>
        <v>496.33873798282525</v>
      </c>
      <c r="CE16" s="60">
        <f t="shared" si="40"/>
        <v>280.25465074992246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2.1</v>
      </c>
      <c r="CT16" s="13">
        <f>IF('Données projet'!$A$140&gt;35,CT15+CS16-DB15,IF(A16&lt;'Données projet'!$A$140,$CQ$205^A16,IF(A16='Données projet'!$A$140,'Données projet'!$B$140,CT15+CS16-DB15)))</f>
        <v>11.35303662145153</v>
      </c>
      <c r="CU16" s="18">
        <f>CT16*VLOOKUP('Données projet'!$B$13,Paramètres!$A$1:$I$89,3,0)*VLOOKUP('Données projet'!$B$13,Paramètres!$A$1:$I$89,5,0)</f>
        <v>12.220408619330426</v>
      </c>
      <c r="CV16" s="14">
        <f t="shared" si="41"/>
        <v>4.2082449797185175</v>
      </c>
      <c r="CW16" s="22">
        <f t="shared" si="13"/>
        <v>28.613238351676909</v>
      </c>
      <c r="CX16" s="60">
        <f t="shared" si="14"/>
        <v>228.15423860329571</v>
      </c>
      <c r="CY16" s="60">
        <f ca="1">AVERAGE(OFFSET($CX$3,0,0,'Données projet'!$E$13+1,1))-AVERAGE(OFFSET($H$3,0,0,'Données projet'!$E$13+1,1))</f>
        <v>542.90832990875208</v>
      </c>
      <c r="CZ16" s="60">
        <f t="shared" si="42"/>
        <v>304.94365539329362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0" t="e">
        <f t="shared" si="17"/>
        <v>#N/A</v>
      </c>
      <c r="DT16" s="60" t="e">
        <f ca="1">AVERAGE(OFFSET($DS$3,0,0,'Données projet'!$E$14+1,1))-AVERAGE(OFFSET($H$3,0,0,'Données projet'!$E$14+1,1))</f>
        <v>#N/A</v>
      </c>
      <c r="DU16" s="60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0" t="e">
        <f t="shared" si="20"/>
        <v>#N/A</v>
      </c>
      <c r="EO16" s="60" t="e">
        <f ca="1">AVERAGE(OFFSET($EN$3,0,0,'Données projet'!$E$15+1,1))-AVERAGE(OFFSET($H$3,0,0,'Données projet'!$E$15+1,1))</f>
        <v>#N/A</v>
      </c>
      <c r="EP16" s="60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0" t="e">
        <f t="shared" si="23"/>
        <v>#N/A</v>
      </c>
      <c r="FJ16" s="60" t="e">
        <f ca="1">AVERAGE(OFFSET($FI$3,0,0,'Données projet'!$E$16+1,1))-AVERAGE(OFFSET($H$3,0,0,'Données projet'!$E$16+1,1))</f>
        <v>#N/A</v>
      </c>
      <c r="FK16" s="60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0" t="e">
        <f t="shared" si="26"/>
        <v>#N/A</v>
      </c>
      <c r="GE16" s="60" t="e">
        <f ca="1">AVERAGE(OFFSET($GD$3,0,0,'Données projet'!$E$17+1,1))-AVERAGE(OFFSET($H$3,0,0,'Données projet'!$E$17+1,1))</f>
        <v>#N/A</v>
      </c>
      <c r="GF16" s="60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4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3.4425641025641025</v>
      </c>
      <c r="N17" s="14">
        <f>IF('Données projet'!$A$36&gt;35,N16+M17-V16,IF(A17&lt;'Données projet'!$A$36,$K$205^A17,IF(A17='Données projet'!$A$36,'Données projet'!$B$36,N16+M17-V16)))</f>
        <v>8.7069931392376674</v>
      </c>
      <c r="O17" s="14">
        <f>N17*VLOOKUP('Données projet'!$B$9,Paramètres!$A$1:$I$89,3,0)*VLOOKUP('Données projet'!$B$9,Paramètres!$A$1:$I$89,5,0)</f>
        <v>4.0748727891632281</v>
      </c>
      <c r="P17" s="14">
        <f t="shared" si="33"/>
        <v>1.5945892948181934</v>
      </c>
      <c r="Q17" s="22">
        <f t="shared" si="2"/>
        <v>9.8743131296009761</v>
      </c>
      <c r="R17" s="60">
        <f t="shared" si="0"/>
        <v>211.90417490187417</v>
      </c>
      <c r="S17" s="60">
        <f ca="1">AVERAGE(OFFSET($R$3,0,0,'Données projet'!$E$9+1,1))-AVERAGE(OFFSET($H$3,0,0,'Données projet'!$E$9+1,1))</f>
        <v>277.7918215389401</v>
      </c>
      <c r="T17" s="60">
        <f t="shared" si="34"/>
        <v>164.65640238394164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IF('Données projet'!$A$62&gt;35,AI16+AH17-AQ16,IF(A17&lt;'Données projet'!$A$62,$AF$205^A17,IF(A17='Données projet'!$A$62,'Données projet'!$B$62,AI16+AH17-AQ16)))</f>
        <v>13.685935953338433</v>
      </c>
      <c r="AJ17" s="14">
        <f>AI17*VLOOKUP('Données projet'!$B$10,Paramètres!$A$1:$I$89,3,0)*VLOOKUP('Données projet'!$B$10,Paramètres!$A$1:$I$89,5,0)</f>
        <v>12.383034850580612</v>
      </c>
      <c r="AK17" s="14">
        <f t="shared" si="35"/>
        <v>4.2576904771143838</v>
      </c>
      <c r="AL17" s="22">
        <f t="shared" si="4"/>
        <v>28.982596612402116</v>
      </c>
      <c r="AM17" s="60">
        <f t="shared" si="5"/>
        <v>231.01245838467531</v>
      </c>
      <c r="AN17" s="60">
        <f ca="1">AVERAGE(OFFSET($AM$3,0,0,'Données projet'!$E$10+1,1))-AVERAGE(OFFSET($H$3,0,0,'Données projet'!$E$10+1,1))</f>
        <v>469.67944008675863</v>
      </c>
      <c r="AO17" s="60">
        <f t="shared" si="36"/>
        <v>266.11908070867173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>
        <f>VLOOKUP(A17,'Données projet'!$A$87:$I$107,2,0)</f>
        <v>70.405500000000004</v>
      </c>
      <c r="BB17" s="13">
        <f>VLOOKUP(A17,'Données projet'!$A$87:$I$107,9,0)</f>
        <v>16.660000000000004</v>
      </c>
      <c r="BC17" s="13">
        <f t="array" ref="BC17">INDEX(BB:BB,MIN(IF(ISNUMBER(BB17:BB213),ROW(BB17:BB213),"")))</f>
        <v>16.660000000000004</v>
      </c>
      <c r="BD17" s="13">
        <f>IF('Données projet'!$A$88&gt;35,BD16+BC17-BL16,IF(A17&lt;'Données projet'!$A$88,$BA$205^A17,IF(A17='Données projet'!$A$88,'Données projet'!$B$88,BD16+BC17-BL16)))</f>
        <v>70.405500000000004</v>
      </c>
      <c r="BE17" s="14">
        <f>BD17*VLOOKUP('Données projet'!$B$11,Paramètres!$A$1:$I$89,3,0)*VLOOKUP('Données projet'!$B$11,Paramètres!$A$1:$I$89,5,0)</f>
        <v>42.102489000000006</v>
      </c>
      <c r="BF17" s="14">
        <f t="shared" si="37"/>
        <v>12.55423955359754</v>
      </c>
      <c r="BG17" s="22">
        <f t="shared" si="7"/>
        <v>95.193802230849045</v>
      </c>
      <c r="BH17" s="60">
        <f t="shared" si="8"/>
        <v>297.22366400312222</v>
      </c>
      <c r="BI17" s="60">
        <f ca="1">AVERAGE(OFFSET($BH$3,0,0,'Données projet'!$E$11+1,1))-AVERAGE(OFFSET($H$3,0,0,'Données projet'!$E$11+1,1))</f>
        <v>216.36762889365235</v>
      </c>
      <c r="BJ17" s="60">
        <f t="shared" si="38"/>
        <v>333.29599352215496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2.1</v>
      </c>
      <c r="BY17" s="13">
        <f>IF('Données projet'!$A$114&gt;35,BY16+BX17-CG16,IF(A17&lt;'Données projet'!$A$114,$BV$205^A17,IF(A17='Données projet'!$A$114,'Données projet'!$B$114,BY16+BX17-CG16)))</f>
        <v>13.685935953338433</v>
      </c>
      <c r="BZ17" s="14">
        <f>BY17*VLOOKUP('Données projet'!$B$12,Paramètres!$A$1:$I$89,3,0)*VLOOKUP('Données projet'!$B$12,Paramètres!$A$1:$I$89,5,0)</f>
        <v>13.237037254068934</v>
      </c>
      <c r="CA17" s="14">
        <f t="shared" si="39"/>
        <v>4.5161297192961545</v>
      </c>
      <c r="CB17" s="22">
        <f t="shared" si="10"/>
        <v>30.920099145277529</v>
      </c>
      <c r="CC17" s="60">
        <f t="shared" si="11"/>
        <v>232.94996091755073</v>
      </c>
      <c r="CD17" s="60">
        <f ca="1">AVERAGE(OFFSET($CC$3,0,0,'Données projet'!$E$12+1,1))-AVERAGE(OFFSET($H$3,0,0,'Données projet'!$E$12+1,1))</f>
        <v>496.33873798282525</v>
      </c>
      <c r="CE17" s="60">
        <f t="shared" si="40"/>
        <v>280.25465074992246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2.1</v>
      </c>
      <c r="CT17" s="13">
        <f>IF('Données projet'!$A$140&gt;35,CT16+CS17-DB16,IF(A17&lt;'Données projet'!$A$140,$CQ$205^A17,IF(A17='Données projet'!$A$140,'Données projet'!$B$140,CT16+CS17-DB16)))</f>
        <v>13.685935953338433</v>
      </c>
      <c r="CU17" s="18">
        <f>CT17*VLOOKUP('Données projet'!$B$13,Paramètres!$A$1:$I$89,3,0)*VLOOKUP('Données projet'!$B$13,Paramètres!$A$1:$I$89,5,0)</f>
        <v>14.731541460173487</v>
      </c>
      <c r="CV17" s="14">
        <f t="shared" si="41"/>
        <v>4.9638216355053304</v>
      </c>
      <c r="CW17" s="22">
        <f t="shared" si="13"/>
        <v>34.302757391640604</v>
      </c>
      <c r="CX17" s="60">
        <f t="shared" si="14"/>
        <v>236.33261916391379</v>
      </c>
      <c r="CY17" s="60">
        <f ca="1">AVERAGE(OFFSET($CX$3,0,0,'Données projet'!$E$13+1,1))-AVERAGE(OFFSET($H$3,0,0,'Données projet'!$E$13+1,1))</f>
        <v>542.90832990875208</v>
      </c>
      <c r="CZ17" s="60">
        <f t="shared" si="42"/>
        <v>304.94365539329362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0" t="e">
        <f t="shared" si="17"/>
        <v>#N/A</v>
      </c>
      <c r="DT17" s="60" t="e">
        <f ca="1">AVERAGE(OFFSET($DS$3,0,0,'Données projet'!$E$14+1,1))-AVERAGE(OFFSET($H$3,0,0,'Données projet'!$E$14+1,1))</f>
        <v>#N/A</v>
      </c>
      <c r="DU17" s="60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0" t="e">
        <f t="shared" si="20"/>
        <v>#N/A</v>
      </c>
      <c r="EO17" s="60" t="e">
        <f ca="1">AVERAGE(OFFSET($EN$3,0,0,'Données projet'!$E$15+1,1))-AVERAGE(OFFSET($H$3,0,0,'Données projet'!$E$15+1,1))</f>
        <v>#N/A</v>
      </c>
      <c r="EP17" s="60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0" t="e">
        <f t="shared" si="23"/>
        <v>#N/A</v>
      </c>
      <c r="FJ17" s="60" t="e">
        <f ca="1">AVERAGE(OFFSET($FI$3,0,0,'Données projet'!$E$16+1,1))-AVERAGE(OFFSET($H$3,0,0,'Données projet'!$E$16+1,1))</f>
        <v>#N/A</v>
      </c>
      <c r="FK17" s="60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0" t="e">
        <f t="shared" si="26"/>
        <v>#N/A</v>
      </c>
      <c r="GE17" s="60" t="e">
        <f ca="1">AVERAGE(OFFSET($GD$3,0,0,'Données projet'!$E$17+1,1))-AVERAGE(OFFSET($H$3,0,0,'Données projet'!$E$17+1,1))</f>
        <v>#N/A</v>
      </c>
      <c r="GF17" s="60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4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3.4425641025641025</v>
      </c>
      <c r="N18" s="14">
        <f>IF('Données projet'!$A$36&gt;35,N17+M18-V17,IF(A18&lt;'Données projet'!$A$36,$K$205^A18,IF(A18='Données projet'!$A$36,'Données projet'!$B$36,N17+M18-V17)))</f>
        <v>10.162525428107084</v>
      </c>
      <c r="O18" s="14">
        <f>N18*VLOOKUP('Données projet'!$B$9,Paramètres!$A$1:$I$89,3,0)*VLOOKUP('Données projet'!$B$9,Paramètres!$A$1:$I$89,5,0)</f>
        <v>4.7560619003541156</v>
      </c>
      <c r="P18" s="14">
        <f t="shared" si="33"/>
        <v>1.8279653298016947</v>
      </c>
      <c r="Q18" s="22">
        <f t="shared" si="2"/>
        <v>11.467180759188034</v>
      </c>
      <c r="R18" s="60">
        <f t="shared" si="0"/>
        <v>215.96393069206908</v>
      </c>
      <c r="S18" s="60">
        <f ca="1">AVERAGE(OFFSET($R$3,0,0,'Données projet'!$E$9+1,1))-AVERAGE(OFFSET($H$3,0,0,'Données projet'!$E$9+1,1))</f>
        <v>277.7918215389401</v>
      </c>
      <c r="T18" s="60">
        <f t="shared" si="34"/>
        <v>164.65640238394164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IF('Données projet'!$A$62&gt;35,AI17+AH18-AQ17,IF(A18&lt;'Données projet'!$A$62,$AF$205^A18,IF(A18='Données projet'!$A$62,'Données projet'!$B$62,AI17+AH18-AQ17)))</f>
        <v>16.498215337821566</v>
      </c>
      <c r="AJ18" s="14">
        <f>AI18*VLOOKUP('Données projet'!$B$10,Paramètres!$A$1:$I$89,3,0)*VLOOKUP('Données projet'!$B$10,Paramètres!$A$1:$I$89,5,0)</f>
        <v>14.927585237660953</v>
      </c>
      <c r="AK18" s="14">
        <f t="shared" si="35"/>
        <v>5.0221449106318534</v>
      </c>
      <c r="AL18" s="22">
        <f t="shared" si="4"/>
        <v>34.745780008276633</v>
      </c>
      <c r="AM18" s="60">
        <f t="shared" si="5"/>
        <v>239.24252994115767</v>
      </c>
      <c r="AN18" s="60">
        <f ca="1">AVERAGE(OFFSET($AM$3,0,0,'Données projet'!$E$10+1,1))-AVERAGE(OFFSET($H$3,0,0,'Données projet'!$E$10+1,1))</f>
        <v>469.67944008675863</v>
      </c>
      <c r="AO18" s="60">
        <f t="shared" si="36"/>
        <v>266.11908070867173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88.859000000000009</v>
      </c>
      <c r="BB18" s="13">
        <f>VLOOKUP(A18,'Données projet'!$A$87:$I$107,9,0)</f>
        <v>18.453500000000005</v>
      </c>
      <c r="BC18" s="13">
        <f t="array" ref="BC18">INDEX(BB:BB,MIN(IF(ISNUMBER(BB18:BB214),ROW(BB18:BB214),"")))</f>
        <v>18.453500000000005</v>
      </c>
      <c r="BD18" s="13">
        <f>IF('Données projet'!$A$88&gt;35,BD17+BC18-BL17,IF(A18&lt;'Données projet'!$A$88,$BA$205^A18,IF(A18='Données projet'!$A$88,'Données projet'!$B$88,BD17+BC18-BL17)))</f>
        <v>88.859000000000009</v>
      </c>
      <c r="BE18" s="14">
        <f>BD18*VLOOKUP('Données projet'!$B$11,Paramètres!$A$1:$I$89,3,0)*VLOOKUP('Données projet'!$B$11,Paramètres!$A$1:$I$89,5,0)</f>
        <v>53.137682000000012</v>
      </c>
      <c r="BF18" s="14">
        <f t="shared" si="37"/>
        <v>15.421187125360523</v>
      </c>
      <c r="BG18" s="22">
        <f t="shared" si="7"/>
        <v>119.40669706000294</v>
      </c>
      <c r="BH18" s="60">
        <f t="shared" si="8"/>
        <v>323.90344699288397</v>
      </c>
      <c r="BI18" s="60">
        <f ca="1">AVERAGE(OFFSET($BH$3,0,0,'Données projet'!$E$11+1,1))-AVERAGE(OFFSET($H$3,0,0,'Données projet'!$E$11+1,1))</f>
        <v>216.36762889365235</v>
      </c>
      <c r="BJ18" s="60">
        <f t="shared" si="38"/>
        <v>333.29599352215496</v>
      </c>
      <c r="BK18" s="16">
        <f>IF(ISNA(VLOOKUP(A18,'Données projet'!$A$87:$I$107,3,0)),0,VLOOKUP(A18,'Données projet'!$A$87:$I$107,3,0))</f>
        <v>1</v>
      </c>
      <c r="BL18" s="16">
        <f>IF(ISNA(VLOOKUP(A18,'Données projet'!$A$87:$I$107,4,0)),0,VLOOKUP(A18,'Données projet'!$A$87:$I$107,4,0))</f>
        <v>23.3155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0.22500000000000001</v>
      </c>
      <c r="BO18" s="17">
        <f>IF(ISNA(VLOOKUP(A18,'Données projet'!$A$87:$I$107,7,0)),0%,VLOOKUP(A18,'Données projet'!$A$87:$I$107,7,0))</f>
        <v>0.5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4.1451803783874421</v>
      </c>
      <c r="BR18" s="23">
        <f>EXP(-LN(2)/2)*BR17+(1-EXP(-LN(2)/2))/(LN(2)/2)*BL18*BO18*VLOOKUP('Données projet'!$B$11,Paramètres!$A$1:$I$89,3,0)*0.475*44/12</f>
        <v>7.8931700777605167</v>
      </c>
      <c r="BS18" s="24">
        <f t="shared" si="9"/>
        <v>12.03835045614796</v>
      </c>
      <c r="BT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2.1</v>
      </c>
      <c r="BY18" s="13">
        <f>IF('Données projet'!$A$114&gt;35,BY17+BX18-CG17,IF(A18&lt;'Données projet'!$A$114,$BV$205^A18,IF(A18='Données projet'!$A$114,'Données projet'!$B$114,BY17+BX18-CG17)))</f>
        <v>16.498215337821566</v>
      </c>
      <c r="BZ18" s="14">
        <f>BY18*VLOOKUP('Données projet'!$B$12,Paramètres!$A$1:$I$89,3,0)*VLOOKUP('Données projet'!$B$12,Paramètres!$A$1:$I$89,5,0)</f>
        <v>15.957073874741019</v>
      </c>
      <c r="CA18" s="14">
        <f t="shared" si="39"/>
        <v>5.3269860755326848</v>
      </c>
      <c r="CB18" s="22">
        <f t="shared" si="10"/>
        <v>37.069737746726702</v>
      </c>
      <c r="CC18" s="60">
        <f t="shared" si="11"/>
        <v>241.56648767960775</v>
      </c>
      <c r="CD18" s="60">
        <f ca="1">AVERAGE(OFFSET($CC$3,0,0,'Données projet'!$E$12+1,1))-AVERAGE(OFFSET($H$3,0,0,'Données projet'!$E$12+1,1))</f>
        <v>496.33873798282525</v>
      </c>
      <c r="CE18" s="60">
        <f t="shared" si="40"/>
        <v>280.25465074992246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2.1</v>
      </c>
      <c r="CT18" s="13">
        <f>IF('Données projet'!$A$140&gt;35,CT17+CS18-DB17,IF(A18&lt;'Données projet'!$A$140,$CQ$205^A18,IF(A18='Données projet'!$A$140,'Données projet'!$B$140,CT17+CS18-DB17)))</f>
        <v>16.498215337821566</v>
      </c>
      <c r="CU18" s="18">
        <f>CT18*VLOOKUP('Données projet'!$B$13,Paramètres!$A$1:$I$89,3,0)*VLOOKUP('Données projet'!$B$13,Paramètres!$A$1:$I$89,5,0)</f>
        <v>17.758678989631132</v>
      </c>
      <c r="CV18" s="14">
        <f t="shared" si="41"/>
        <v>5.8550596146042126</v>
      </c>
      <c r="CW18" s="22">
        <f t="shared" si="13"/>
        <v>41.127261402376554</v>
      </c>
      <c r="CX18" s="60">
        <f t="shared" si="14"/>
        <v>245.62401133525759</v>
      </c>
      <c r="CY18" s="60">
        <f ca="1">AVERAGE(OFFSET($CX$3,0,0,'Données projet'!$E$13+1,1))-AVERAGE(OFFSET($H$3,0,0,'Données projet'!$E$13+1,1))</f>
        <v>542.90832990875208</v>
      </c>
      <c r="CZ18" s="60">
        <f t="shared" si="42"/>
        <v>304.94365539329362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0" t="e">
        <f t="shared" si="17"/>
        <v>#N/A</v>
      </c>
      <c r="DT18" s="60" t="e">
        <f ca="1">AVERAGE(OFFSET($DS$3,0,0,'Données projet'!$E$14+1,1))-AVERAGE(OFFSET($H$3,0,0,'Données projet'!$E$14+1,1))</f>
        <v>#N/A</v>
      </c>
      <c r="DU18" s="60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0" t="e">
        <f t="shared" si="20"/>
        <v>#N/A</v>
      </c>
      <c r="EO18" s="60" t="e">
        <f ca="1">AVERAGE(OFFSET($EN$3,0,0,'Données projet'!$E$15+1,1))-AVERAGE(OFFSET($H$3,0,0,'Données projet'!$E$15+1,1))</f>
        <v>#N/A</v>
      </c>
      <c r="EP18" s="60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0" t="e">
        <f t="shared" si="23"/>
        <v>#N/A</v>
      </c>
      <c r="FJ18" s="60" t="e">
        <f ca="1">AVERAGE(OFFSET($FI$3,0,0,'Données projet'!$E$16+1,1))-AVERAGE(OFFSET($H$3,0,0,'Données projet'!$E$16+1,1))</f>
        <v>#N/A</v>
      </c>
      <c r="FK18" s="60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0" t="e">
        <f t="shared" si="26"/>
        <v>#N/A</v>
      </c>
      <c r="GE18" s="60" t="e">
        <f ca="1">AVERAGE(OFFSET($GD$3,0,0,'Données projet'!$E$17+1,1))-AVERAGE(OFFSET($H$3,0,0,'Données projet'!$E$17+1,1))</f>
        <v>#N/A</v>
      </c>
      <c r="GF18" s="60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4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3.4425641025641025</v>
      </c>
      <c r="N19" s="14">
        <f>IF('Données projet'!$A$36&gt;35,N18+M19-V18,IF(A19&lt;'Données projet'!$A$36,$K$205^A19,IF(A19='Données projet'!$A$36,'Données projet'!$B$36,N18+M19-V18)))</f>
        <v>11.861376416102864</v>
      </c>
      <c r="O19" s="14">
        <f>N19*VLOOKUP('Données projet'!$B$9,Paramètres!$A$1:$I$89,3,0)*VLOOKUP('Données projet'!$B$9,Paramètres!$A$1:$I$89,5,0)</f>
        <v>5.5511241627361398</v>
      </c>
      <c r="P19" s="14">
        <f t="shared" si="33"/>
        <v>2.0954971024924585</v>
      </c>
      <c r="Q19" s="22">
        <f t="shared" si="2"/>
        <v>13.31786537027314</v>
      </c>
      <c r="R19" s="60">
        <f t="shared" si="0"/>
        <v>220.25991129238719</v>
      </c>
      <c r="S19" s="60">
        <f ca="1">AVERAGE(OFFSET($R$3,0,0,'Données projet'!$E$9+1,1))-AVERAGE(OFFSET($H$3,0,0,'Données projet'!$E$9+1,1))</f>
        <v>277.7918215389401</v>
      </c>
      <c r="T19" s="60">
        <f t="shared" si="34"/>
        <v>164.65640238394164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IF('Données projet'!$A$62&gt;35,AI18+AH19-AQ18,IF(A19&lt;'Données projet'!$A$62,$AF$205^A19,IF(A19='Données projet'!$A$62,'Données projet'!$B$62,AI18+AH19-AQ18)))</f>
        <v>19.888381054913147</v>
      </c>
      <c r="AJ19" s="14">
        <f>AI19*VLOOKUP('Données projet'!$B$10,Paramètres!$A$1:$I$89,3,0)*VLOOKUP('Données projet'!$B$10,Paramètres!$A$1:$I$89,5,0)</f>
        <v>17.995007178485412</v>
      </c>
      <c r="AK19" s="14">
        <f t="shared" si="35"/>
        <v>5.9238546434872337</v>
      </c>
      <c r="AL19" s="22">
        <f t="shared" si="4"/>
        <v>41.658684339935689</v>
      </c>
      <c r="AM19" s="60">
        <f t="shared" si="5"/>
        <v>248.60073026204975</v>
      </c>
      <c r="AN19" s="60">
        <f ca="1">AVERAGE(OFFSET($AM$3,0,0,'Données projet'!$E$10+1,1))-AVERAGE(OFFSET($H$3,0,0,'Données projet'!$E$10+1,1))</f>
        <v>469.67944008675863</v>
      </c>
      <c r="AO19" s="60">
        <f t="shared" si="36"/>
        <v>266.11908070867173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>
        <f>VLOOKUP(A19,'Données projet'!$A$87:$I$107,2,0)</f>
        <v>78.208500000000001</v>
      </c>
      <c r="BB19" s="13">
        <f>VLOOKUP(A19,'Données projet'!$A$87:$I$107,9,0)</f>
        <v>12.664999999999992</v>
      </c>
      <c r="BC19" s="13">
        <f t="array" ref="BC19">INDEX(BB:BB,MIN(IF(ISNUMBER(BB19:BB215),ROW(BB19:BB215),"")))</f>
        <v>12.664999999999992</v>
      </c>
      <c r="BD19" s="13">
        <f>IF('Données projet'!$A$88&gt;35,BD18+BC19-BL18,IF(A19&lt;'Données projet'!$A$88,$BA$205^A19,IF(A19='Données projet'!$A$88,'Données projet'!$B$88,BD18+BC19-BL18)))</f>
        <v>78.208500000000001</v>
      </c>
      <c r="BE19" s="14">
        <f>BD19*VLOOKUP('Données projet'!$B$11,Paramètres!$A$1:$I$89,3,0)*VLOOKUP('Données projet'!$B$11,Paramètres!$A$1:$I$89,5,0)</f>
        <v>46.768683000000003</v>
      </c>
      <c r="BF19" s="14">
        <f t="shared" si="37"/>
        <v>13.776041008898259</v>
      </c>
      <c r="BG19" s="22">
        <f t="shared" si="7"/>
        <v>105.44872764883114</v>
      </c>
      <c r="BH19" s="60">
        <f t="shared" si="8"/>
        <v>312.39077357094521</v>
      </c>
      <c r="BI19" s="60">
        <f ca="1">AVERAGE(OFFSET($BH$3,0,0,'Données projet'!$E$11+1,1))-AVERAGE(OFFSET($H$3,0,0,'Données projet'!$E$11+1,1))</f>
        <v>216.36762889365235</v>
      </c>
      <c r="BJ19" s="60">
        <f t="shared" si="38"/>
        <v>333.29599352215496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4.0318302029548754</v>
      </c>
      <c r="BR19" s="23">
        <f>EXP(-LN(2)/2)*BR18+(1-EXP(-LN(2)/2))/(LN(2)/2)*BL19*BO19*VLOOKUP('Données projet'!$B$11,Paramètres!$A$1:$I$89,3,0)*0.475*44/12</f>
        <v>5.5813140870432107</v>
      </c>
      <c r="BS19" s="24">
        <f t="shared" si="9"/>
        <v>9.6131442899980861</v>
      </c>
      <c r="BT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2.1</v>
      </c>
      <c r="BY19" s="13">
        <f>IF('Données projet'!$A$114&gt;35,BY18+BX19-CG18,IF(A19&lt;'Données projet'!$A$114,$BV$205^A19,IF(A19='Données projet'!$A$114,'Données projet'!$B$114,BY18+BX19-CG18)))</f>
        <v>19.888381054913147</v>
      </c>
      <c r="BZ19" s="14">
        <f>BY19*VLOOKUP('Données projet'!$B$12,Paramètres!$A$1:$I$89,3,0)*VLOOKUP('Données projet'!$B$12,Paramètres!$A$1:$I$89,5,0)</f>
        <v>19.236042156311996</v>
      </c>
      <c r="CA19" s="14">
        <f t="shared" si="39"/>
        <v>6.2834290449348904</v>
      </c>
      <c r="CB19" s="22">
        <f t="shared" si="10"/>
        <v>44.446412342171662</v>
      </c>
      <c r="CC19" s="60">
        <f t="shared" si="11"/>
        <v>251.38845826428573</v>
      </c>
      <c r="CD19" s="60">
        <f ca="1">AVERAGE(OFFSET($CC$3,0,0,'Données projet'!$E$12+1,1))-AVERAGE(OFFSET($H$3,0,0,'Données projet'!$E$12+1,1))</f>
        <v>496.33873798282525</v>
      </c>
      <c r="CE19" s="60">
        <f t="shared" si="40"/>
        <v>280.25465074992246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2.1</v>
      </c>
      <c r="CT19" s="13">
        <f>IF('Données projet'!$A$140&gt;35,CT18+CS19-DB18,IF(A19&lt;'Données projet'!$A$140,$CQ$205^A19,IF(A19='Données projet'!$A$140,'Données projet'!$B$140,CT18+CS19-DB18)))</f>
        <v>19.888381054913147</v>
      </c>
      <c r="CU19" s="18">
        <f>CT19*VLOOKUP('Données projet'!$B$13,Paramètres!$A$1:$I$89,3,0)*VLOOKUP('Données projet'!$B$13,Paramètres!$A$1:$I$89,5,0)</f>
        <v>21.407853367508512</v>
      </c>
      <c r="CV19" s="14">
        <f t="shared" si="41"/>
        <v>6.906316464991046</v>
      </c>
      <c r="CW19" s="22">
        <f t="shared" si="13"/>
        <v>49.313845791603399</v>
      </c>
      <c r="CX19" s="60">
        <f t="shared" si="14"/>
        <v>256.25589171371746</v>
      </c>
      <c r="CY19" s="60">
        <f ca="1">AVERAGE(OFFSET($CX$3,0,0,'Données projet'!$E$13+1,1))-AVERAGE(OFFSET($H$3,0,0,'Données projet'!$E$13+1,1))</f>
        <v>542.90832990875208</v>
      </c>
      <c r="CZ19" s="60">
        <f t="shared" si="42"/>
        <v>304.94365539329362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0" t="e">
        <f t="shared" si="17"/>
        <v>#N/A</v>
      </c>
      <c r="DT19" s="60" t="e">
        <f ca="1">AVERAGE(OFFSET($DS$3,0,0,'Données projet'!$E$14+1,1))-AVERAGE(OFFSET($H$3,0,0,'Données projet'!$E$14+1,1))</f>
        <v>#N/A</v>
      </c>
      <c r="DU19" s="60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0" t="e">
        <f t="shared" si="20"/>
        <v>#N/A</v>
      </c>
      <c r="EO19" s="60" t="e">
        <f ca="1">AVERAGE(OFFSET($EN$3,0,0,'Données projet'!$E$15+1,1))-AVERAGE(OFFSET($H$3,0,0,'Données projet'!$E$15+1,1))</f>
        <v>#N/A</v>
      </c>
      <c r="EP19" s="60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0" t="e">
        <f t="shared" si="23"/>
        <v>#N/A</v>
      </c>
      <c r="FJ19" s="60" t="e">
        <f ca="1">AVERAGE(OFFSET($FI$3,0,0,'Données projet'!$E$16+1,1))-AVERAGE(OFFSET($H$3,0,0,'Données projet'!$E$16+1,1))</f>
        <v>#N/A</v>
      </c>
      <c r="FK19" s="60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0" t="e">
        <f t="shared" si="26"/>
        <v>#N/A</v>
      </c>
      <c r="GE19" s="60" t="e">
        <f ca="1">AVERAGE(OFFSET($GD$3,0,0,'Données projet'!$E$17+1,1))-AVERAGE(OFFSET($H$3,0,0,'Données projet'!$E$17+1,1))</f>
        <v>#N/A</v>
      </c>
      <c r="GF19" s="60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4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3.4425641025641025</v>
      </c>
      <c r="N20" s="14">
        <f>IF('Données projet'!$A$36&gt;35,N19+M20-V19,IF(A20&lt;'Données projet'!$A$36,$K$205^A20,IF(A20='Données projet'!$A$36,'Données projet'!$B$36,N19+M20-V19)))</f>
        <v>13.84422124990315</v>
      </c>
      <c r="O20" s="14">
        <f>N20*VLOOKUP('Données projet'!$B$9,Paramètres!$A$1:$I$89,3,0)*VLOOKUP('Données projet'!$B$9,Paramètres!$A$1:$I$89,5,0)</f>
        <v>6.4790955449546734</v>
      </c>
      <c r="P20" s="14">
        <f t="shared" si="33"/>
        <v>2.4021834741420709</v>
      </c>
      <c r="Q20" s="22">
        <f t="shared" si="2"/>
        <v>15.468227624926827</v>
      </c>
      <c r="R20" s="60">
        <f t="shared" si="0"/>
        <v>224.83435194079956</v>
      </c>
      <c r="S20" s="60">
        <f ca="1">AVERAGE(OFFSET($R$3,0,0,'Données projet'!$E$9+1,1))-AVERAGE(OFFSET($H$3,0,0,'Données projet'!$E$9+1,1))</f>
        <v>277.7918215389401</v>
      </c>
      <c r="T20" s="60">
        <f t="shared" si="34"/>
        <v>164.65640238394164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IF('Données projet'!$A$62&gt;35,AI19+AH20-AQ19,IF(A20&lt;'Données projet'!$A$62,$AF$205^A20,IF(A20='Données projet'!$A$62,'Données projet'!$B$62,AI19+AH20-AQ19)))</f>
        <v>23.975181126327602</v>
      </c>
      <c r="AJ20" s="14">
        <f>AI20*VLOOKUP('Données projet'!$B$10,Paramètres!$A$1:$I$89,3,0)*VLOOKUP('Données projet'!$B$10,Paramètres!$A$1:$I$89,5,0)</f>
        <v>21.692743883101215</v>
      </c>
      <c r="AK20" s="14">
        <f t="shared" si="35"/>
        <v>6.98746341685115</v>
      </c>
      <c r="AL20" s="22">
        <f t="shared" si="4"/>
        <v>49.951361047417038</v>
      </c>
      <c r="AM20" s="60">
        <f t="shared" si="5"/>
        <v>259.31748536328973</v>
      </c>
      <c r="AN20" s="60">
        <f ca="1">AVERAGE(OFFSET($AM$3,0,0,'Données projet'!$E$10+1,1))-AVERAGE(OFFSET($H$3,0,0,'Données projet'!$E$10+1,1))</f>
        <v>469.67944008675863</v>
      </c>
      <c r="AO20" s="60">
        <f t="shared" si="36"/>
        <v>266.11908070867173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>
        <f>VLOOKUP(A20,'Données projet'!$A$87:$I$107,2,0)</f>
        <v>88.340500000000006</v>
      </c>
      <c r="BB20" s="13">
        <f>VLOOKUP(A20,'Données projet'!$A$87:$I$107,9,0)</f>
        <v>10.132000000000005</v>
      </c>
      <c r="BC20" s="13">
        <f t="array" ref="BC20">INDEX(BB:BB,MIN(IF(ISNUMBER(BB20:BB216),ROW(BB20:BB216),"")))</f>
        <v>10.132000000000005</v>
      </c>
      <c r="BD20" s="13">
        <f>IF('Données projet'!$A$88&gt;35,BD19+BC20-BL19,IF(A20&lt;'Données projet'!$A$88,$BA$205^A20,IF(A20='Données projet'!$A$88,'Données projet'!$B$88,BD19+BC20-BL19)))</f>
        <v>88.340500000000006</v>
      </c>
      <c r="BE20" s="14">
        <f>BD20*VLOOKUP('Données projet'!$B$11,Paramètres!$A$1:$I$89,3,0)*VLOOKUP('Données projet'!$B$11,Paramètres!$A$1:$I$89,5,0)</f>
        <v>52.827619000000006</v>
      </c>
      <c r="BF20" s="14">
        <f t="shared" si="37"/>
        <v>15.341650229603808</v>
      </c>
      <c r="BG20" s="22">
        <f t="shared" si="7"/>
        <v>118.72814390822663</v>
      </c>
      <c r="BH20" s="60">
        <f t="shared" si="8"/>
        <v>328.09426822409932</v>
      </c>
      <c r="BI20" s="60">
        <f ca="1">AVERAGE(OFFSET($BH$3,0,0,'Données projet'!$E$11+1,1))-AVERAGE(OFFSET($H$3,0,0,'Données projet'!$E$11+1,1))</f>
        <v>216.36762889365235</v>
      </c>
      <c r="BJ20" s="60">
        <f t="shared" si="38"/>
        <v>333.29599352215496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3.9215795940303386</v>
      </c>
      <c r="BR20" s="23">
        <f>EXP(-LN(2)/2)*BR19+(1-EXP(-LN(2)/2))/(LN(2)/2)*BL20*BO20*VLOOKUP('Données projet'!$B$11,Paramètres!$A$1:$I$89,3,0)*0.475*44/12</f>
        <v>3.9465850388802592</v>
      </c>
      <c r="BS20" s="24">
        <f t="shared" si="9"/>
        <v>7.8681646329105979</v>
      </c>
      <c r="BT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2.1</v>
      </c>
      <c r="BY20" s="13">
        <f>IF('Données projet'!$A$114&gt;35,BY19+BX20-CG19,IF(A20&lt;'Données projet'!$A$114,$BV$205^A20,IF(A20='Données projet'!$A$114,'Données projet'!$B$114,BY19+BX20-CG19)))</f>
        <v>23.975181126327602</v>
      </c>
      <c r="BZ20" s="14">
        <f>BY20*VLOOKUP('Données projet'!$B$12,Paramètres!$A$1:$I$89,3,0)*VLOOKUP('Données projet'!$B$12,Paramètres!$A$1:$I$89,5,0)</f>
        <v>23.188795185384055</v>
      </c>
      <c r="CA20" s="14">
        <f t="shared" si="39"/>
        <v>7.4115982288884323</v>
      </c>
      <c r="CB20" s="22">
        <f t="shared" si="10"/>
        <v>53.29568519652458</v>
      </c>
      <c r="CC20" s="60">
        <f t="shared" si="11"/>
        <v>262.66180951239733</v>
      </c>
      <c r="CD20" s="60">
        <f ca="1">AVERAGE(OFFSET($CC$3,0,0,'Données projet'!$E$12+1,1))-AVERAGE(OFFSET($H$3,0,0,'Données projet'!$E$12+1,1))</f>
        <v>496.33873798282525</v>
      </c>
      <c r="CE20" s="60">
        <f t="shared" si="40"/>
        <v>280.25465074992246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2.1</v>
      </c>
      <c r="CT20" s="13">
        <f>IF('Données projet'!$A$140&gt;35,CT19+CS20-DB19,IF(A20&lt;'Données projet'!$A$140,$CQ$205^A20,IF(A20='Données projet'!$A$140,'Données projet'!$B$140,CT19+CS20-DB19)))</f>
        <v>23.975181126327602</v>
      </c>
      <c r="CU20" s="18">
        <f>CT20*VLOOKUP('Données projet'!$B$13,Paramètres!$A$1:$I$89,3,0)*VLOOKUP('Données projet'!$B$13,Paramètres!$A$1:$I$89,5,0)</f>
        <v>25.80688496437903</v>
      </c>
      <c r="CV20" s="14">
        <f t="shared" si="41"/>
        <v>8.146323052908933</v>
      </c>
      <c r="CW20" s="22">
        <f t="shared" si="13"/>
        <v>59.135170630109862</v>
      </c>
      <c r="CX20" s="60">
        <f t="shared" si="14"/>
        <v>268.50129494598258</v>
      </c>
      <c r="CY20" s="60">
        <f ca="1">AVERAGE(OFFSET($CX$3,0,0,'Données projet'!$E$13+1,1))-AVERAGE(OFFSET($H$3,0,0,'Données projet'!$E$13+1,1))</f>
        <v>542.90832990875208</v>
      </c>
      <c r="CZ20" s="60">
        <f t="shared" si="42"/>
        <v>304.94365539329362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0" t="e">
        <f t="shared" si="17"/>
        <v>#N/A</v>
      </c>
      <c r="DT20" s="60" t="e">
        <f ca="1">AVERAGE(OFFSET($DS$3,0,0,'Données projet'!$E$14+1,1))-AVERAGE(OFFSET($H$3,0,0,'Données projet'!$E$14+1,1))</f>
        <v>#N/A</v>
      </c>
      <c r="DU20" s="60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0" t="e">
        <f t="shared" si="20"/>
        <v>#N/A</v>
      </c>
      <c r="EO20" s="60" t="e">
        <f ca="1">AVERAGE(OFFSET($EN$3,0,0,'Données projet'!$E$15+1,1))-AVERAGE(OFFSET($H$3,0,0,'Données projet'!$E$15+1,1))</f>
        <v>#N/A</v>
      </c>
      <c r="EP20" s="60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0" t="e">
        <f t="shared" si="23"/>
        <v>#N/A</v>
      </c>
      <c r="FJ20" s="60" t="e">
        <f ca="1">AVERAGE(OFFSET($FI$3,0,0,'Données projet'!$E$16+1,1))-AVERAGE(OFFSET($H$3,0,0,'Données projet'!$E$16+1,1))</f>
        <v>#N/A</v>
      </c>
      <c r="FK20" s="60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0" t="e">
        <f t="shared" si="26"/>
        <v>#N/A</v>
      </c>
      <c r="GE20" s="60" t="e">
        <f ca="1">AVERAGE(OFFSET($GD$3,0,0,'Données projet'!$E$17+1,1))-AVERAGE(OFFSET($H$3,0,0,'Données projet'!$E$17+1,1))</f>
        <v>#N/A</v>
      </c>
      <c r="GF20" s="60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4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3.4425641025641025</v>
      </c>
      <c r="N21" s="14">
        <f>IF('Données projet'!$A$36&gt;35,N20+M21-V20,IF(A21&lt;'Données projet'!$A$36,$K$205^A21,IF(A21='Données projet'!$A$36,'Données projet'!$B$36,N20+M21-V20)))</f>
        <v>16.158534666859676</v>
      </c>
      <c r="O21" s="14">
        <f>N21*VLOOKUP('Données projet'!$B$9,Paramètres!$A$1:$I$89,3,0)*VLOOKUP('Données projet'!$B$9,Paramètres!$A$1:$I$89,5,0)</f>
        <v>7.5621942240903284</v>
      </c>
      <c r="P21" s="14">
        <f t="shared" si="33"/>
        <v>2.7537549140858508</v>
      </c>
      <c r="Q21" s="22">
        <f t="shared" si="2"/>
        <v>17.96694474899018</v>
      </c>
      <c r="R21" s="60">
        <f t="shared" si="0"/>
        <v>229.7362979409933</v>
      </c>
      <c r="S21" s="60">
        <f ca="1">AVERAGE(OFFSET($R$3,0,0,'Données projet'!$E$9+1,1))-AVERAGE(OFFSET($H$3,0,0,'Données projet'!$E$9+1,1))</f>
        <v>277.7918215389401</v>
      </c>
      <c r="T21" s="60">
        <f t="shared" si="34"/>
        <v>164.65640238394164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IF('Données projet'!$A$62&gt;35,AI20+AH21-AQ20,IF(A21&lt;'Données projet'!$A$62,$AF$205^A21,IF(A21='Données projet'!$A$62,'Données projet'!$B$62,AI20+AH21-AQ20)))</f>
        <v>28.901764726506816</v>
      </c>
      <c r="AJ21" s="14">
        <f>AI21*VLOOKUP('Données projet'!$B$10,Paramètres!$A$1:$I$89,3,0)*VLOOKUP('Données projet'!$B$10,Paramètres!$A$1:$I$89,5,0)</f>
        <v>26.150316724543362</v>
      </c>
      <c r="AK21" s="14">
        <f t="shared" si="35"/>
        <v>8.2420396752158016</v>
      </c>
      <c r="AL21" s="22">
        <f t="shared" si="4"/>
        <v>59.900020729580547</v>
      </c>
      <c r="AM21" s="60">
        <f t="shared" si="5"/>
        <v>271.66937392158366</v>
      </c>
      <c r="AN21" s="60">
        <f ca="1">AVERAGE(OFFSET($AM$3,0,0,'Données projet'!$E$10+1,1))-AVERAGE(OFFSET($H$3,0,0,'Données projet'!$E$10+1,1))</f>
        <v>469.67944008675863</v>
      </c>
      <c r="AO21" s="60">
        <f t="shared" si="36"/>
        <v>266.11908070867173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>
        <f>VLOOKUP(A21,'Données projet'!$A$87:$I$107,2,0)</f>
        <v>100.55499999999999</v>
      </c>
      <c r="BB21" s="13">
        <f>VLOOKUP(A21,'Données projet'!$A$87:$I$107,9,0)</f>
        <v>12.214499999999987</v>
      </c>
      <c r="BC21" s="13">
        <f t="array" ref="BC21">INDEX(BB:BB,MIN(IF(ISNUMBER(BB21:BB217),ROW(BB21:BB217),"")))</f>
        <v>12.214499999999987</v>
      </c>
      <c r="BD21" s="13">
        <f>IF('Données projet'!$A$88&gt;35,BD20+BC21-BL20,IF(A21&lt;'Données projet'!$A$88,$BA$205^A21,IF(A21='Données projet'!$A$88,'Données projet'!$B$88,BD20+BC21-BL20)))</f>
        <v>100.55499999999999</v>
      </c>
      <c r="BE21" s="14">
        <f>BD21*VLOOKUP('Données projet'!$B$11,Paramètres!$A$1:$I$89,3,0)*VLOOKUP('Données projet'!$B$11,Paramètres!$A$1:$I$89,5,0)</f>
        <v>60.131889999999999</v>
      </c>
      <c r="BF21" s="14">
        <f t="shared" si="37"/>
        <v>17.20161067997558</v>
      </c>
      <c r="BG21" s="22">
        <f t="shared" si="7"/>
        <v>134.68918035095743</v>
      </c>
      <c r="BH21" s="60">
        <f t="shared" si="8"/>
        <v>346.45853354296054</v>
      </c>
      <c r="BI21" s="60">
        <f ca="1">AVERAGE(OFFSET($BH$3,0,0,'Données projet'!$E$11+1,1))-AVERAGE(OFFSET($H$3,0,0,'Données projet'!$E$11+1,1))</f>
        <v>216.36762889365235</v>
      </c>
      <c r="BJ21" s="60">
        <f t="shared" si="38"/>
        <v>333.29599352215496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3.8143437938046709</v>
      </c>
      <c r="BR21" s="23">
        <f>EXP(-LN(2)/2)*BR20+(1-EXP(-LN(2)/2))/(LN(2)/2)*BL21*BO21*VLOOKUP('Données projet'!$B$11,Paramètres!$A$1:$I$89,3,0)*0.475*44/12</f>
        <v>2.7906570435216058</v>
      </c>
      <c r="BS21" s="24">
        <f t="shared" si="9"/>
        <v>6.6050008373262763</v>
      </c>
      <c r="BT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2.1</v>
      </c>
      <c r="BY21" s="13">
        <f>IF('Données projet'!$A$114&gt;35,BY20+BX21-CG20,IF(A21&lt;'Données projet'!$A$114,$BV$205^A21,IF(A21='Données projet'!$A$114,'Données projet'!$B$114,BY20+BX21-CG20)))</f>
        <v>28.901764726506816</v>
      </c>
      <c r="BZ21" s="14">
        <f>BY21*VLOOKUP('Données projet'!$B$12,Paramètres!$A$1:$I$89,3,0)*VLOOKUP('Données projet'!$B$12,Paramètres!$A$1:$I$89,5,0)</f>
        <v>27.953786843477392</v>
      </c>
      <c r="CA21" s="14">
        <f t="shared" si="39"/>
        <v>8.7423265089215931</v>
      </c>
      <c r="CB21" s="22">
        <f t="shared" si="10"/>
        <v>63.912397422094891</v>
      </c>
      <c r="CC21" s="60">
        <f t="shared" si="11"/>
        <v>275.68175061409801</v>
      </c>
      <c r="CD21" s="60">
        <f ca="1">AVERAGE(OFFSET($CC$3,0,0,'Données projet'!$E$12+1,1))-AVERAGE(OFFSET($H$3,0,0,'Données projet'!$E$12+1,1))</f>
        <v>496.33873798282525</v>
      </c>
      <c r="CE21" s="60">
        <f t="shared" si="40"/>
        <v>280.25465074992246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2.1</v>
      </c>
      <c r="CT21" s="13">
        <f>IF('Données projet'!$A$140&gt;35,CT20+CS21-DB20,IF(A21&lt;'Données projet'!$A$140,$CQ$205^A21,IF(A21='Données projet'!$A$140,'Données projet'!$B$140,CT20+CS21-DB20)))</f>
        <v>28.901764726506816</v>
      </c>
      <c r="CU21" s="18">
        <f>CT21*VLOOKUP('Données projet'!$B$13,Paramètres!$A$1:$I$89,3,0)*VLOOKUP('Données projet'!$B$13,Paramètres!$A$1:$I$89,5,0)</f>
        <v>31.109859551611933</v>
      </c>
      <c r="CV21" s="14">
        <f t="shared" si="41"/>
        <v>9.6089687778941872</v>
      </c>
      <c r="CW21" s="22">
        <f t="shared" si="13"/>
        <v>70.918626007223153</v>
      </c>
      <c r="CX21" s="60">
        <f t="shared" si="14"/>
        <v>282.68797919922628</v>
      </c>
      <c r="CY21" s="60">
        <f ca="1">AVERAGE(OFFSET($CX$3,0,0,'Données projet'!$E$13+1,1))-AVERAGE(OFFSET($H$3,0,0,'Données projet'!$E$13+1,1))</f>
        <v>542.90832990875208</v>
      </c>
      <c r="CZ21" s="60">
        <f t="shared" si="42"/>
        <v>304.94365539329362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0" t="e">
        <f t="shared" si="17"/>
        <v>#N/A</v>
      </c>
      <c r="DT21" s="60" t="e">
        <f ca="1">AVERAGE(OFFSET($DS$3,0,0,'Données projet'!$E$14+1,1))-AVERAGE(OFFSET($H$3,0,0,'Données projet'!$E$14+1,1))</f>
        <v>#N/A</v>
      </c>
      <c r="DU21" s="60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0" t="e">
        <f t="shared" si="20"/>
        <v>#N/A</v>
      </c>
      <c r="EO21" s="60" t="e">
        <f ca="1">AVERAGE(OFFSET($EN$3,0,0,'Données projet'!$E$15+1,1))-AVERAGE(OFFSET($H$3,0,0,'Données projet'!$E$15+1,1))</f>
        <v>#N/A</v>
      </c>
      <c r="EP21" s="60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0" t="e">
        <f t="shared" si="23"/>
        <v>#N/A</v>
      </c>
      <c r="FJ21" s="60" t="e">
        <f ca="1">AVERAGE(OFFSET($FI$3,0,0,'Données projet'!$E$16+1,1))-AVERAGE(OFFSET($H$3,0,0,'Données projet'!$E$16+1,1))</f>
        <v>#N/A</v>
      </c>
      <c r="FK21" s="60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0" t="e">
        <f t="shared" si="26"/>
        <v>#N/A</v>
      </c>
      <c r="GE21" s="60" t="e">
        <f ca="1">AVERAGE(OFFSET($GD$3,0,0,'Données projet'!$E$17+1,1))-AVERAGE(OFFSET($H$3,0,0,'Données projet'!$E$17+1,1))</f>
        <v>#N/A</v>
      </c>
      <c r="GF21" s="60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4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3.4425641025641025</v>
      </c>
      <c r="N22" s="14">
        <f>IF('Données projet'!$A$36&gt;35,N21+M22-V21,IF(A22&lt;'Données projet'!$A$36,$K$205^A22,IF(A22='Données projet'!$A$36,'Données projet'!$B$36,N21+M22-V21)))</f>
        <v>18.859727670267663</v>
      </c>
      <c r="O22" s="14">
        <f>N22*VLOOKUP('Données projet'!$B$9,Paramètres!$A$1:$I$89,3,0)*VLOOKUP('Données projet'!$B$9,Paramètres!$A$1:$I$89,5,0)</f>
        <v>8.8263525496852662</v>
      </c>
      <c r="P22" s="14">
        <f t="shared" si="33"/>
        <v>3.1567805742066648</v>
      </c>
      <c r="Q22" s="22">
        <f t="shared" si="2"/>
        <v>20.870623524111782</v>
      </c>
      <c r="R22" s="60">
        <f t="shared" si="0"/>
        <v>235.0227177671353</v>
      </c>
      <c r="S22" s="60">
        <f ca="1">AVERAGE(OFFSET($R$3,0,0,'Données projet'!$E$9+1,1))-AVERAGE(OFFSET($H$3,0,0,'Données projet'!$E$9+1,1))</f>
        <v>277.7918215389401</v>
      </c>
      <c r="T22" s="60">
        <f t="shared" si="34"/>
        <v>164.65640238394164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IF('Données projet'!$A$62&gt;35,AI21+AH22-AQ21,IF(A22&lt;'Données projet'!$A$62,$AF$205^A22,IF(A22='Données projet'!$A$62,'Données projet'!$B$62,AI21+AH22-AQ21)))</f>
        <v>34.840696297767764</v>
      </c>
      <c r="AJ22" s="14">
        <f>AI22*VLOOKUP('Données projet'!$B$10,Paramètres!$A$1:$I$89,3,0)*VLOOKUP('Données projet'!$B$10,Paramètres!$A$1:$I$89,5,0)</f>
        <v>31.52386201022027</v>
      </c>
      <c r="AK22" s="14">
        <f t="shared" si="35"/>
        <v>9.7218710074397983</v>
      </c>
      <c r="AL22" s="22">
        <f t="shared" si="4"/>
        <v>71.836318339091292</v>
      </c>
      <c r="AM22" s="60">
        <f t="shared" si="5"/>
        <v>285.98841258211485</v>
      </c>
      <c r="AN22" s="60">
        <f ca="1">AVERAGE(OFFSET($AM$3,0,0,'Données projet'!$E$10+1,1))-AVERAGE(OFFSET($H$3,0,0,'Données projet'!$E$10+1,1))</f>
        <v>469.67944008675863</v>
      </c>
      <c r="AO22" s="60">
        <f t="shared" si="36"/>
        <v>266.11908070867173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>
        <f>VLOOKUP(A22,'Données projet'!$A$87:$I$107,2,0)</f>
        <v>113.679</v>
      </c>
      <c r="BB22" s="13">
        <f>VLOOKUP(A22,'Données projet'!$A$87:$I$107,9,0)</f>
        <v>13.124000000000009</v>
      </c>
      <c r="BC22" s="13">
        <f t="array" ref="BC22">INDEX(BB:BB,MIN(IF(ISNUMBER(BB22:BB218),ROW(BB22:BB218),"")))</f>
        <v>13.124000000000009</v>
      </c>
      <c r="BD22" s="13">
        <f>IF('Données projet'!$A$88&gt;35,BD21+BC22-BL21,IF(A22&lt;'Données projet'!$A$88,$BA$205^A22,IF(A22='Données projet'!$A$88,'Données projet'!$B$88,BD21+BC22-BL21)))</f>
        <v>113.679</v>
      </c>
      <c r="BE22" s="14">
        <f>BD22*VLOOKUP('Données projet'!$B$11,Paramètres!$A$1:$I$89,3,0)*VLOOKUP('Données projet'!$B$11,Paramètres!$A$1:$I$89,5,0)</f>
        <v>67.980042000000012</v>
      </c>
      <c r="BF22" s="14">
        <f t="shared" si="37"/>
        <v>19.170979162871237</v>
      </c>
      <c r="BG22" s="22">
        <f t="shared" si="7"/>
        <v>151.78802852533406</v>
      </c>
      <c r="BH22" s="60">
        <f t="shared" si="8"/>
        <v>365.94012276835758</v>
      </c>
      <c r="BI22" s="60">
        <f ca="1">AVERAGE(OFFSET($BH$3,0,0,'Données projet'!$E$11+1,1))-AVERAGE(OFFSET($H$3,0,0,'Données projet'!$E$11+1,1))</f>
        <v>216.36762889365235</v>
      </c>
      <c r="BJ22" s="60">
        <f t="shared" si="38"/>
        <v>333.29599352215496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3.7100403621754601</v>
      </c>
      <c r="BR22" s="23">
        <f>EXP(-LN(2)/2)*BR21+(1-EXP(-LN(2)/2))/(LN(2)/2)*BL22*BO22*VLOOKUP('Données projet'!$B$11,Paramètres!$A$1:$I$89,3,0)*0.475*44/12</f>
        <v>1.9732925194401298</v>
      </c>
      <c r="BS22" s="24">
        <f t="shared" si="9"/>
        <v>5.6833328816155895</v>
      </c>
      <c r="BT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2.1</v>
      </c>
      <c r="BY22" s="13">
        <f>IF('Données projet'!$A$114&gt;35,BY21+BX22-CG21,IF(A22&lt;'Données projet'!$A$114,$BV$205^A22,IF(A22='Données projet'!$A$114,'Données projet'!$B$114,BY21+BX22-CG21)))</f>
        <v>34.840696297767764</v>
      </c>
      <c r="BZ22" s="14">
        <f>BY22*VLOOKUP('Données projet'!$B$12,Paramètres!$A$1:$I$89,3,0)*VLOOKUP('Données projet'!$B$12,Paramètres!$A$1:$I$89,5,0)</f>
        <v>33.697921459200977</v>
      </c>
      <c r="CA22" s="14">
        <f t="shared" si="39"/>
        <v>10.31198270984201</v>
      </c>
      <c r="CB22" s="22">
        <f t="shared" si="10"/>
        <v>76.650583094416518</v>
      </c>
      <c r="CC22" s="60">
        <f t="shared" si="11"/>
        <v>290.80267733744006</v>
      </c>
      <c r="CD22" s="60">
        <f ca="1">AVERAGE(OFFSET($CC$3,0,0,'Données projet'!$E$12+1,1))-AVERAGE(OFFSET($H$3,0,0,'Données projet'!$E$12+1,1))</f>
        <v>496.33873798282525</v>
      </c>
      <c r="CE22" s="60">
        <f t="shared" si="40"/>
        <v>280.25465074992246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2.1</v>
      </c>
      <c r="CT22" s="13">
        <f>IF('Données projet'!$A$140&gt;35,CT21+CS22-DB21,IF(A22&lt;'Données projet'!$A$140,$CQ$205^A22,IF(A22='Données projet'!$A$140,'Données projet'!$B$140,CT21+CS22-DB21)))</f>
        <v>34.840696297767764</v>
      </c>
      <c r="CU22" s="18">
        <f>CT22*VLOOKUP('Données projet'!$B$13,Paramètres!$A$1:$I$89,3,0)*VLOOKUP('Données projet'!$B$13,Paramètres!$A$1:$I$89,5,0)</f>
        <v>37.502525494917215</v>
      </c>
      <c r="CV22" s="14">
        <f t="shared" si="41"/>
        <v>11.334227770598273</v>
      </c>
      <c r="CW22" s="22">
        <f t="shared" si="13"/>
        <v>85.057345270772814</v>
      </c>
      <c r="CX22" s="60">
        <f t="shared" si="14"/>
        <v>299.20943951379633</v>
      </c>
      <c r="CY22" s="60">
        <f ca="1">AVERAGE(OFFSET($CX$3,0,0,'Données projet'!$E$13+1,1))-AVERAGE(OFFSET($H$3,0,0,'Données projet'!$E$13+1,1))</f>
        <v>542.90832990875208</v>
      </c>
      <c r="CZ22" s="60">
        <f t="shared" si="42"/>
        <v>304.94365539329362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0" t="e">
        <f t="shared" si="17"/>
        <v>#N/A</v>
      </c>
      <c r="DT22" s="60" t="e">
        <f ca="1">AVERAGE(OFFSET($DS$3,0,0,'Données projet'!$E$14+1,1))-AVERAGE(OFFSET($H$3,0,0,'Données projet'!$E$14+1,1))</f>
        <v>#N/A</v>
      </c>
      <c r="DU22" s="60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0" t="e">
        <f t="shared" si="20"/>
        <v>#N/A</v>
      </c>
      <c r="EO22" s="60" t="e">
        <f ca="1">AVERAGE(OFFSET($EN$3,0,0,'Données projet'!$E$15+1,1))-AVERAGE(OFFSET($H$3,0,0,'Données projet'!$E$15+1,1))</f>
        <v>#N/A</v>
      </c>
      <c r="EP22" s="60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0" t="e">
        <f t="shared" si="23"/>
        <v>#N/A</v>
      </c>
      <c r="FJ22" s="60" t="e">
        <f ca="1">AVERAGE(OFFSET($FI$3,0,0,'Données projet'!$E$16+1,1))-AVERAGE(OFFSET($H$3,0,0,'Données projet'!$E$16+1,1))</f>
        <v>#N/A</v>
      </c>
      <c r="FK22" s="60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0" t="e">
        <f t="shared" si="26"/>
        <v>#N/A</v>
      </c>
      <c r="GE22" s="60" t="e">
        <f ca="1">AVERAGE(OFFSET($GD$3,0,0,'Données projet'!$E$17+1,1))-AVERAGE(OFFSET($H$3,0,0,'Données projet'!$E$17+1,1))</f>
        <v>#N/A</v>
      </c>
      <c r="GF22" s="60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4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3.4425641025641025</v>
      </c>
      <c r="N23" s="14">
        <f>IF('Données projet'!$A$36&gt;35,N22+M23-V22,IF(A23&lt;'Données projet'!$A$36,$K$205^A23,IF(A23='Données projet'!$A$36,'Données projet'!$B$36,N22+M23-V22)))</f>
        <v>22.012474220583886</v>
      </c>
      <c r="O23" s="14">
        <f>N23*VLOOKUP('Données projet'!$B$9,Paramètres!$A$1:$I$89,3,0)*VLOOKUP('Données projet'!$B$9,Paramètres!$A$1:$I$89,5,0)</f>
        <v>10.301837935233259</v>
      </c>
      <c r="P23" s="14">
        <f t="shared" si="33"/>
        <v>3.6187910342764393</v>
      </c>
      <c r="Q23" s="22">
        <f t="shared" si="2"/>
        <v>24.245095455229389</v>
      </c>
      <c r="R23" s="60">
        <f t="shared" si="0"/>
        <v>240.75979834212512</v>
      </c>
      <c r="S23" s="60">
        <f ca="1">AVERAGE(OFFSET($R$3,0,0,'Données projet'!$E$9+1,1))-AVERAGE(OFFSET($H$3,0,0,'Données projet'!$E$9+1,1))</f>
        <v>277.7918215389401</v>
      </c>
      <c r="T23" s="60">
        <f t="shared" si="34"/>
        <v>164.65640238394164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5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IF('Données projet'!$A$62&gt;35,AI22+AH23-AQ22,IF(A23&lt;'Données projet'!$A$62,$AF$205^A23,IF(A23='Données projet'!$A$62,'Données projet'!$B$62,AI22+AH23-AQ22)))</f>
        <v>42</v>
      </c>
      <c r="AJ23" s="14">
        <f>AI23*VLOOKUP('Données projet'!$B$10,Paramètres!$A$1:$I$89,3,0)*VLOOKUP('Données projet'!$B$10,Paramètres!$A$1:$I$89,5,0)</f>
        <v>38.001600000000003</v>
      </c>
      <c r="AK23" s="14">
        <f t="shared" si="35"/>
        <v>11.467401227090512</v>
      </c>
      <c r="AL23" s="22">
        <f t="shared" si="4"/>
        <v>86.158510470515978</v>
      </c>
      <c r="AM23" s="60">
        <f t="shared" si="5"/>
        <v>302.67321335741167</v>
      </c>
      <c r="AN23" s="60">
        <f ca="1">AVERAGE(OFFSET($AM$3,0,0,'Données projet'!$E$10+1,1))-AVERAGE(OFFSET($H$3,0,0,'Données projet'!$E$10+1,1))</f>
        <v>469.67944008675863</v>
      </c>
      <c r="AO23" s="60">
        <f t="shared" si="36"/>
        <v>266.11908070867173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130.203</v>
      </c>
      <c r="BB23" s="13">
        <f>VLOOKUP(A23,'Données projet'!$A$87:$I$107,9,0)</f>
        <v>16.524000000000001</v>
      </c>
      <c r="BC23" s="13">
        <f t="array" ref="BC23">INDEX(BB:BB,MIN(IF(ISNUMBER(BB23:BB219),ROW(BB23:BB219),"")))</f>
        <v>16.524000000000001</v>
      </c>
      <c r="BD23" s="13">
        <f>IF('Données projet'!$A$88&gt;35,BD22+BC23-BL22,IF(A23&lt;'Données projet'!$A$88,$BA$205^A23,IF(A23='Données projet'!$A$88,'Données projet'!$B$88,BD22+BC23-BL22)))</f>
        <v>130.203</v>
      </c>
      <c r="BE23" s="14">
        <f>BD23*VLOOKUP('Données projet'!$B$11,Paramètres!$A$1:$I$89,3,0)*VLOOKUP('Données projet'!$B$11,Paramètres!$A$1:$I$89,5,0)</f>
        <v>77.861394000000004</v>
      </c>
      <c r="BF23" s="14">
        <f t="shared" si="37"/>
        <v>21.613462087022899</v>
      </c>
      <c r="BG23" s="22">
        <f t="shared" si="7"/>
        <v>173.25204101823155</v>
      </c>
      <c r="BH23" s="60">
        <f t="shared" si="8"/>
        <v>389.76674390512727</v>
      </c>
      <c r="BI23" s="60">
        <f ca="1">AVERAGE(OFFSET($BH$3,0,0,'Données projet'!$E$11+1,1))-AVERAGE(OFFSET($H$3,0,0,'Données projet'!$E$11+1,1))</f>
        <v>216.36762889365235</v>
      </c>
      <c r="BJ23" s="60">
        <f t="shared" si="38"/>
        <v>333.29599352215496</v>
      </c>
      <c r="BK23" s="16">
        <f>IF(ISNA(VLOOKUP(A23,'Données projet'!$A$87:$I$107,3,0)),0,VLOOKUP(A23,'Données projet'!$A$87:$I$107,3,0))</f>
        <v>2</v>
      </c>
      <c r="BL23" s="16">
        <f>IF(ISNA(VLOOKUP(A23,'Données projet'!$A$87:$I$107,4,0)),0,VLOOKUP(A23,'Données projet'!$A$87:$I$107,4,0))</f>
        <v>34.110500000000002</v>
      </c>
      <c r="BM23" s="17">
        <f>IF(ISNA(VLOOKUP(A23,'Données projet'!$A$87:$I$107,5,0)),0%,VLOOKUP(A23,'Données projet'!$A$87:$I$107,5,0)*VLOOKUP('Données projet'!$B$11,Paramètres!$A$1:$I$89,7,0))</f>
        <v>0.1125</v>
      </c>
      <c r="BN23" s="17">
        <f>IF(ISNA(VLOOKUP(A23,'Données projet'!$A$87:$I$107,6,0)),0%,VLOOKUP(A23,'Données projet'!$A$87:$I$107,6,0)*VLOOKUP('Données projet'!$B$11,Paramètres!$A$1:$I$89,7,0))</f>
        <v>0.16875000000000001</v>
      </c>
      <c r="BO23" s="17">
        <f>IF(ISNA(VLOOKUP(A23,'Données projet'!$A$87:$I$107,7,0)),0%,VLOOKUP(A23,'Données projet'!$A$87:$I$107,7,0))</f>
        <v>0.375</v>
      </c>
      <c r="BP23" s="23">
        <f>EXP(-LN(2)/35)*BP22+(1-EXP(-LN(2)/35))/(LN(2)/35)*BL23*BM23*VLOOKUP('Données projet'!$B$11,Paramètres!$A$1:$I$89,3,0)*0.475*44/12</f>
        <v>3.0441787380728691</v>
      </c>
      <c r="BQ23" s="23">
        <f>EXP(-LN(2)/25)*BQ22+(1-EXP(-LN(2)/25))/(LN(2)/25)*Calculateur!BL23*Calculateur!BN23*VLOOKUP('Données projet'!$B$11,Paramètres!$A$1:$I$89,3,0)*0.475*44/12</f>
        <v>8.1568780830562897</v>
      </c>
      <c r="BR23" s="23">
        <f>EXP(-LN(2)/2)*BR22+(1-EXP(-LN(2)/2))/(LN(2)/2)*BL23*BO23*VLOOKUP('Données projet'!$B$11,Paramètres!$A$1:$I$89,3,0)*0.475*44/12</f>
        <v>10.056089965996938</v>
      </c>
      <c r="BS23" s="24">
        <f t="shared" si="9"/>
        <v>21.257146787126096</v>
      </c>
      <c r="BT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42</v>
      </c>
      <c r="BW23" s="13">
        <f>VLOOKUP(A23,'Données projet'!$A$113:$I$133,9,0)</f>
        <v>2.1</v>
      </c>
      <c r="BX23" s="13">
        <f t="array" ref="BX23">INDEX(BW:BW,MIN(IF(ISNUMBER(BW23:BW219),ROW(BW23:BW219),"")))</f>
        <v>2.1</v>
      </c>
      <c r="BY23" s="13">
        <f>IF('Données projet'!$A$114&gt;35,BY22+BX23-CG22,IF(A23&lt;'Données projet'!$A$114,$BV$205^A23,IF(A23='Données projet'!$A$114,'Données projet'!$B$114,BY22+BX23-CG22)))</f>
        <v>42</v>
      </c>
      <c r="BZ23" s="14">
        <f>BY23*VLOOKUP('Données projet'!$B$12,Paramètres!$A$1:$I$89,3,0)*VLOOKUP('Données projet'!$B$12,Paramètres!$A$1:$I$89,5,0)</f>
        <v>40.622399999999999</v>
      </c>
      <c r="CA23" s="14">
        <f t="shared" si="39"/>
        <v>12.163465560290264</v>
      </c>
      <c r="CB23" s="22">
        <f t="shared" si="10"/>
        <v>91.935382517505545</v>
      </c>
      <c r="CC23" s="60">
        <f t="shared" si="11"/>
        <v>308.45008540440125</v>
      </c>
      <c r="CD23" s="60">
        <f ca="1">AVERAGE(OFFSET($CC$3,0,0,'Données projet'!$E$12+1,1))-AVERAGE(OFFSET($H$3,0,0,'Données projet'!$E$12+1,1))</f>
        <v>496.33873798282525</v>
      </c>
      <c r="CE23" s="60">
        <f t="shared" si="40"/>
        <v>280.25465074992246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42</v>
      </c>
      <c r="CR23" s="13">
        <f>VLOOKUP(A23,'Données projet'!$A$139:$I$159,9,0)</f>
        <v>2.1</v>
      </c>
      <c r="CS23" s="13">
        <f t="array" ref="CS23">INDEX(CR:CR,MIN(IF(ISNUMBER(CR23:CR219),ROW(CR23:CR219),"")))</f>
        <v>2.1</v>
      </c>
      <c r="CT23" s="13">
        <f>IF('Données projet'!$A$140&gt;35,CT22+CS23-DB22,IF(A23&lt;'Données projet'!$A$140,$CQ$205^A23,IF(A23='Données projet'!$A$140,'Données projet'!$B$140,CT22+CS23-DB22)))</f>
        <v>42</v>
      </c>
      <c r="CU23" s="18">
        <f>CT23*VLOOKUP('Données projet'!$B$13,Paramètres!$A$1:$I$89,3,0)*VLOOKUP('Données projet'!$B$13,Paramètres!$A$1:$I$89,5,0)</f>
        <v>45.208799999999997</v>
      </c>
      <c r="CV23" s="14">
        <f t="shared" si="41"/>
        <v>13.369251386406743</v>
      </c>
      <c r="CW23" s="22">
        <f t="shared" si="13"/>
        <v>102.02343949799173</v>
      </c>
      <c r="CX23" s="60">
        <f t="shared" si="14"/>
        <v>318.53814238488746</v>
      </c>
      <c r="CY23" s="60">
        <f ca="1">AVERAGE(OFFSET($CX$3,0,0,'Données projet'!$E$13+1,1))-AVERAGE(OFFSET($H$3,0,0,'Données projet'!$E$13+1,1))</f>
        <v>542.90832990875208</v>
      </c>
      <c r="CZ23" s="60">
        <f t="shared" si="42"/>
        <v>304.94365539329362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0" t="e">
        <f t="shared" si="17"/>
        <v>#N/A</v>
      </c>
      <c r="DT23" s="60" t="e">
        <f ca="1">AVERAGE(OFFSET($DS$3,0,0,'Données projet'!$E$14+1,1))-AVERAGE(OFFSET($H$3,0,0,'Données projet'!$E$14+1,1))</f>
        <v>#N/A</v>
      </c>
      <c r="DU23" s="60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0" t="e">
        <f t="shared" si="20"/>
        <v>#N/A</v>
      </c>
      <c r="EO23" s="60" t="e">
        <f ca="1">AVERAGE(OFFSET($EN$3,0,0,'Données projet'!$E$15+1,1))-AVERAGE(OFFSET($H$3,0,0,'Données projet'!$E$15+1,1))</f>
        <v>#N/A</v>
      </c>
      <c r="EP23" s="60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0" t="e">
        <f t="shared" si="23"/>
        <v>#N/A</v>
      </c>
      <c r="FJ23" s="60" t="e">
        <f ca="1">AVERAGE(OFFSET($FI$3,0,0,'Données projet'!$E$16+1,1))-AVERAGE(OFFSET($H$3,0,0,'Données projet'!$E$16+1,1))</f>
        <v>#N/A</v>
      </c>
      <c r="FK23" s="60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0" t="e">
        <f t="shared" si="26"/>
        <v>#N/A</v>
      </c>
      <c r="GE23" s="60" t="e">
        <f ca="1">AVERAGE(OFFSET($GD$3,0,0,'Données projet'!$E$17+1,1))-AVERAGE(OFFSET($H$3,0,0,'Données projet'!$E$17+1,1))</f>
        <v>#N/A</v>
      </c>
      <c r="GF23" s="60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4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3.4425641025641025</v>
      </c>
      <c r="N24" s="14">
        <f>IF('Données projet'!$A$36&gt;35,N23+M24-V23,IF(A24&lt;'Données projet'!$A$36,$K$205^A24,IF(A24='Données projet'!$A$36,'Données projet'!$B$36,N23+M24-V23)))</f>
        <v>25.692259707215236</v>
      </c>
      <c r="O24" s="14">
        <f>N24*VLOOKUP('Données projet'!$B$9,Paramètres!$A$1:$I$89,3,0)*VLOOKUP('Données projet'!$B$9,Paramètres!$A$1:$I$89,5,0)</f>
        <v>12.023977542976729</v>
      </c>
      <c r="P24" s="14">
        <f t="shared" si="33"/>
        <v>4.1484190116858626</v>
      </c>
      <c r="Q24" s="22">
        <f t="shared" si="2"/>
        <v>28.166923999370677</v>
      </c>
      <c r="R24" s="60">
        <f t="shared" si="0"/>
        <v>247.02445237524506</v>
      </c>
      <c r="S24" s="60">
        <f ca="1">AVERAGE(OFFSET($R$3,0,0,'Données projet'!$E$9+1,1))-AVERAGE(OFFSET($H$3,0,0,'Données projet'!$E$9+1,1))</f>
        <v>277.7918215389401</v>
      </c>
      <c r="T24" s="60">
        <f t="shared" si="34"/>
        <v>164.65640238394164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5.6</v>
      </c>
      <c r="AI24" s="14">
        <f>IF('Données projet'!$A$62&gt;35,AI23+AH24-AQ23,IF(A24&lt;'Données projet'!$A$62,$AF$205^A24,IF(A24='Données projet'!$A$62,'Données projet'!$B$62,AI23+AH24-AQ23)))</f>
        <v>47.6</v>
      </c>
      <c r="AJ24" s="14">
        <f>AI24*VLOOKUP('Données projet'!$B$10,Paramètres!$A$1:$I$89,3,0)*VLOOKUP('Données projet'!$B$10,Paramètres!$A$1:$I$89,5,0)</f>
        <v>43.068480000000001</v>
      </c>
      <c r="AK24" s="14">
        <f t="shared" si="35"/>
        <v>12.808416415102187</v>
      </c>
      <c r="AL24" s="22">
        <f t="shared" si="4"/>
        <v>97.318927922969635</v>
      </c>
      <c r="AM24" s="60">
        <f t="shared" si="5"/>
        <v>316.17645629884402</v>
      </c>
      <c r="AN24" s="60">
        <f ca="1">AVERAGE(OFFSET($AM$3,0,0,'Données projet'!$E$10+1,1))-AVERAGE(OFFSET($H$3,0,0,'Données projet'!$E$10+1,1))</f>
        <v>469.67944008675863</v>
      </c>
      <c r="AO24" s="60">
        <f t="shared" si="36"/>
        <v>266.11908070867173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>
        <f>VLOOKUP(A24,'Données projet'!$A$87:$I$107,2,0)</f>
        <v>110.82299999999999</v>
      </c>
      <c r="BB24" s="13">
        <f>VLOOKUP(A24,'Données projet'!$A$87:$I$107,9,0)</f>
        <v>14.730499999999992</v>
      </c>
      <c r="BC24" s="13">
        <f t="array" ref="BC24">INDEX(BB:BB,MIN(IF(ISNUMBER(BB24:BB220),ROW(BB24:BB220),"")))</f>
        <v>14.730499999999992</v>
      </c>
      <c r="BD24" s="13">
        <f>IF('Données projet'!$A$88&gt;35,BD23+BC24-BL23,IF(A24&lt;'Données projet'!$A$88,$BA$205^A24,IF(A24='Données projet'!$A$88,'Données projet'!$B$88,BD23+BC24-BL23)))</f>
        <v>110.82299999999998</v>
      </c>
      <c r="BE24" s="14">
        <f>BD24*VLOOKUP('Données projet'!$B$11,Paramètres!$A$1:$I$89,3,0)*VLOOKUP('Données projet'!$B$11,Paramètres!$A$1:$I$89,5,0)</f>
        <v>66.272154</v>
      </c>
      <c r="BF24" s="14">
        <f t="shared" si="37"/>
        <v>18.744774180635133</v>
      </c>
      <c r="BG24" s="22">
        <f t="shared" si="7"/>
        <v>148.07114991460617</v>
      </c>
      <c r="BH24" s="60">
        <f t="shared" si="8"/>
        <v>366.92867829048055</v>
      </c>
      <c r="BI24" s="60">
        <f ca="1">AVERAGE(OFFSET($BH$3,0,0,'Données projet'!$E$11+1,1))-AVERAGE(OFFSET($H$3,0,0,'Données projet'!$E$11+1,1))</f>
        <v>216.36762889365235</v>
      </c>
      <c r="BJ24" s="60">
        <f t="shared" si="38"/>
        <v>333.29599352215496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2.9844842497849502</v>
      </c>
      <c r="BQ24" s="23">
        <f>EXP(-LN(2)/25)*BQ23+(1-EXP(-LN(2)/25))/(LN(2)/25)*Calculateur!BL24*Calculateur!BN24*VLOOKUP('Données projet'!$B$11,Paramètres!$A$1:$I$89,3,0)*0.475*44/12</f>
        <v>7.9338278229235399</v>
      </c>
      <c r="BR24" s="23">
        <f>EXP(-LN(2)/2)*BR23+(1-EXP(-LN(2)/2))/(LN(2)/2)*BL24*BO24*VLOOKUP('Données projet'!$B$11,Paramètres!$A$1:$I$89,3,0)*0.475*44/12</f>
        <v>7.1107294071784333</v>
      </c>
      <c r="BS24" s="24">
        <f t="shared" si="9"/>
        <v>18.029041479886924</v>
      </c>
      <c r="BT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5.6</v>
      </c>
      <c r="BY24" s="13">
        <f>IF('Données projet'!$A$114&gt;35,BY23+BX24-CG23,IF(A24&lt;'Données projet'!$A$114,$BV$205^A24,IF(A24='Données projet'!$A$114,'Données projet'!$B$114,BY23+BX24-CG23)))</f>
        <v>47.6</v>
      </c>
      <c r="BZ24" s="14">
        <f>BY24*VLOOKUP('Données projet'!$B$12,Paramètres!$A$1:$I$89,3,0)*VLOOKUP('Données projet'!$B$12,Paramètres!$A$1:$I$89,5,0)</f>
        <v>46.038720000000005</v>
      </c>
      <c r="CA24" s="14">
        <f t="shared" si="39"/>
        <v>13.585879560828786</v>
      </c>
      <c r="CB24" s="22">
        <f t="shared" si="10"/>
        <v>103.84617756844348</v>
      </c>
      <c r="CC24" s="60">
        <f t="shared" si="11"/>
        <v>322.70370594431785</v>
      </c>
      <c r="CD24" s="60">
        <f ca="1">AVERAGE(OFFSET($CC$3,0,0,'Données projet'!$E$12+1,1))-AVERAGE(OFFSET($H$3,0,0,'Données projet'!$E$12+1,1))</f>
        <v>496.33873798282525</v>
      </c>
      <c r="CE24" s="60">
        <f t="shared" si="40"/>
        <v>280.25465074992246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5.6</v>
      </c>
      <c r="CT24" s="13">
        <f>IF('Données projet'!$A$140&gt;35,CT23+CS24-DB23,IF(A24&lt;'Données projet'!$A$140,$CQ$205^A24,IF(A24='Données projet'!$A$140,'Données projet'!$B$140,CT23+CS24-DB23)))</f>
        <v>47.6</v>
      </c>
      <c r="CU24" s="18">
        <f>CT24*VLOOKUP('Données projet'!$B$13,Paramètres!$A$1:$I$89,3,0)*VLOOKUP('Données projet'!$B$13,Paramètres!$A$1:$I$89,5,0)</f>
        <v>51.236640000000001</v>
      </c>
      <c r="CV24" s="14">
        <f t="shared" si="41"/>
        <v>14.932671799321549</v>
      </c>
      <c r="CW24" s="22">
        <f t="shared" si="13"/>
        <v>115.24488471715169</v>
      </c>
      <c r="CX24" s="60">
        <f t="shared" si="14"/>
        <v>334.10241309302609</v>
      </c>
      <c r="CY24" s="60">
        <f ca="1">AVERAGE(OFFSET($CX$3,0,0,'Données projet'!$E$13+1,1))-AVERAGE(OFFSET($H$3,0,0,'Données projet'!$E$13+1,1))</f>
        <v>542.90832990875208</v>
      </c>
      <c r="CZ24" s="60">
        <f t="shared" si="42"/>
        <v>304.94365539329362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0" t="e">
        <f t="shared" si="17"/>
        <v>#N/A</v>
      </c>
      <c r="DT24" s="60" t="e">
        <f ca="1">AVERAGE(OFFSET($DS$3,0,0,'Données projet'!$E$14+1,1))-AVERAGE(OFFSET($H$3,0,0,'Données projet'!$E$14+1,1))</f>
        <v>#N/A</v>
      </c>
      <c r="DU24" s="60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0" t="e">
        <f t="shared" si="20"/>
        <v>#N/A</v>
      </c>
      <c r="EO24" s="60" t="e">
        <f ca="1">AVERAGE(OFFSET($EN$3,0,0,'Données projet'!$E$15+1,1))-AVERAGE(OFFSET($H$3,0,0,'Données projet'!$E$15+1,1))</f>
        <v>#N/A</v>
      </c>
      <c r="EP24" s="60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0" t="e">
        <f t="shared" si="23"/>
        <v>#N/A</v>
      </c>
      <c r="FJ24" s="60" t="e">
        <f ca="1">AVERAGE(OFFSET($FI$3,0,0,'Données projet'!$E$16+1,1))-AVERAGE(OFFSET($H$3,0,0,'Données projet'!$E$16+1,1))</f>
        <v>#N/A</v>
      </c>
      <c r="FK24" s="60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0" t="e">
        <f t="shared" si="26"/>
        <v>#N/A</v>
      </c>
      <c r="GE24" s="60" t="e">
        <f ca="1">AVERAGE(OFFSET($GD$3,0,0,'Données projet'!$E$17+1,1))-AVERAGE(OFFSET($H$3,0,0,'Données projet'!$E$17+1,1))</f>
        <v>#N/A</v>
      </c>
      <c r="GF24" s="60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4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3.4425641025641025</v>
      </c>
      <c r="N25" s="14">
        <f>IF('Données projet'!$A$36&gt;35,N24+M25-V24,IF(A25&lt;'Données projet'!$A$36,$K$205^A25,IF(A25='Données projet'!$A$36,'Données projet'!$B$36,N24+M25-V24)))</f>
        <v>29.987188275534368</v>
      </c>
      <c r="O25" s="14">
        <f>N25*VLOOKUP('Données projet'!$B$9,Paramètres!$A$1:$I$89,3,0)*VLOOKUP('Données projet'!$B$9,Paramètres!$A$1:$I$89,5,0)</f>
        <v>14.034004112950084</v>
      </c>
      <c r="P25" s="14">
        <f t="shared" si="33"/>
        <v>4.7555606647394173</v>
      </c>
      <c r="Q25" s="22">
        <f t="shared" si="2"/>
        <v>32.725158654475884</v>
      </c>
      <c r="R25" s="60">
        <f t="shared" si="0"/>
        <v>253.90607255794427</v>
      </c>
      <c r="S25" s="60">
        <f ca="1">AVERAGE(OFFSET($R$3,0,0,'Données projet'!$E$9+1,1))-AVERAGE(OFFSET($H$3,0,0,'Données projet'!$E$9+1,1))</f>
        <v>277.7918215389401</v>
      </c>
      <c r="T25" s="60">
        <f t="shared" si="34"/>
        <v>164.65640238394164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5.6</v>
      </c>
      <c r="AI25" s="14">
        <f>IF('Données projet'!$A$62&gt;35,AI24+AH25-AQ24,IF(A25&lt;'Données projet'!$A$62,$AF$205^A25,IF(A25='Données projet'!$A$62,'Données projet'!$B$62,AI24+AH25-AQ24)))</f>
        <v>53.2</v>
      </c>
      <c r="AJ25" s="14">
        <f>AI25*VLOOKUP('Données projet'!$B$10,Paramètres!$A$1:$I$89,3,0)*VLOOKUP('Données projet'!$B$10,Paramètres!$A$1:$I$89,5,0)</f>
        <v>48.135359999999999</v>
      </c>
      <c r="AK25" s="14">
        <f t="shared" si="35"/>
        <v>14.131148275361113</v>
      </c>
      <c r="AL25" s="22">
        <f t="shared" si="4"/>
        <v>108.4475019129206</v>
      </c>
      <c r="AM25" s="60">
        <f t="shared" si="5"/>
        <v>329.62841581638901</v>
      </c>
      <c r="AN25" s="60">
        <f ca="1">AVERAGE(OFFSET($AM$3,0,0,'Données projet'!$E$10+1,1))-AVERAGE(OFFSET($H$3,0,0,'Données projet'!$E$10+1,1))</f>
        <v>469.67944008675863</v>
      </c>
      <c r="AO25" s="60">
        <f t="shared" si="36"/>
        <v>266.11908070867173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>
        <f>VLOOKUP(A25,'Données projet'!$A$87:$I$107,2,0)</f>
        <v>126.871</v>
      </c>
      <c r="BB25" s="13">
        <f>VLOOKUP(A25,'Données projet'!$A$87:$I$107,9,0)</f>
        <v>16.048000000000002</v>
      </c>
      <c r="BC25" s="13">
        <f t="array" ref="BC25">INDEX(BB:BB,MIN(IF(ISNUMBER(BB25:BB221),ROW(BB25:BB221),"")))</f>
        <v>16.048000000000002</v>
      </c>
      <c r="BD25" s="13">
        <f>IF('Données projet'!$A$88&gt;35,BD24+BC25-BL24,IF(A25&lt;'Données projet'!$A$88,$BA$205^A25,IF(A25='Données projet'!$A$88,'Données projet'!$B$88,BD24+BC25-BL24)))</f>
        <v>126.87099999999998</v>
      </c>
      <c r="BE25" s="14">
        <f>BD25*VLOOKUP('Données projet'!$B$11,Paramètres!$A$1:$I$89,3,0)*VLOOKUP('Données projet'!$B$11,Paramètres!$A$1:$I$89,5,0)</f>
        <v>75.868858000000003</v>
      </c>
      <c r="BF25" s="14">
        <f t="shared" si="37"/>
        <v>21.124002732140855</v>
      </c>
      <c r="BG25" s="22">
        <f t="shared" si="7"/>
        <v>168.92923244181199</v>
      </c>
      <c r="BH25" s="60">
        <f t="shared" si="8"/>
        <v>390.11014634528038</v>
      </c>
      <c r="BI25" s="60">
        <f ca="1">AVERAGE(OFFSET($BH$3,0,0,'Données projet'!$E$11+1,1))-AVERAGE(OFFSET($H$3,0,0,'Données projet'!$E$11+1,1))</f>
        <v>216.36762889365235</v>
      </c>
      <c r="BJ25" s="60">
        <f t="shared" si="38"/>
        <v>333.29599352215496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2.9259603340023146</v>
      </c>
      <c r="BQ25" s="23">
        <f>EXP(-LN(2)/25)*BQ24+(1-EXP(-LN(2)/25))/(LN(2)/25)*Calculateur!BL25*Calculateur!BN25*VLOOKUP('Données projet'!$B$11,Paramètres!$A$1:$I$89,3,0)*0.475*44/12</f>
        <v>7.716876883883824</v>
      </c>
      <c r="BR25" s="23">
        <f>EXP(-LN(2)/2)*BR24+(1-EXP(-LN(2)/2))/(LN(2)/2)*BL25*BO25*VLOOKUP('Données projet'!$B$11,Paramètres!$A$1:$I$89,3,0)*0.475*44/12</f>
        <v>5.0280449829984697</v>
      </c>
      <c r="BS25" s="24">
        <f t="shared" si="9"/>
        <v>15.670882200884609</v>
      </c>
      <c r="BT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5.6</v>
      </c>
      <c r="BY25" s="13">
        <f>IF('Données projet'!$A$114&gt;35,BY24+BX25-CG24,IF(A25&lt;'Données projet'!$A$114,$BV$205^A25,IF(A25='Données projet'!$A$114,'Données projet'!$B$114,BY24+BX25-CG24)))</f>
        <v>53.2</v>
      </c>
      <c r="BZ25" s="14">
        <f>BY25*VLOOKUP('Données projet'!$B$12,Paramètres!$A$1:$I$89,3,0)*VLOOKUP('Données projet'!$B$12,Paramètres!$A$1:$I$89,5,0)</f>
        <v>51.455040000000004</v>
      </c>
      <c r="CA25" s="14">
        <f t="shared" si="39"/>
        <v>14.988900446655085</v>
      </c>
      <c r="CB25" s="22">
        <f t="shared" si="10"/>
        <v>115.72319627792427</v>
      </c>
      <c r="CC25" s="60">
        <f t="shared" si="11"/>
        <v>336.90411018139264</v>
      </c>
      <c r="CD25" s="60">
        <f ca="1">AVERAGE(OFFSET($CC$3,0,0,'Données projet'!$E$12+1,1))-AVERAGE(OFFSET($H$3,0,0,'Données projet'!$E$12+1,1))</f>
        <v>496.33873798282525</v>
      </c>
      <c r="CE25" s="60">
        <f t="shared" si="40"/>
        <v>280.25465074992246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5.6</v>
      </c>
      <c r="CT25" s="13">
        <f>IF('Données projet'!$A$140&gt;35,CT24+CS25-DB24,IF(A25&lt;'Données projet'!$A$140,$CQ$205^A25,IF(A25='Données projet'!$A$140,'Données projet'!$B$140,CT24+CS25-DB24)))</f>
        <v>53.2</v>
      </c>
      <c r="CU25" s="18">
        <f>CT25*VLOOKUP('Données projet'!$B$13,Paramètres!$A$1:$I$89,3,0)*VLOOKUP('Données projet'!$B$13,Paramètres!$A$1:$I$89,5,0)</f>
        <v>57.264479999999999</v>
      </c>
      <c r="CV25" s="14">
        <f t="shared" si="41"/>
        <v>16.474776623807379</v>
      </c>
      <c r="CW25" s="22">
        <f t="shared" si="13"/>
        <v>128.42920528646451</v>
      </c>
      <c r="CX25" s="60">
        <f t="shared" si="14"/>
        <v>349.6101191899329</v>
      </c>
      <c r="CY25" s="60">
        <f ca="1">AVERAGE(OFFSET($CX$3,0,0,'Données projet'!$E$13+1,1))-AVERAGE(OFFSET($H$3,0,0,'Données projet'!$E$13+1,1))</f>
        <v>542.90832990875208</v>
      </c>
      <c r="CZ25" s="60">
        <f t="shared" si="42"/>
        <v>304.94365539329362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0" t="e">
        <f t="shared" si="17"/>
        <v>#N/A</v>
      </c>
      <c r="DT25" s="60" t="e">
        <f ca="1">AVERAGE(OFFSET($DS$3,0,0,'Données projet'!$E$14+1,1))-AVERAGE(OFFSET($H$3,0,0,'Données projet'!$E$14+1,1))</f>
        <v>#N/A</v>
      </c>
      <c r="DU25" s="60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0" t="e">
        <f t="shared" si="20"/>
        <v>#N/A</v>
      </c>
      <c r="EO25" s="60" t="e">
        <f ca="1">AVERAGE(OFFSET($EN$3,0,0,'Données projet'!$E$15+1,1))-AVERAGE(OFFSET($H$3,0,0,'Données projet'!$E$15+1,1))</f>
        <v>#N/A</v>
      </c>
      <c r="EP25" s="60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0" t="e">
        <f t="shared" si="23"/>
        <v>#N/A</v>
      </c>
      <c r="FJ25" s="60" t="e">
        <f ca="1">AVERAGE(OFFSET($FI$3,0,0,'Données projet'!$E$16+1,1))-AVERAGE(OFFSET($H$3,0,0,'Données projet'!$E$16+1,1))</f>
        <v>#N/A</v>
      </c>
      <c r="FK25" s="60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0" t="e">
        <f t="shared" si="26"/>
        <v>#N/A</v>
      </c>
      <c r="GE25" s="60" t="e">
        <f ca="1">AVERAGE(OFFSET($GD$3,0,0,'Données projet'!$E$17+1,1))-AVERAGE(OFFSET($H$3,0,0,'Données projet'!$E$17+1,1))</f>
        <v>#N/A</v>
      </c>
      <c r="GF25" s="60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4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3.4425641025641025</v>
      </c>
      <c r="N26" s="14">
        <f>IF('Données projet'!$A$36&gt;35,N25+M26-V25,IF(A26&lt;'Données projet'!$A$36,$K$205^A26,IF(A26='Données projet'!$A$36,'Données projet'!$B$36,N25+M26-V25)))</f>
        <v>35.000092281482424</v>
      </c>
      <c r="O26" s="14">
        <f>N26*VLOOKUP('Données projet'!$B$9,Paramètres!$A$1:$I$89,3,0)*VLOOKUP('Données projet'!$B$9,Paramètres!$A$1:$I$89,5,0)</f>
        <v>16.380043187733772</v>
      </c>
      <c r="P26" s="14">
        <f t="shared" si="33"/>
        <v>5.4515605034859353</v>
      </c>
      <c r="Q26" s="22">
        <f t="shared" si="2"/>
        <v>38.023376428874322</v>
      </c>
      <c r="R26" s="60">
        <f t="shared" si="0"/>
        <v>261.50857313842084</v>
      </c>
      <c r="S26" s="60">
        <f ca="1">AVERAGE(OFFSET($R$3,0,0,'Données projet'!$E$9+1,1))-AVERAGE(OFFSET($H$3,0,0,'Données projet'!$E$9+1,1))</f>
        <v>277.7918215389401</v>
      </c>
      <c r="T26" s="60">
        <f t="shared" si="34"/>
        <v>164.65640238394164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5.6</v>
      </c>
      <c r="AI26" s="14">
        <f>IF('Données projet'!$A$62&gt;35,AI25+AH26-AQ25,IF(A26&lt;'Données projet'!$A$62,$AF$205^A26,IF(A26='Données projet'!$A$62,'Données projet'!$B$62,AI25+AH26-AQ25)))</f>
        <v>58.800000000000004</v>
      </c>
      <c r="AJ26" s="14">
        <f>AI26*VLOOKUP('Données projet'!$B$10,Paramètres!$A$1:$I$89,3,0)*VLOOKUP('Données projet'!$B$10,Paramètres!$A$1:$I$89,5,0)</f>
        <v>53.202240000000003</v>
      </c>
      <c r="AK26" s="14">
        <f t="shared" si="35"/>
        <v>15.437740642425908</v>
      </c>
      <c r="AL26" s="22">
        <f t="shared" si="4"/>
        <v>119.54796628555846</v>
      </c>
      <c r="AM26" s="60">
        <f t="shared" si="5"/>
        <v>343.03316299510493</v>
      </c>
      <c r="AN26" s="60">
        <f ca="1">AVERAGE(OFFSET($AM$3,0,0,'Données projet'!$E$10+1,1))-AVERAGE(OFFSET($H$3,0,0,'Données projet'!$E$10+1,1))</f>
        <v>469.67944008675863</v>
      </c>
      <c r="AO26" s="60">
        <f t="shared" si="36"/>
        <v>266.11908070867173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>
        <f>VLOOKUP(A26,'Données projet'!$A$87:$I$107,2,0)</f>
        <v>143.72650000000002</v>
      </c>
      <c r="BB26" s="13">
        <f>VLOOKUP(A26,'Données projet'!$A$87:$I$107,9,0)</f>
        <v>16.855500000000021</v>
      </c>
      <c r="BC26" s="13">
        <f t="array" ref="BC26">INDEX(BB:BB,MIN(IF(ISNUMBER(BB26:BB222),ROW(BB26:BB222),"")))</f>
        <v>16.855500000000021</v>
      </c>
      <c r="BD26" s="13">
        <f>IF('Données projet'!$A$88&gt;35,BD25+BC26-BL25,IF(A26&lt;'Données projet'!$A$88,$BA$205^A26,IF(A26='Données projet'!$A$88,'Données projet'!$B$88,BD25+BC26-BL25)))</f>
        <v>143.72649999999999</v>
      </c>
      <c r="BE26" s="14">
        <f>BD26*VLOOKUP('Données projet'!$B$11,Paramètres!$A$1:$I$89,3,0)*VLOOKUP('Données projet'!$B$11,Paramètres!$A$1:$I$89,5,0)</f>
        <v>85.948447000000002</v>
      </c>
      <c r="BF26" s="14">
        <f t="shared" si="37"/>
        <v>23.585483929286731</v>
      </c>
      <c r="BG26" s="22">
        <f t="shared" si="7"/>
        <v>190.77159636850772</v>
      </c>
      <c r="BH26" s="60">
        <f t="shared" si="8"/>
        <v>414.25679307805422</v>
      </c>
      <c r="BI26" s="60">
        <f ca="1">AVERAGE(OFFSET($BH$3,0,0,'Données projet'!$E$11+1,1))-AVERAGE(OFFSET($H$3,0,0,'Données projet'!$E$11+1,1))</f>
        <v>216.36762889365235</v>
      </c>
      <c r="BJ26" s="60">
        <f t="shared" si="38"/>
        <v>333.29599352215496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2.8685840365121122</v>
      </c>
      <c r="BQ26" s="23">
        <f>EXP(-LN(2)/25)*BQ25+(1-EXP(-LN(2)/25))/(LN(2)/25)*Calculateur!BL26*Calculateur!BN26*VLOOKUP('Données projet'!$B$11,Paramètres!$A$1:$I$89,3,0)*0.475*44/12</f>
        <v>7.5058584796811028</v>
      </c>
      <c r="BR26" s="23">
        <f>EXP(-LN(2)/2)*BR25+(1-EXP(-LN(2)/2))/(LN(2)/2)*BL26*BO26*VLOOKUP('Données projet'!$B$11,Paramètres!$A$1:$I$89,3,0)*0.475*44/12</f>
        <v>3.5553647035892171</v>
      </c>
      <c r="BS26" s="24">
        <f t="shared" si="9"/>
        <v>13.929807219782433</v>
      </c>
      <c r="BT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5.6</v>
      </c>
      <c r="BY26" s="13">
        <f>IF('Données projet'!$A$114&gt;35,BY25+BX26-CG25,IF(A26&lt;'Données projet'!$A$114,$BV$205^A26,IF(A26='Données projet'!$A$114,'Données projet'!$B$114,BY25+BX26-CG25)))</f>
        <v>58.800000000000004</v>
      </c>
      <c r="BZ26" s="14">
        <f>BY26*VLOOKUP('Données projet'!$B$12,Paramètres!$A$1:$I$89,3,0)*VLOOKUP('Données projet'!$B$12,Paramètres!$A$1:$I$89,5,0)</f>
        <v>56.87136000000001</v>
      </c>
      <c r="CA26" s="14">
        <f t="shared" si="39"/>
        <v>16.374802181791551</v>
      </c>
      <c r="CB26" s="22">
        <f t="shared" si="10"/>
        <v>127.57039913328697</v>
      </c>
      <c r="CC26" s="60">
        <f t="shared" si="11"/>
        <v>351.05559584283344</v>
      </c>
      <c r="CD26" s="60">
        <f ca="1">AVERAGE(OFFSET($CC$3,0,0,'Données projet'!$E$12+1,1))-AVERAGE(OFFSET($H$3,0,0,'Données projet'!$E$12+1,1))</f>
        <v>496.33873798282525</v>
      </c>
      <c r="CE26" s="60">
        <f t="shared" si="40"/>
        <v>280.25465074992246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5.6</v>
      </c>
      <c r="CT26" s="13">
        <f>IF('Données projet'!$A$140&gt;35,CT25+CS26-DB25,IF(A26&lt;'Données projet'!$A$140,$CQ$205^A26,IF(A26='Données projet'!$A$140,'Données projet'!$B$140,CT25+CS26-DB25)))</f>
        <v>58.800000000000004</v>
      </c>
      <c r="CU26" s="18">
        <f>CT26*VLOOKUP('Données projet'!$B$13,Paramètres!$A$1:$I$89,3,0)*VLOOKUP('Données projet'!$B$13,Paramètres!$A$1:$I$89,5,0)</f>
        <v>63.292320000000004</v>
      </c>
      <c r="CV26" s="14">
        <f t="shared" si="41"/>
        <v>17.998065245956816</v>
      </c>
      <c r="CW26" s="22">
        <f t="shared" si="13"/>
        <v>141.58075430337479</v>
      </c>
      <c r="CX26" s="60">
        <f t="shared" si="14"/>
        <v>365.06595101292129</v>
      </c>
      <c r="CY26" s="60">
        <f ca="1">AVERAGE(OFFSET($CX$3,0,0,'Données projet'!$E$13+1,1))-AVERAGE(OFFSET($H$3,0,0,'Données projet'!$E$13+1,1))</f>
        <v>542.90832990875208</v>
      </c>
      <c r="CZ26" s="60">
        <f t="shared" si="42"/>
        <v>304.94365539329362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0" t="e">
        <f t="shared" si="17"/>
        <v>#N/A</v>
      </c>
      <c r="DT26" s="60" t="e">
        <f ca="1">AVERAGE(OFFSET($DS$3,0,0,'Données projet'!$E$14+1,1))-AVERAGE(OFFSET($H$3,0,0,'Données projet'!$E$14+1,1))</f>
        <v>#N/A</v>
      </c>
      <c r="DU26" s="60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0" t="e">
        <f t="shared" si="20"/>
        <v>#N/A</v>
      </c>
      <c r="EO26" s="60" t="e">
        <f ca="1">AVERAGE(OFFSET($EN$3,0,0,'Données projet'!$E$15+1,1))-AVERAGE(OFFSET($H$3,0,0,'Données projet'!$E$15+1,1))</f>
        <v>#N/A</v>
      </c>
      <c r="EP26" s="60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0" t="e">
        <f t="shared" si="23"/>
        <v>#N/A</v>
      </c>
      <c r="FJ26" s="60" t="e">
        <f ca="1">AVERAGE(OFFSET($FI$3,0,0,'Données projet'!$E$16+1,1))-AVERAGE(OFFSET($H$3,0,0,'Données projet'!$E$16+1,1))</f>
        <v>#N/A</v>
      </c>
      <c r="FK26" s="60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0" t="e">
        <f t="shared" si="26"/>
        <v>#N/A</v>
      </c>
      <c r="GE26" s="60" t="e">
        <f ca="1">AVERAGE(OFFSET($GD$3,0,0,'Données projet'!$E$17+1,1))-AVERAGE(OFFSET($H$3,0,0,'Données projet'!$E$17+1,1))</f>
        <v>#N/A</v>
      </c>
      <c r="GF26" s="60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4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3.4425641025641025</v>
      </c>
      <c r="N27" s="14">
        <f>IF('Données projet'!$A$36&gt;35,N26+M27-V26,IF(A27&lt;'Données projet'!$A$36,$K$205^A27,IF(A27='Données projet'!$A$36,'Données projet'!$B$36,N26+M27-V26)))</f>
        <v>40.850994379880916</v>
      </c>
      <c r="O27" s="14">
        <f>N27*VLOOKUP('Données projet'!$B$9,Paramètres!$A$1:$I$89,3,0)*VLOOKUP('Données projet'!$B$9,Paramètres!$A$1:$I$89,5,0)</f>
        <v>19.118265369784268</v>
      </c>
      <c r="P27" s="14">
        <f t="shared" si="33"/>
        <v>6.2494233631643379</v>
      </c>
      <c r="Q27" s="22">
        <f t="shared" si="2"/>
        <v>44.182057876552157</v>
      </c>
      <c r="R27" s="60">
        <f t="shared" si="0"/>
        <v>269.95276606017194</v>
      </c>
      <c r="S27" s="60">
        <f ca="1">AVERAGE(OFFSET($R$3,0,0,'Données projet'!$E$9+1,1))-AVERAGE(OFFSET($H$3,0,0,'Données projet'!$E$9+1,1))</f>
        <v>277.7918215389401</v>
      </c>
      <c r="T27" s="60">
        <f t="shared" si="34"/>
        <v>164.65640238394164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5.6</v>
      </c>
      <c r="AI27" s="14">
        <f>IF('Données projet'!$A$62&gt;35,AI26+AH27-AQ26,IF(A27&lt;'Données projet'!$A$62,$AF$205^A27,IF(A27='Données projet'!$A$62,'Données projet'!$B$62,AI26+AH27-AQ26)))</f>
        <v>64.400000000000006</v>
      </c>
      <c r="AJ27" s="14">
        <f>AI27*VLOOKUP('Données projet'!$B$10,Paramètres!$A$1:$I$89,3,0)*VLOOKUP('Données projet'!$B$10,Paramètres!$A$1:$I$89,5,0)</f>
        <v>58.269120000000008</v>
      </c>
      <c r="AK27" s="14">
        <f t="shared" si="35"/>
        <v>16.729905486873804</v>
      </c>
      <c r="AL27" s="22">
        <f t="shared" si="4"/>
        <v>130.62330272297189</v>
      </c>
      <c r="AM27" s="60">
        <f t="shared" si="5"/>
        <v>356.39401090659169</v>
      </c>
      <c r="AN27" s="60">
        <f ca="1">AVERAGE(OFFSET($AM$3,0,0,'Données projet'!$E$10+1,1))-AVERAGE(OFFSET($H$3,0,0,'Données projet'!$E$10+1,1))</f>
        <v>469.67944008675863</v>
      </c>
      <c r="AO27" s="60">
        <f t="shared" si="36"/>
        <v>266.11908070867173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>
        <f>VLOOKUP(A27,'Données projet'!$A$87:$I$107,2,0)</f>
        <v>161.67850000000001</v>
      </c>
      <c r="BB27" s="13">
        <f>VLOOKUP(A27,'Données projet'!$A$87:$I$107,9,0)</f>
        <v>17.951999999999998</v>
      </c>
      <c r="BC27" s="13">
        <f t="array" ref="BC27">INDEX(BB:BB,MIN(IF(ISNUMBER(BB27:BB223),ROW(BB27:BB223),"")))</f>
        <v>17.951999999999998</v>
      </c>
      <c r="BD27" s="13">
        <f>IF('Données projet'!$A$88&gt;35,BD26+BC27-BL26,IF(A27&lt;'Données projet'!$A$88,$BA$205^A27,IF(A27='Données projet'!$A$88,'Données projet'!$B$88,BD26+BC27-BL26)))</f>
        <v>161.67849999999999</v>
      </c>
      <c r="BE27" s="14">
        <f>BD27*VLOOKUP('Données projet'!$B$11,Paramètres!$A$1:$I$89,3,0)*VLOOKUP('Données projet'!$B$11,Paramètres!$A$1:$I$89,5,0)</f>
        <v>96.683742999999993</v>
      </c>
      <c r="BF27" s="14">
        <f t="shared" si="37"/>
        <v>26.170401043006244</v>
      </c>
      <c r="BG27" s="22">
        <f t="shared" si="7"/>
        <v>213.97096754156919</v>
      </c>
      <c r="BH27" s="60">
        <f t="shared" si="8"/>
        <v>439.741675725189</v>
      </c>
      <c r="BI27" s="60">
        <f ca="1">AVERAGE(OFFSET($BH$3,0,0,'Données projet'!$E$11+1,1))-AVERAGE(OFFSET($H$3,0,0,'Données projet'!$E$11+1,1))</f>
        <v>216.36762889365235</v>
      </c>
      <c r="BJ27" s="60">
        <f t="shared" si="38"/>
        <v>333.29599352215496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2.812332853219607</v>
      </c>
      <c r="BQ27" s="23">
        <f>EXP(-LN(2)/25)*BQ26+(1-EXP(-LN(2)/25))/(LN(2)/25)*Calculateur!BL27*Calculateur!BN27*VLOOKUP('Données projet'!$B$11,Paramètres!$A$1:$I$89,3,0)*0.475*44/12</f>
        <v>7.3006103848382802</v>
      </c>
      <c r="BR27" s="23">
        <f>EXP(-LN(2)/2)*BR26+(1-EXP(-LN(2)/2))/(LN(2)/2)*BL27*BO27*VLOOKUP('Données projet'!$B$11,Paramètres!$A$1:$I$89,3,0)*0.475*44/12</f>
        <v>2.5140224914992353</v>
      </c>
      <c r="BS27" s="24">
        <f t="shared" si="9"/>
        <v>12.626965729557122</v>
      </c>
      <c r="BT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5.6</v>
      </c>
      <c r="BY27" s="13">
        <f>IF('Données projet'!$A$114&gt;35,BY26+BX27-CG26,IF(A27&lt;'Données projet'!$A$114,$BV$205^A27,IF(A27='Données projet'!$A$114,'Données projet'!$B$114,BY26+BX27-CG26)))</f>
        <v>64.400000000000006</v>
      </c>
      <c r="BZ27" s="14">
        <f>BY27*VLOOKUP('Données projet'!$B$12,Paramètres!$A$1:$I$89,3,0)*VLOOKUP('Données projet'!$B$12,Paramètres!$A$1:$I$89,5,0)</f>
        <v>62.287680000000009</v>
      </c>
      <c r="CA27" s="14">
        <f t="shared" si="39"/>
        <v>17.745400652396182</v>
      </c>
      <c r="CB27" s="22">
        <f t="shared" si="10"/>
        <v>139.39094880292336</v>
      </c>
      <c r="CC27" s="60">
        <f t="shared" si="11"/>
        <v>365.16165698654316</v>
      </c>
      <c r="CD27" s="60">
        <f ca="1">AVERAGE(OFFSET($CC$3,0,0,'Données projet'!$E$12+1,1))-AVERAGE(OFFSET($H$3,0,0,'Données projet'!$E$12+1,1))</f>
        <v>496.33873798282525</v>
      </c>
      <c r="CE27" s="60">
        <f t="shared" si="40"/>
        <v>280.25465074992246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5.6</v>
      </c>
      <c r="CT27" s="13">
        <f>IF('Données projet'!$A$140&gt;35,CT26+CS27-DB26,IF(A27&lt;'Données projet'!$A$140,$CQ$205^A27,IF(A27='Données projet'!$A$140,'Données projet'!$B$140,CT26+CS27-DB26)))</f>
        <v>64.400000000000006</v>
      </c>
      <c r="CU27" s="18">
        <f>CT27*VLOOKUP('Données projet'!$B$13,Paramètres!$A$1:$I$89,3,0)*VLOOKUP('Données projet'!$B$13,Paramètres!$A$1:$I$89,5,0)</f>
        <v>69.320160000000001</v>
      </c>
      <c r="CV27" s="14">
        <f t="shared" si="41"/>
        <v>19.50453356393022</v>
      </c>
      <c r="CW27" s="22">
        <f t="shared" si="13"/>
        <v>154.70300795717847</v>
      </c>
      <c r="CX27" s="60">
        <f t="shared" si="14"/>
        <v>380.47371614079827</v>
      </c>
      <c r="CY27" s="60">
        <f ca="1">AVERAGE(OFFSET($CX$3,0,0,'Données projet'!$E$13+1,1))-AVERAGE(OFFSET($H$3,0,0,'Données projet'!$E$13+1,1))</f>
        <v>542.90832990875208</v>
      </c>
      <c r="CZ27" s="60">
        <f t="shared" si="42"/>
        <v>304.94365539329362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0" t="e">
        <f t="shared" si="17"/>
        <v>#N/A</v>
      </c>
      <c r="DT27" s="60" t="e">
        <f ca="1">AVERAGE(OFFSET($DS$3,0,0,'Données projet'!$E$14+1,1))-AVERAGE(OFFSET($H$3,0,0,'Données projet'!$E$14+1,1))</f>
        <v>#N/A</v>
      </c>
      <c r="DU27" s="60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0" t="e">
        <f t="shared" si="20"/>
        <v>#N/A</v>
      </c>
      <c r="EO27" s="60" t="e">
        <f ca="1">AVERAGE(OFFSET($EN$3,0,0,'Données projet'!$E$15+1,1))-AVERAGE(OFFSET($H$3,0,0,'Données projet'!$E$15+1,1))</f>
        <v>#N/A</v>
      </c>
      <c r="EP27" s="60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0" t="e">
        <f t="shared" si="23"/>
        <v>#N/A</v>
      </c>
      <c r="FJ27" s="60" t="e">
        <f ca="1">AVERAGE(OFFSET($FI$3,0,0,'Données projet'!$E$16+1,1))-AVERAGE(OFFSET($H$3,0,0,'Données projet'!$E$16+1,1))</f>
        <v>#N/A</v>
      </c>
      <c r="FK27" s="60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0" t="e">
        <f t="shared" si="26"/>
        <v>#N/A</v>
      </c>
      <c r="GE27" s="60" t="e">
        <f ca="1">AVERAGE(OFFSET($GD$3,0,0,'Données projet'!$E$17+1,1))-AVERAGE(OFFSET($H$3,0,0,'Données projet'!$E$17+1,1))</f>
        <v>#N/A</v>
      </c>
      <c r="GF27" s="60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4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3.4425641025641025</v>
      </c>
      <c r="N28" s="14">
        <f>IF('Données projet'!$A$36&gt;35,N27+M28-V27,IF(A28&lt;'Données projet'!$A$36,$K$205^A28,IF(A28='Données projet'!$A$36,'Données projet'!$B$36,N27+M28-V27)))</f>
        <v>47.679981195591871</v>
      </c>
      <c r="O28" s="14">
        <f>N28*VLOOKUP('Données projet'!$B$9,Paramètres!$A$1:$I$89,3,0)*VLOOKUP('Données projet'!$B$9,Paramètres!$A$1:$I$89,5,0)</f>
        <v>22.314231199536998</v>
      </c>
      <c r="P28" s="14">
        <f t="shared" si="33"/>
        <v>7.1640574010122027</v>
      </c>
      <c r="Q28" s="22">
        <f t="shared" si="2"/>
        <v>51.341352645956526</v>
      </c>
      <c r="R28" s="60">
        <f t="shared" si="0"/>
        <v>279.37912661228864</v>
      </c>
      <c r="S28" s="60">
        <f ca="1">AVERAGE(OFFSET($R$3,0,0,'Données projet'!$E$9+1,1))-AVERAGE(OFFSET($H$3,0,0,'Données projet'!$E$9+1,1))</f>
        <v>277.7918215389401</v>
      </c>
      <c r="T28" s="60">
        <f t="shared" si="34"/>
        <v>164.65640238394164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70</v>
      </c>
      <c r="AG28" s="13">
        <f>VLOOKUP(A28,'Données projet'!$A$61:$I$81,9,0)</f>
        <v>5.6</v>
      </c>
      <c r="AH28" s="13">
        <f t="array" ref="AH28">INDEX(AG:AG,MIN(IF(ISNUMBER(AG28:AG224),ROW(AG28:AG224),"")))</f>
        <v>5.6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63.335999999999991</v>
      </c>
      <c r="AK28" s="14">
        <f t="shared" si="35"/>
        <v>18.009040022946227</v>
      </c>
      <c r="AL28" s="22">
        <f t="shared" si="4"/>
        <v>141.67594470663133</v>
      </c>
      <c r="AM28" s="60">
        <f t="shared" si="5"/>
        <v>369.71371867296341</v>
      </c>
      <c r="AN28" s="60">
        <f ca="1">AVERAGE(OFFSET($AM$3,0,0,'Données projet'!$E$10+1,1))-AVERAGE(OFFSET($H$3,0,0,'Données projet'!$E$10+1,1))</f>
        <v>469.67944008675863</v>
      </c>
      <c r="AO28" s="60">
        <f t="shared" si="36"/>
        <v>266.11908070867173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180.251</v>
      </c>
      <c r="BB28" s="13">
        <f>VLOOKUP(A28,'Données projet'!$A$87:$I$107,9,0)</f>
        <v>18.572499999999991</v>
      </c>
      <c r="BC28" s="13">
        <f t="array" ref="BC28">INDEX(BB:BB,MIN(IF(ISNUMBER(BB28:BB224),ROW(BB28:BB224),"")))</f>
        <v>18.572499999999991</v>
      </c>
      <c r="BD28" s="13">
        <f>IF('Données projet'!$A$88&gt;35,BD27+BC28-BL27,IF(A28&lt;'Données projet'!$A$88,$BA$205^A28,IF(A28='Données projet'!$A$88,'Données projet'!$B$88,BD27+BC28-BL27)))</f>
        <v>180.25099999999998</v>
      </c>
      <c r="BE28" s="14">
        <f>BD28*VLOOKUP('Données projet'!$B$11,Paramètres!$A$1:$I$89,3,0)*VLOOKUP('Données projet'!$B$11,Paramètres!$A$1:$I$89,5,0)</f>
        <v>107.790098</v>
      </c>
      <c r="BF28" s="14">
        <f t="shared" si="37"/>
        <v>28.809701036494001</v>
      </c>
      <c r="BG28" s="22">
        <f t="shared" si="7"/>
        <v>237.91131665522707</v>
      </c>
      <c r="BH28" s="60">
        <f t="shared" si="8"/>
        <v>465.94909062155921</v>
      </c>
      <c r="BI28" s="60">
        <f ca="1">AVERAGE(OFFSET($BH$3,0,0,'Données projet'!$E$11+1,1))-AVERAGE(OFFSET($H$3,0,0,'Données projet'!$E$11+1,1))</f>
        <v>216.36762889365235</v>
      </c>
      <c r="BJ28" s="60">
        <f t="shared" si="38"/>
        <v>333.29599352215496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2.7571847213216341</v>
      </c>
      <c r="BQ28" s="23">
        <f>EXP(-LN(2)/25)*BQ27+(1-EXP(-LN(2)/25))/(LN(2)/25)*Calculateur!BL28*Calculateur!BN28*VLOOKUP('Données projet'!$B$11,Paramètres!$A$1:$I$89,3,0)*0.475*44/12</f>
        <v>7.1009748099424632</v>
      </c>
      <c r="BR28" s="23">
        <f>EXP(-LN(2)/2)*BR27+(1-EXP(-LN(2)/2))/(LN(2)/2)*BL28*BO28*VLOOKUP('Données projet'!$B$11,Paramètres!$A$1:$I$89,3,0)*0.475*44/12</f>
        <v>1.777682351794609</v>
      </c>
      <c r="BS28" s="24">
        <f t="shared" si="9"/>
        <v>11.635841883058706</v>
      </c>
      <c r="BT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70</v>
      </c>
      <c r="BW28" s="13">
        <f>VLOOKUP(A28,'Données projet'!$A$113:$I$133,9,0)</f>
        <v>5.6</v>
      </c>
      <c r="BX28" s="13">
        <f t="array" ref="BX28">INDEX(BW:BW,MIN(IF(ISNUMBER(BW28:BW224),ROW(BW28:BW224),"")))</f>
        <v>5.6</v>
      </c>
      <c r="BY28" s="13">
        <f>IF('Données projet'!$A$114&gt;35,BY27+BX28-CG27,IF(A28&lt;'Données projet'!$A$114,$BV$205^A28,IF(A28='Données projet'!$A$114,'Données projet'!$B$114,BY27+BX28-CG27)))</f>
        <v>70</v>
      </c>
      <c r="BZ28" s="14">
        <f>BY28*VLOOKUP('Données projet'!$B$12,Paramètres!$A$1:$I$89,3,0)*VLOOKUP('Données projet'!$B$12,Paramètres!$A$1:$I$89,5,0)</f>
        <v>67.703999999999994</v>
      </c>
      <c r="CA28" s="14">
        <f t="shared" si="39"/>
        <v>19.102177882771514</v>
      </c>
      <c r="CB28" s="22">
        <f t="shared" si="10"/>
        <v>151.18742647916039</v>
      </c>
      <c r="CC28" s="60">
        <f t="shared" si="11"/>
        <v>379.22520044549253</v>
      </c>
      <c r="CD28" s="60">
        <f ca="1">AVERAGE(OFFSET($CC$3,0,0,'Données projet'!$E$12+1,1))-AVERAGE(OFFSET($H$3,0,0,'Données projet'!$E$12+1,1))</f>
        <v>496.33873798282525</v>
      </c>
      <c r="CE28" s="60">
        <f t="shared" si="40"/>
        <v>280.25465074992246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70</v>
      </c>
      <c r="CR28" s="13">
        <f>VLOOKUP(A28,'Données projet'!$A$139:$I$159,9,0)</f>
        <v>5.6</v>
      </c>
      <c r="CS28" s="13">
        <f t="array" ref="CS28">INDEX(CR:CR,MIN(IF(ISNUMBER(CR28:CR224),ROW(CR28:CR224),"")))</f>
        <v>5.6</v>
      </c>
      <c r="CT28" s="13">
        <f>IF('Données projet'!$A$140&gt;35,CT27+CS28-DB27,IF(A28&lt;'Données projet'!$A$140,$CQ$205^A28,IF(A28='Données projet'!$A$140,'Données projet'!$B$140,CT27+CS28-DB27)))</f>
        <v>70</v>
      </c>
      <c r="CU28" s="18">
        <f>CT28*VLOOKUP('Données projet'!$B$13,Paramètres!$A$1:$I$89,3,0)*VLOOKUP('Données projet'!$B$13,Paramètres!$A$1:$I$89,5,0)</f>
        <v>75.347999999999999</v>
      </c>
      <c r="CV28" s="14">
        <f t="shared" si="41"/>
        <v>20.99581051771704</v>
      </c>
      <c r="CW28" s="22">
        <f t="shared" si="13"/>
        <v>167.79880331835713</v>
      </c>
      <c r="CX28" s="60">
        <f t="shared" si="14"/>
        <v>395.83657728468927</v>
      </c>
      <c r="CY28" s="60">
        <f ca="1">AVERAGE(OFFSET($CX$3,0,0,'Données projet'!$E$13+1,1))-AVERAGE(OFFSET($H$3,0,0,'Données projet'!$E$13+1,1))</f>
        <v>542.90832990875208</v>
      </c>
      <c r="CZ28" s="60">
        <f t="shared" si="42"/>
        <v>304.94365539329362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0" t="e">
        <f t="shared" si="17"/>
        <v>#N/A</v>
      </c>
      <c r="DT28" s="60" t="e">
        <f ca="1">AVERAGE(OFFSET($DS$3,0,0,'Données projet'!$E$14+1,1))-AVERAGE(OFFSET($H$3,0,0,'Données projet'!$E$14+1,1))</f>
        <v>#N/A</v>
      </c>
      <c r="DU28" s="60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0" t="e">
        <f t="shared" si="20"/>
        <v>#N/A</v>
      </c>
      <c r="EO28" s="60" t="e">
        <f ca="1">AVERAGE(OFFSET($EN$3,0,0,'Données projet'!$E$15+1,1))-AVERAGE(OFFSET($H$3,0,0,'Données projet'!$E$15+1,1))</f>
        <v>#N/A</v>
      </c>
      <c r="EP28" s="60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0" t="e">
        <f t="shared" si="23"/>
        <v>#N/A</v>
      </c>
      <c r="FJ28" s="60" t="e">
        <f ca="1">AVERAGE(OFFSET($FI$3,0,0,'Données projet'!$E$16+1,1))-AVERAGE(OFFSET($H$3,0,0,'Données projet'!$E$16+1,1))</f>
        <v>#N/A</v>
      </c>
      <c r="FK28" s="60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0" t="e">
        <f t="shared" si="26"/>
        <v>#N/A</v>
      </c>
      <c r="GE28" s="60" t="e">
        <f ca="1">AVERAGE(OFFSET($GD$3,0,0,'Données projet'!$E$17+1,1))-AVERAGE(OFFSET($H$3,0,0,'Données projet'!$E$17+1,1))</f>
        <v>#N/A</v>
      </c>
      <c r="GF28" s="60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4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3.4425641025641025</v>
      </c>
      <c r="N29" s="14">
        <f>IF('Données projet'!$A$36&gt;35,N28+M29-V28,IF(A29&lt;'Données projet'!$A$36,$K$205^A29,IF(A29='Données projet'!$A$36,'Données projet'!$B$36,N28+M29-V28)))</f>
        <v>55.650557381086244</v>
      </c>
      <c r="O29" s="14">
        <f>N29*VLOOKUP('Données projet'!$B$9,Paramètres!$A$1:$I$89,3,0)*VLOOKUP('Données projet'!$B$9,Paramètres!$A$1:$I$89,5,0)</f>
        <v>26.044460854348362</v>
      </c>
      <c r="P29" s="14">
        <f t="shared" si="33"/>
        <v>8.2125526568599181</v>
      </c>
      <c r="Q29" s="22">
        <f t="shared" si="2"/>
        <v>59.664298532021071</v>
      </c>
      <c r="R29" s="60">
        <f t="shared" si="0"/>
        <v>289.95101258121127</v>
      </c>
      <c r="S29" s="60">
        <f ca="1">AVERAGE(OFFSET($R$3,0,0,'Données projet'!$E$9+1,1))-AVERAGE(OFFSET($H$3,0,0,'Données projet'!$E$9+1,1))</f>
        <v>277.7918215389401</v>
      </c>
      <c r="T29" s="60">
        <f t="shared" si="34"/>
        <v>164.65640238394164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77</v>
      </c>
      <c r="AJ29" s="14">
        <f>AI29*VLOOKUP('Données projet'!$B$10,Paramètres!$A$1:$I$89,3,0)*VLOOKUP('Données projet'!$B$10,Paramètres!$A$1:$I$89,5,0)</f>
        <v>69.669600000000003</v>
      </c>
      <c r="AK29" s="14">
        <f t="shared" si="35"/>
        <v>19.591385027476957</v>
      </c>
      <c r="AL29" s="22">
        <f t="shared" si="4"/>
        <v>155.46288225618903</v>
      </c>
      <c r="AM29" s="60">
        <f t="shared" si="5"/>
        <v>385.74959630537921</v>
      </c>
      <c r="AN29" s="60">
        <f ca="1">AVERAGE(OFFSET($AM$3,0,0,'Données projet'!$E$10+1,1))-AVERAGE(OFFSET($H$3,0,0,'Données projet'!$E$10+1,1))</f>
        <v>469.67944008675863</v>
      </c>
      <c r="AO29" s="60">
        <f t="shared" si="36"/>
        <v>266.11908070867173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19.056999999999988</v>
      </c>
      <c r="BD29" s="13">
        <f>IF('Données projet'!$A$88&gt;35,BD28+BC29-BL28,IF(A29&lt;'Données projet'!$A$88,$BA$205^A29,IF(A29='Données projet'!$A$88,'Données projet'!$B$88,BD28+BC29-BL28)))</f>
        <v>199.30799999999996</v>
      </c>
      <c r="BE29" s="14">
        <f>BD29*VLOOKUP('Données projet'!$B$11,Paramètres!$A$1:$I$89,3,0)*VLOOKUP('Données projet'!$B$11,Paramètres!$A$1:$I$89,5,0)</f>
        <v>119.18618399999998</v>
      </c>
      <c r="BF29" s="14">
        <f t="shared" si="37"/>
        <v>31.485114968902487</v>
      </c>
      <c r="BG29" s="22">
        <f t="shared" si="7"/>
        <v>262.4191790375051</v>
      </c>
      <c r="BH29" s="60">
        <f t="shared" si="8"/>
        <v>492.70589308669526</v>
      </c>
      <c r="BI29" s="60">
        <f ca="1">AVERAGE(OFFSET($BH$3,0,0,'Données projet'!$E$11+1,1))-AVERAGE(OFFSET($H$3,0,0,'Données projet'!$E$11+1,1))</f>
        <v>216.36762889365235</v>
      </c>
      <c r="BJ29" s="60">
        <f t="shared" si="38"/>
        <v>333.29599352215496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2.7031180106531409</v>
      </c>
      <c r="BQ29" s="23">
        <f>EXP(-LN(2)/25)*BQ28+(1-EXP(-LN(2)/25))/(LN(2)/25)*Calculateur!BL29*Calculateur!BN29*VLOOKUP('Données projet'!$B$11,Paramètres!$A$1:$I$89,3,0)*0.475*44/12</f>
        <v>6.906798280340551</v>
      </c>
      <c r="BR29" s="23">
        <f>EXP(-LN(2)/2)*BR28+(1-EXP(-LN(2)/2))/(LN(2)/2)*BL29*BO29*VLOOKUP('Données projet'!$B$11,Paramètres!$A$1:$I$89,3,0)*0.475*44/12</f>
        <v>1.2570112457496179</v>
      </c>
      <c r="BS29" s="24">
        <f t="shared" si="9"/>
        <v>10.86692753674331</v>
      </c>
      <c r="BT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7</v>
      </c>
      <c r="BY29" s="13">
        <f>IF('Données projet'!$A$114&gt;35,BY28+BX29-CG28,IF(A29&lt;'Données projet'!$A$114,$BV$205^A29,IF(A29='Données projet'!$A$114,'Données projet'!$B$114,BY28+BX29-CG28)))</f>
        <v>77</v>
      </c>
      <c r="BZ29" s="14">
        <f>BY29*VLOOKUP('Données projet'!$B$12,Paramètres!$A$1:$I$89,3,0)*VLOOKUP('Données projet'!$B$12,Paramètres!$A$1:$I$89,5,0)</f>
        <v>74.474400000000003</v>
      </c>
      <c r="CA29" s="14">
        <f t="shared" si="39"/>
        <v>20.780570274034375</v>
      </c>
      <c r="CB29" s="22">
        <f t="shared" si="10"/>
        <v>165.90240656060988</v>
      </c>
      <c r="CC29" s="60">
        <f t="shared" si="11"/>
        <v>396.18912060980006</v>
      </c>
      <c r="CD29" s="60">
        <f ca="1">AVERAGE(OFFSET($CC$3,0,0,'Données projet'!$E$12+1,1))-AVERAGE(OFFSET($H$3,0,0,'Données projet'!$E$12+1,1))</f>
        <v>496.33873798282525</v>
      </c>
      <c r="CE29" s="60">
        <f t="shared" si="40"/>
        <v>280.25465074992246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7</v>
      </c>
      <c r="CT29" s="13">
        <f>IF('Données projet'!$A$140&gt;35,CT28+CS29-DB28,IF(A29&lt;'Données projet'!$A$140,$CQ$205^A29,IF(A29='Données projet'!$A$140,'Données projet'!$B$140,CT28+CS29-DB28)))</f>
        <v>77</v>
      </c>
      <c r="CU29" s="18">
        <f>CT29*VLOOKUP('Données projet'!$B$13,Paramètres!$A$1:$I$89,3,0)*VLOOKUP('Données projet'!$B$13,Paramètres!$A$1:$I$89,5,0)</f>
        <v>82.882799999999989</v>
      </c>
      <c r="CV29" s="14">
        <f t="shared" si="41"/>
        <v>22.840584911380041</v>
      </c>
      <c r="CW29" s="22">
        <f t="shared" si="13"/>
        <v>184.1348953873202</v>
      </c>
      <c r="CX29" s="60">
        <f t="shared" si="14"/>
        <v>414.42160943651038</v>
      </c>
      <c r="CY29" s="60">
        <f ca="1">AVERAGE(OFFSET($CX$3,0,0,'Données projet'!$E$13+1,1))-AVERAGE(OFFSET($H$3,0,0,'Données projet'!$E$13+1,1))</f>
        <v>542.90832990875208</v>
      </c>
      <c r="CZ29" s="60">
        <f t="shared" si="42"/>
        <v>304.94365539329362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0" t="e">
        <f t="shared" si="17"/>
        <v>#N/A</v>
      </c>
      <c r="DT29" s="60" t="e">
        <f ca="1">AVERAGE(OFFSET($DS$3,0,0,'Données projet'!$E$14+1,1))-AVERAGE(OFFSET($H$3,0,0,'Données projet'!$E$14+1,1))</f>
        <v>#N/A</v>
      </c>
      <c r="DU29" s="60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0" t="e">
        <f t="shared" si="20"/>
        <v>#N/A</v>
      </c>
      <c r="EO29" s="60" t="e">
        <f ca="1">AVERAGE(OFFSET($EN$3,0,0,'Données projet'!$E$15+1,1))-AVERAGE(OFFSET($H$3,0,0,'Données projet'!$E$15+1,1))</f>
        <v>#N/A</v>
      </c>
      <c r="EP29" s="60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0" t="e">
        <f t="shared" si="23"/>
        <v>#N/A</v>
      </c>
      <c r="FJ29" s="60" t="e">
        <f ca="1">AVERAGE(OFFSET($FI$3,0,0,'Données projet'!$E$16+1,1))-AVERAGE(OFFSET($H$3,0,0,'Données projet'!$E$16+1,1))</f>
        <v>#N/A</v>
      </c>
      <c r="FK29" s="60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0" t="e">
        <f t="shared" si="26"/>
        <v>#N/A</v>
      </c>
      <c r="GE29" s="60" t="e">
        <f ca="1">AVERAGE(OFFSET($GD$3,0,0,'Données projet'!$E$17+1,1))-AVERAGE(OFFSET($H$3,0,0,'Données projet'!$E$17+1,1))</f>
        <v>#N/A</v>
      </c>
      <c r="GF29" s="60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4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3.4425641025641025</v>
      </c>
      <c r="N30" s="14">
        <f>IF('Données projet'!$A$36&gt;35,N29+M30-V29,IF(A30&lt;'Données projet'!$A$36,$K$205^A30,IF(A30='Données projet'!$A$36,'Données projet'!$B$36,N29+M30-V29)))</f>
        <v>64.953560365747308</v>
      </c>
      <c r="O30" s="14">
        <f>N30*VLOOKUP('Données projet'!$B$9,Paramètres!$A$1:$I$89,3,0)*VLOOKUP('Données projet'!$B$9,Paramètres!$A$1:$I$89,5,0)</f>
        <v>30.398266251169741</v>
      </c>
      <c r="P30" s="14">
        <f t="shared" si="33"/>
        <v>9.4145003824463398</v>
      </c>
      <c r="Q30" s="22">
        <f t="shared" si="2"/>
        <v>69.340568553547996</v>
      </c>
      <c r="R30" s="60">
        <f t="shared" si="0"/>
        <v>301.8584114261115</v>
      </c>
      <c r="S30" s="60">
        <f ca="1">AVERAGE(OFFSET($R$3,0,0,'Données projet'!$E$9+1,1))-AVERAGE(OFFSET($H$3,0,0,'Données projet'!$E$9+1,1))</f>
        <v>277.7918215389401</v>
      </c>
      <c r="T30" s="60">
        <f t="shared" si="34"/>
        <v>164.65640238394164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84</v>
      </c>
      <c r="AJ30" s="14">
        <f>AI30*VLOOKUP('Données projet'!$B$10,Paramètres!$A$1:$I$89,3,0)*VLOOKUP('Données projet'!$B$10,Paramètres!$A$1:$I$89,5,0)</f>
        <v>76.003200000000007</v>
      </c>
      <c r="AK30" s="14">
        <f t="shared" si="35"/>
        <v>21.157049992000456</v>
      </c>
      <c r="AL30" s="22">
        <f t="shared" si="4"/>
        <v>169.22076873606747</v>
      </c>
      <c r="AM30" s="60">
        <f t="shared" si="5"/>
        <v>401.738611608631</v>
      </c>
      <c r="AN30" s="60">
        <f ca="1">AVERAGE(OFFSET($AM$3,0,0,'Données projet'!$E$10+1,1))-AVERAGE(OFFSET($H$3,0,0,'Données projet'!$E$10+1,1))</f>
        <v>469.67944008675863</v>
      </c>
      <c r="AO30" s="60">
        <f t="shared" si="36"/>
        <v>266.11908070867173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>
        <f>VLOOKUP(A30,'Données projet'!$A$87:$I$107,2,0)</f>
        <v>218.36499999999998</v>
      </c>
      <c r="BB30" s="13">
        <f>VLOOKUP(A30,'Données projet'!$A$87:$I$107,9,0)</f>
        <v>19.056999999999988</v>
      </c>
      <c r="BC30" s="13">
        <f t="array" ref="BC30">INDEX(BB:BB,MIN(IF(ISNUMBER(BB30:BB226),ROW(BB30:BB226),"")))</f>
        <v>19.056999999999988</v>
      </c>
      <c r="BD30" s="13">
        <f>IF('Données projet'!$A$88&gt;35,BD29+BC30-BL29,IF(A30&lt;'Données projet'!$A$88,$BA$205^A30,IF(A30='Données projet'!$A$88,'Données projet'!$B$88,BD29+BC30-BL29)))</f>
        <v>218.36499999999995</v>
      </c>
      <c r="BE30" s="14">
        <f>BD30*VLOOKUP('Données projet'!$B$11,Paramètres!$A$1:$I$89,3,0)*VLOOKUP('Données projet'!$B$11,Paramètres!$A$1:$I$89,5,0)</f>
        <v>130.58226999999997</v>
      </c>
      <c r="BF30" s="14">
        <f t="shared" si="37"/>
        <v>34.13086981877764</v>
      </c>
      <c r="BG30" s="22">
        <f t="shared" si="7"/>
        <v>286.87538518437105</v>
      </c>
      <c r="BH30" s="60">
        <f t="shared" si="8"/>
        <v>519.3932280569345</v>
      </c>
      <c r="BI30" s="60">
        <f ca="1">AVERAGE(OFFSET($BH$3,0,0,'Données projet'!$E$11+1,1))-AVERAGE(OFFSET($H$3,0,0,'Données projet'!$E$11+1,1))</f>
        <v>216.36762889365235</v>
      </c>
      <c r="BJ30" s="60">
        <f t="shared" si="38"/>
        <v>333.29599352215496</v>
      </c>
      <c r="BK30" s="16">
        <f>IF(ISNA(VLOOKUP(A30,'Données projet'!$A$87:$I$107,3,0)),0,VLOOKUP(A30,'Données projet'!$A$87:$I$107,3,0))</f>
        <v>3</v>
      </c>
      <c r="BL30" s="16">
        <f>IF(ISNA(VLOOKUP(A30,'Données projet'!$A$87:$I$107,4,0)),0,VLOOKUP(A30,'Données projet'!$A$87:$I$107,4,0))</f>
        <v>54.518999999999998</v>
      </c>
      <c r="BM30" s="17">
        <f>IF(ISNA(VLOOKUP(A30,'Données projet'!$A$87:$I$107,5,0)),0%,VLOOKUP(A30,'Données projet'!$A$87:$I$107,5,0)*VLOOKUP('Données projet'!$B$11,Paramètres!$A$1:$I$89,7,0))</f>
        <v>0.27</v>
      </c>
      <c r="BN30" s="17">
        <f>IF(ISNA(VLOOKUP(A30,'Données projet'!$A$87:$I$107,6,0)),0%,VLOOKUP(A30,'Données projet'!$A$87:$I$107,6,0)*VLOOKUP('Données projet'!$B$11,Paramètres!$A$1:$I$89,7,0))</f>
        <v>9.0000000000000011E-2</v>
      </c>
      <c r="BO30" s="17">
        <f>IF(ISNA(VLOOKUP(A30,'Données projet'!$A$87:$I$107,7,0)),0%,VLOOKUP(A30,'Données projet'!$A$87:$I$107,7,0))</f>
        <v>0.2</v>
      </c>
      <c r="BP30" s="23">
        <f>EXP(-LN(2)/35)*BP29+(1-EXP(-LN(2)/35))/(LN(2)/35)*BL30*BM30*VLOOKUP('Données projet'!$B$11,Paramètres!$A$1:$I$89,3,0)*0.475*44/12</f>
        <v>14.327377855198066</v>
      </c>
      <c r="BQ30" s="23">
        <f>EXP(-LN(2)/25)*BQ29+(1-EXP(-LN(2)/25))/(LN(2)/25)*Calculateur!BL30*Calculateur!BN30*VLOOKUP('Données projet'!$B$11,Paramètres!$A$1:$I$89,3,0)*0.475*44/12</f>
        <v>10.595027682494164</v>
      </c>
      <c r="BR30" s="23">
        <f>EXP(-LN(2)/2)*BR29+(1-EXP(-LN(2)/2))/(LN(2)/2)*BL30*BO30*VLOOKUP('Données projet'!$B$11,Paramètres!$A$1:$I$89,3,0)*0.475*44/12</f>
        <v>8.271530622307214</v>
      </c>
      <c r="BS30" s="24">
        <f t="shared" si="9"/>
        <v>33.193936159999438</v>
      </c>
      <c r="BT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7</v>
      </c>
      <c r="BY30" s="13">
        <f>IF('Données projet'!$A$114&gt;35,BY29+BX30-CG29,IF(A30&lt;'Données projet'!$A$114,$BV$205^A30,IF(A30='Données projet'!$A$114,'Données projet'!$B$114,BY29+BX30-CG29)))</f>
        <v>84</v>
      </c>
      <c r="BZ30" s="14">
        <f>BY30*VLOOKUP('Données projet'!$B$12,Paramètres!$A$1:$I$89,3,0)*VLOOKUP('Données projet'!$B$12,Paramètres!$A$1:$I$89,5,0)</f>
        <v>81.244799999999998</v>
      </c>
      <c r="CA30" s="14">
        <f t="shared" si="39"/>
        <v>22.441270156928962</v>
      </c>
      <c r="CB30" s="22">
        <f t="shared" si="10"/>
        <v>180.58657218998462</v>
      </c>
      <c r="CC30" s="60">
        <f t="shared" si="11"/>
        <v>413.10441506254813</v>
      </c>
      <c r="CD30" s="60">
        <f ca="1">AVERAGE(OFFSET($CC$3,0,0,'Données projet'!$E$12+1,1))-AVERAGE(OFFSET($H$3,0,0,'Données projet'!$E$12+1,1))</f>
        <v>496.33873798282525</v>
      </c>
      <c r="CE30" s="60">
        <f t="shared" si="40"/>
        <v>280.25465074992246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7</v>
      </c>
      <c r="CT30" s="13">
        <f>IF('Données projet'!$A$140&gt;35,CT29+CS30-DB29,IF(A30&lt;'Données projet'!$A$140,$CQ$205^A30,IF(A30='Données projet'!$A$140,'Données projet'!$B$140,CT29+CS30-DB29)))</f>
        <v>84</v>
      </c>
      <c r="CU30" s="18">
        <f>CT30*VLOOKUP('Données projet'!$B$13,Paramètres!$A$1:$I$89,3,0)*VLOOKUP('Données projet'!$B$13,Paramètres!$A$1:$I$89,5,0)</f>
        <v>90.417599999999993</v>
      </c>
      <c r="CV30" s="14">
        <f t="shared" si="41"/>
        <v>24.665912907068826</v>
      </c>
      <c r="CW30" s="22">
        <f t="shared" si="13"/>
        <v>200.43711831314488</v>
      </c>
      <c r="CX30" s="60">
        <f t="shared" si="14"/>
        <v>432.95496118570838</v>
      </c>
      <c r="CY30" s="60">
        <f ca="1">AVERAGE(OFFSET($CX$3,0,0,'Données projet'!$E$13+1,1))-AVERAGE(OFFSET($H$3,0,0,'Données projet'!$E$13+1,1))</f>
        <v>542.90832990875208</v>
      </c>
      <c r="CZ30" s="60">
        <f t="shared" si="42"/>
        <v>304.94365539329362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0" t="e">
        <f t="shared" si="17"/>
        <v>#N/A</v>
      </c>
      <c r="DT30" s="60" t="e">
        <f ca="1">AVERAGE(OFFSET($DS$3,0,0,'Données projet'!$E$14+1,1))-AVERAGE(OFFSET($H$3,0,0,'Données projet'!$E$14+1,1))</f>
        <v>#N/A</v>
      </c>
      <c r="DU30" s="60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0" t="e">
        <f t="shared" si="20"/>
        <v>#N/A</v>
      </c>
      <c r="EO30" s="60" t="e">
        <f ca="1">AVERAGE(OFFSET($EN$3,0,0,'Données projet'!$E$15+1,1))-AVERAGE(OFFSET($H$3,0,0,'Données projet'!$E$15+1,1))</f>
        <v>#N/A</v>
      </c>
      <c r="EP30" s="60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0" t="e">
        <f t="shared" si="23"/>
        <v>#N/A</v>
      </c>
      <c r="FJ30" s="60" t="e">
        <f ca="1">AVERAGE(OFFSET($FI$3,0,0,'Données projet'!$E$16+1,1))-AVERAGE(OFFSET($H$3,0,0,'Données projet'!$E$16+1,1))</f>
        <v>#N/A</v>
      </c>
      <c r="FK30" s="60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0" t="e">
        <f t="shared" si="26"/>
        <v>#N/A</v>
      </c>
      <c r="GE30" s="60" t="e">
        <f ca="1">AVERAGE(OFFSET($GD$3,0,0,'Données projet'!$E$17+1,1))-AVERAGE(OFFSET($H$3,0,0,'Données projet'!$E$17+1,1))</f>
        <v>#N/A</v>
      </c>
      <c r="GF30" s="60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4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3.4425641025641025</v>
      </c>
      <c r="N31" s="14">
        <f>IF('Données projet'!$A$36&gt;35,N30+M31-V30,IF(A31&lt;'Données projet'!$A$36,$K$205^A31,IF(A31='Données projet'!$A$36,'Données projet'!$B$36,N30+M31-V30)))</f>
        <v>75.81172952673181</v>
      </c>
      <c r="O31" s="14">
        <f>N31*VLOOKUP('Données projet'!$B$9,Paramètres!$A$1:$I$89,3,0)*VLOOKUP('Données projet'!$B$9,Paramètres!$A$1:$I$89,5,0)</f>
        <v>35.479889418510488</v>
      </c>
      <c r="P31" s="14">
        <f t="shared" si="33"/>
        <v>10.7923591061602</v>
      </c>
      <c r="Q31" s="22">
        <f t="shared" si="2"/>
        <v>80.590832847134777</v>
      </c>
      <c r="R31" s="60">
        <f t="shared" si="0"/>
        <v>315.32230226911884</v>
      </c>
      <c r="S31" s="60">
        <f ca="1">AVERAGE(OFFSET($R$3,0,0,'Données projet'!$E$9+1,1))-AVERAGE(OFFSET($H$3,0,0,'Données projet'!$E$9+1,1))</f>
        <v>277.7918215389401</v>
      </c>
      <c r="T31" s="60">
        <f t="shared" si="34"/>
        <v>164.65640238394164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91</v>
      </c>
      <c r="AJ31" s="14">
        <f>AI31*VLOOKUP('Données projet'!$B$10,Paramètres!$A$1:$I$89,3,0)*VLOOKUP('Données projet'!$B$10,Paramètres!$A$1:$I$89,5,0)</f>
        <v>82.336799999999997</v>
      </c>
      <c r="AK31" s="14">
        <f t="shared" si="35"/>
        <v>22.707582950885364</v>
      </c>
      <c r="AL31" s="22">
        <f t="shared" si="4"/>
        <v>182.95230030612535</v>
      </c>
      <c r="AM31" s="60">
        <f t="shared" si="5"/>
        <v>417.68376972810944</v>
      </c>
      <c r="AN31" s="60">
        <f ca="1">AVERAGE(OFFSET($AM$3,0,0,'Données projet'!$E$10+1,1))-AVERAGE(OFFSET($H$3,0,0,'Données projet'!$E$10+1,1))</f>
        <v>469.67944008675863</v>
      </c>
      <c r="AO31" s="60">
        <f t="shared" si="36"/>
        <v>266.11908070867173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15.74200000000001</v>
      </c>
      <c r="BD31" s="13">
        <f>IF('Données projet'!$A$88&gt;35,BD30+BC31-BL30,IF(A31&lt;'Données projet'!$A$88,$BA$205^A31,IF(A31='Données projet'!$A$88,'Données projet'!$B$88,BD30+BC31-BL30)))</f>
        <v>179.58799999999997</v>
      </c>
      <c r="BE31" s="14">
        <f>BD31*VLOOKUP('Données projet'!$B$11,Paramètres!$A$1:$I$89,3,0)*VLOOKUP('Données projet'!$B$11,Paramètres!$A$1:$I$89,5,0)</f>
        <v>107.39362399999997</v>
      </c>
      <c r="BF31" s="14">
        <f t="shared" si="37"/>
        <v>28.716047670284119</v>
      </c>
      <c r="BG31" s="22">
        <f t="shared" si="7"/>
        <v>237.05767815907811</v>
      </c>
      <c r="BH31" s="60">
        <f t="shared" si="8"/>
        <v>471.7891475810622</v>
      </c>
      <c r="BI31" s="60">
        <f ca="1">AVERAGE(OFFSET($BH$3,0,0,'Données projet'!$E$11+1,1))-AVERAGE(OFFSET($H$3,0,0,'Données projet'!$E$11+1,1))</f>
        <v>216.36762889365235</v>
      </c>
      <c r="BJ31" s="60">
        <f t="shared" si="38"/>
        <v>333.29599352215496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14.046426714295235</v>
      </c>
      <c r="BQ31" s="23">
        <f>EXP(-LN(2)/25)*BQ30+(1-EXP(-LN(2)/25))/(LN(2)/25)*Calculateur!BL31*Calculateur!BN31*VLOOKUP('Données projet'!$B$11,Paramètres!$A$1:$I$89,3,0)*0.475*44/12</f>
        <v>10.30530609334807</v>
      </c>
      <c r="BR31" s="23">
        <f>EXP(-LN(2)/2)*BR30+(1-EXP(-LN(2)/2))/(LN(2)/2)*BL31*BO31*VLOOKUP('Données projet'!$B$11,Paramètres!$A$1:$I$89,3,0)*0.475*44/12</f>
        <v>5.8488553938256151</v>
      </c>
      <c r="BS31" s="24">
        <f t="shared" si="9"/>
        <v>30.200588201468921</v>
      </c>
      <c r="BT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7</v>
      </c>
      <c r="BY31" s="13">
        <f>IF('Données projet'!$A$114&gt;35,BY30+BX31-CG30,IF(A31&lt;'Données projet'!$A$114,$BV$205^A31,IF(A31='Données projet'!$A$114,'Données projet'!$B$114,BY30+BX31-CG30)))</f>
        <v>91</v>
      </c>
      <c r="BZ31" s="14">
        <f>BY31*VLOOKUP('Données projet'!$B$12,Paramètres!$A$1:$I$89,3,0)*VLOOKUP('Données projet'!$B$12,Paramètres!$A$1:$I$89,5,0)</f>
        <v>88.015200000000007</v>
      </c>
      <c r="CA31" s="14">
        <f t="shared" si="39"/>
        <v>24.085919530575829</v>
      </c>
      <c r="CB31" s="22">
        <f t="shared" si="10"/>
        <v>195.24278318241954</v>
      </c>
      <c r="CC31" s="60">
        <f t="shared" si="11"/>
        <v>429.97425260440366</v>
      </c>
      <c r="CD31" s="60">
        <f ca="1">AVERAGE(OFFSET($CC$3,0,0,'Données projet'!$E$12+1,1))-AVERAGE(OFFSET($H$3,0,0,'Données projet'!$E$12+1,1))</f>
        <v>496.33873798282525</v>
      </c>
      <c r="CE31" s="60">
        <f t="shared" si="40"/>
        <v>280.25465074992246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7</v>
      </c>
      <c r="CT31" s="13">
        <f>IF('Données projet'!$A$140&gt;35,CT30+CS31-DB30,IF(A31&lt;'Données projet'!$A$140,$CQ$205^A31,IF(A31='Données projet'!$A$140,'Données projet'!$B$140,CT30+CS31-DB30)))</f>
        <v>91</v>
      </c>
      <c r="CU31" s="18">
        <f>CT31*VLOOKUP('Données projet'!$B$13,Paramètres!$A$1:$I$89,3,0)*VLOOKUP('Données projet'!$B$13,Paramètres!$A$1:$I$89,5,0)</f>
        <v>97.952399999999997</v>
      </c>
      <c r="CV31" s="14">
        <f t="shared" si="41"/>
        <v>26.473599278177087</v>
      </c>
      <c r="CW31" s="22">
        <f t="shared" si="13"/>
        <v>216.70861540949173</v>
      </c>
      <c r="CX31" s="60">
        <f t="shared" si="14"/>
        <v>451.44008483147582</v>
      </c>
      <c r="CY31" s="60">
        <f ca="1">AVERAGE(OFFSET($CX$3,0,0,'Données projet'!$E$13+1,1))-AVERAGE(OFFSET($H$3,0,0,'Données projet'!$E$13+1,1))</f>
        <v>542.90832990875208</v>
      </c>
      <c r="CZ31" s="60">
        <f t="shared" si="42"/>
        <v>304.94365539329362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0" t="e">
        <f t="shared" si="17"/>
        <v>#N/A</v>
      </c>
      <c r="DT31" s="60" t="e">
        <f ca="1">AVERAGE(OFFSET($DS$3,0,0,'Données projet'!$E$14+1,1))-AVERAGE(OFFSET($H$3,0,0,'Données projet'!$E$14+1,1))</f>
        <v>#N/A</v>
      </c>
      <c r="DU31" s="60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0" t="e">
        <f t="shared" si="20"/>
        <v>#N/A</v>
      </c>
      <c r="EO31" s="60" t="e">
        <f ca="1">AVERAGE(OFFSET($EN$3,0,0,'Données projet'!$E$15+1,1))-AVERAGE(OFFSET($H$3,0,0,'Données projet'!$E$15+1,1))</f>
        <v>#N/A</v>
      </c>
      <c r="EP31" s="60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0" t="e">
        <f t="shared" si="23"/>
        <v>#N/A</v>
      </c>
      <c r="FJ31" s="60" t="e">
        <f ca="1">AVERAGE(OFFSET($FI$3,0,0,'Données projet'!$E$16+1,1))-AVERAGE(OFFSET($H$3,0,0,'Données projet'!$E$16+1,1))</f>
        <v>#N/A</v>
      </c>
      <c r="FK31" s="60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0" t="e">
        <f t="shared" si="26"/>
        <v>#N/A</v>
      </c>
      <c r="GE31" s="60" t="e">
        <f ca="1">AVERAGE(OFFSET($GD$3,0,0,'Données projet'!$E$17+1,1))-AVERAGE(OFFSET($H$3,0,0,'Données projet'!$E$17+1,1))</f>
        <v>#N/A</v>
      </c>
      <c r="GF31" s="60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4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3.4425641025641025</v>
      </c>
      <c r="N32" s="14">
        <f>IF('Données projet'!$A$36&gt;35,N31+M32-V31,IF(A32&lt;'Données projet'!$A$36,$K$205^A32,IF(A32='Données projet'!$A$36,'Données projet'!$B$36,N31+M32-V31)))</f>
        <v>88.485039179856727</v>
      </c>
      <c r="O32" s="14">
        <f>N32*VLOOKUP('Données projet'!$B$9,Paramètres!$A$1:$I$89,3,0)*VLOOKUP('Données projet'!$B$9,Paramètres!$A$1:$I$89,5,0)</f>
        <v>41.410998336172952</v>
      </c>
      <c r="P32" s="14">
        <f t="shared" si="33"/>
        <v>12.371874273168087</v>
      </c>
      <c r="Q32" s="22">
        <f t="shared" si="2"/>
        <v>93.671836461268967</v>
      </c>
      <c r="R32" s="60">
        <f t="shared" si="0"/>
        <v>330.59973378404482</v>
      </c>
      <c r="S32" s="60">
        <f ca="1">AVERAGE(OFFSET($R$3,0,0,'Données projet'!$E$9+1,1))-AVERAGE(OFFSET($H$3,0,0,'Données projet'!$E$9+1,1))</f>
        <v>277.7918215389401</v>
      </c>
      <c r="T32" s="60">
        <f t="shared" si="34"/>
        <v>164.65640238394164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98</v>
      </c>
      <c r="AJ32" s="14">
        <f>AI32*VLOOKUP('Données projet'!$B$10,Paramètres!$A$1:$I$89,3,0)*VLOOKUP('Données projet'!$B$10,Paramètres!$A$1:$I$89,5,0)</f>
        <v>88.670400000000001</v>
      </c>
      <c r="AK32" s="14">
        <f t="shared" si="35"/>
        <v>24.244280250395512</v>
      </c>
      <c r="AL32" s="22">
        <f t="shared" si="4"/>
        <v>196.65973476943884</v>
      </c>
      <c r="AM32" s="60">
        <f t="shared" si="5"/>
        <v>433.58763209221468</v>
      </c>
      <c r="AN32" s="60">
        <f ca="1">AVERAGE(OFFSET($AM$3,0,0,'Données projet'!$E$10+1,1))-AVERAGE(OFFSET($H$3,0,0,'Données projet'!$E$10+1,1))</f>
        <v>469.67944008675863</v>
      </c>
      <c r="AO32" s="60">
        <f t="shared" si="36"/>
        <v>266.11908070867173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15.74200000000001</v>
      </c>
      <c r="BD32" s="13">
        <f>IF('Données projet'!$A$88&gt;35,BD31+BC32-BL31,IF(A32&lt;'Données projet'!$A$88,$BA$205^A32,IF(A32='Données projet'!$A$88,'Données projet'!$B$88,BD31+BC32-BL31)))</f>
        <v>195.32999999999998</v>
      </c>
      <c r="BE32" s="14">
        <f>BD32*VLOOKUP('Données projet'!$B$11,Paramètres!$A$1:$I$89,3,0)*VLOOKUP('Données projet'!$B$11,Paramètres!$A$1:$I$89,5,0)</f>
        <v>116.80734</v>
      </c>
      <c r="BF32" s="14">
        <f t="shared" si="37"/>
        <v>30.929199175797681</v>
      </c>
      <c r="BG32" s="22">
        <f t="shared" si="7"/>
        <v>257.30780573118091</v>
      </c>
      <c r="BH32" s="60">
        <f t="shared" si="8"/>
        <v>494.23570305395674</v>
      </c>
      <c r="BI32" s="60">
        <f ca="1">AVERAGE(OFFSET($BH$3,0,0,'Données projet'!$E$11+1,1))-AVERAGE(OFFSET($H$3,0,0,'Données projet'!$E$11+1,1))</f>
        <v>216.36762889365235</v>
      </c>
      <c r="BJ32" s="60">
        <f t="shared" si="38"/>
        <v>333.29599352215496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13.770984853902233</v>
      </c>
      <c r="BQ32" s="23">
        <f>EXP(-LN(2)/25)*BQ31+(1-EXP(-LN(2)/25))/(LN(2)/25)*Calculateur!BL32*Calculateur!BN32*VLOOKUP('Données projet'!$B$11,Paramètres!$A$1:$I$89,3,0)*0.475*44/12</f>
        <v>10.023506956292973</v>
      </c>
      <c r="BR32" s="23">
        <f>EXP(-LN(2)/2)*BR31+(1-EXP(-LN(2)/2))/(LN(2)/2)*BL32*BO32*VLOOKUP('Données projet'!$B$11,Paramètres!$A$1:$I$89,3,0)*0.475*44/12</f>
        <v>4.1357653111536079</v>
      </c>
      <c r="BS32" s="24">
        <f t="shared" si="9"/>
        <v>27.930257121348813</v>
      </c>
      <c r="BT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7</v>
      </c>
      <c r="BY32" s="13">
        <f>IF('Données projet'!$A$114&gt;35,BY31+BX32-CG31,IF(A32&lt;'Données projet'!$A$114,$BV$205^A32,IF(A32='Données projet'!$A$114,'Données projet'!$B$114,BY31+BX32-CG31)))</f>
        <v>98</v>
      </c>
      <c r="BZ32" s="14">
        <f>BY32*VLOOKUP('Données projet'!$B$12,Paramètres!$A$1:$I$89,3,0)*VLOOKUP('Données projet'!$B$12,Paramètres!$A$1:$I$89,5,0)</f>
        <v>94.785600000000002</v>
      </c>
      <c r="CA32" s="14">
        <f t="shared" si="39"/>
        <v>25.715893428674526</v>
      </c>
      <c r="CB32" s="22">
        <f t="shared" si="10"/>
        <v>209.87343438827483</v>
      </c>
      <c r="CC32" s="60">
        <f t="shared" si="11"/>
        <v>446.80133171105069</v>
      </c>
      <c r="CD32" s="60">
        <f ca="1">AVERAGE(OFFSET($CC$3,0,0,'Données projet'!$E$12+1,1))-AVERAGE(OFFSET($H$3,0,0,'Données projet'!$E$12+1,1))</f>
        <v>496.33873798282525</v>
      </c>
      <c r="CE32" s="60">
        <f t="shared" si="40"/>
        <v>280.25465074992246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7</v>
      </c>
      <c r="CT32" s="13">
        <f>IF('Données projet'!$A$140&gt;35,CT31+CS32-DB31,IF(A32&lt;'Données projet'!$A$140,$CQ$205^A32,IF(A32='Données projet'!$A$140,'Données projet'!$B$140,CT31+CS32-DB31)))</f>
        <v>98</v>
      </c>
      <c r="CU32" s="18">
        <f>CT32*VLOOKUP('Données projet'!$B$13,Paramètres!$A$1:$I$89,3,0)*VLOOKUP('Données projet'!$B$13,Paramètres!$A$1:$I$89,5,0)</f>
        <v>105.48719999999999</v>
      </c>
      <c r="CV32" s="14">
        <f t="shared" si="41"/>
        <v>28.265155367923839</v>
      </c>
      <c r="CW32" s="22">
        <f t="shared" si="13"/>
        <v>232.95201893246733</v>
      </c>
      <c r="CX32" s="60">
        <f t="shared" si="14"/>
        <v>469.87991625524319</v>
      </c>
      <c r="CY32" s="60">
        <f ca="1">AVERAGE(OFFSET($CX$3,0,0,'Données projet'!$E$13+1,1))-AVERAGE(OFFSET($H$3,0,0,'Données projet'!$E$13+1,1))</f>
        <v>542.90832990875208</v>
      </c>
      <c r="CZ32" s="60">
        <f t="shared" si="42"/>
        <v>304.94365539329362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0" t="e">
        <f t="shared" si="17"/>
        <v>#N/A</v>
      </c>
      <c r="DT32" s="60" t="e">
        <f ca="1">AVERAGE(OFFSET($DS$3,0,0,'Données projet'!$E$14+1,1))-AVERAGE(OFFSET($H$3,0,0,'Données projet'!$E$14+1,1))</f>
        <v>#N/A</v>
      </c>
      <c r="DU32" s="60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0" t="e">
        <f t="shared" si="20"/>
        <v>#N/A</v>
      </c>
      <c r="EO32" s="60" t="e">
        <f ca="1">AVERAGE(OFFSET($EN$3,0,0,'Données projet'!$E$15+1,1))-AVERAGE(OFFSET($H$3,0,0,'Données projet'!$E$15+1,1))</f>
        <v>#N/A</v>
      </c>
      <c r="EP32" s="60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0" t="e">
        <f t="shared" si="23"/>
        <v>#N/A</v>
      </c>
      <c r="FJ32" s="60" t="e">
        <f ca="1">AVERAGE(OFFSET($FI$3,0,0,'Données projet'!$E$16+1,1))-AVERAGE(OFFSET($H$3,0,0,'Données projet'!$E$16+1,1))</f>
        <v>#N/A</v>
      </c>
      <c r="FK32" s="60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0" t="e">
        <f t="shared" si="26"/>
        <v>#N/A</v>
      </c>
      <c r="GE32" s="60" t="e">
        <f ca="1">AVERAGE(OFFSET($GD$3,0,0,'Données projet'!$E$17+1,1))-AVERAGE(OFFSET($H$3,0,0,'Données projet'!$E$17+1,1))</f>
        <v>#N/A</v>
      </c>
      <c r="GF32" s="60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4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103.27692307692307</v>
      </c>
      <c r="L33" s="13">
        <f>VLOOKUP(A33,'Données projet'!$A$35:$I$55,9,0)</f>
        <v>3.4425641025641025</v>
      </c>
      <c r="M33" s="13">
        <f t="array" ref="M33">INDEX(L:L,MIN(IF(ISNUMBER(L33:L229),ROW(L33:L229),"")))</f>
        <v>3.4425641025641025</v>
      </c>
      <c r="N33" s="14">
        <f>IF('Données projet'!$A$36&gt;35,N32+M33-V32,IF(A33&lt;'Données projet'!$A$36,$K$205^A33,IF(A33='Données projet'!$A$36,'Données projet'!$B$36,N32+M33-V32)))</f>
        <v>103.27692307692307</v>
      </c>
      <c r="O33" s="14">
        <f>N33*VLOOKUP('Données projet'!$B$9,Paramètres!$A$1:$I$89,3,0)*VLOOKUP('Données projet'!$B$9,Paramètres!$A$1:$I$89,5,0)</f>
        <v>48.333599999999997</v>
      </c>
      <c r="P33" s="14">
        <f t="shared" si="33"/>
        <v>14.182559301951969</v>
      </c>
      <c r="Q33" s="22">
        <f t="shared" si="2"/>
        <v>108.88231078423301</v>
      </c>
      <c r="R33" s="60">
        <f t="shared" si="0"/>
        <v>347.98973571727498</v>
      </c>
      <c r="S33" s="60">
        <f ca="1">AVERAGE(OFFSET($R$3,0,0,'Données projet'!$E$9+1,1))-AVERAGE(OFFSET($H$3,0,0,'Données projet'!$E$9+1,1))</f>
        <v>277.7918215389401</v>
      </c>
      <c r="T33" s="60">
        <f t="shared" si="34"/>
        <v>164.65640238394164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105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105</v>
      </c>
      <c r="AJ33" s="14">
        <f>AI33*VLOOKUP('Données projet'!$B$10,Paramètres!$A$1:$I$89,3,0)*VLOOKUP('Données projet'!$B$10,Paramètres!$A$1:$I$89,5,0)</f>
        <v>95.004000000000005</v>
      </c>
      <c r="AK33" s="14">
        <f t="shared" si="35"/>
        <v>25.768242550600785</v>
      </c>
      <c r="AL33" s="22">
        <f t="shared" si="4"/>
        <v>210.34498910896306</v>
      </c>
      <c r="AM33" s="60">
        <f t="shared" si="5"/>
        <v>449.45241404200505</v>
      </c>
      <c r="AN33" s="60">
        <f ca="1">AVERAGE(OFFSET($AM$3,0,0,'Données projet'!$E$10+1,1))-AVERAGE(OFFSET($H$3,0,0,'Données projet'!$E$10+1,1))</f>
        <v>469.67944008675863</v>
      </c>
      <c r="AO33" s="60">
        <f t="shared" si="36"/>
        <v>266.11908070867173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29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211.072</v>
      </c>
      <c r="BB33" s="13">
        <f>VLOOKUP(A33,'Données projet'!$A$87:$I$107,9,0)</f>
        <v>15.74200000000001</v>
      </c>
      <c r="BC33" s="13">
        <f t="array" ref="BC33">INDEX(BB:BB,MIN(IF(ISNUMBER(BB33:BB229),ROW(BB33:BB229),"")))</f>
        <v>15.74200000000001</v>
      </c>
      <c r="BD33" s="13">
        <f>IF('Données projet'!$A$88&gt;35,BD32+BC33-BL32,IF(A33&lt;'Données projet'!$A$88,$BA$205^A33,IF(A33='Données projet'!$A$88,'Données projet'!$B$88,BD32+BC33-BL32)))</f>
        <v>211.072</v>
      </c>
      <c r="BE33" s="14">
        <f>BD33*VLOOKUP('Données projet'!$B$11,Paramètres!$A$1:$I$89,3,0)*VLOOKUP('Données projet'!$B$11,Paramètres!$A$1:$I$89,5,0)</f>
        <v>126.221056</v>
      </c>
      <c r="BF33" s="14">
        <f t="shared" si="37"/>
        <v>33.121662807146215</v>
      </c>
      <c r="BG33" s="22">
        <f t="shared" si="7"/>
        <v>277.52190192244632</v>
      </c>
      <c r="BH33" s="60">
        <f t="shared" si="8"/>
        <v>516.62932685548833</v>
      </c>
      <c r="BI33" s="60">
        <f ca="1">AVERAGE(OFFSET($BH$3,0,0,'Données projet'!$E$11+1,1))-AVERAGE(OFFSET($H$3,0,0,'Données projet'!$E$11+1,1))</f>
        <v>216.36762889365235</v>
      </c>
      <c r="BJ33" s="60">
        <f t="shared" si="38"/>
        <v>333.29599352215496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13.500944240388591</v>
      </c>
      <c r="BQ33" s="23">
        <f>EXP(-LN(2)/25)*BQ32+(1-EXP(-LN(2)/25))/(LN(2)/25)*Calculateur!BL33*Calculateur!BN33*VLOOKUP('Données projet'!$B$11,Paramètres!$A$1:$I$89,3,0)*0.475*44/12</f>
        <v>9.7494136314598201</v>
      </c>
      <c r="BR33" s="23">
        <f>EXP(-LN(2)/2)*BR32+(1-EXP(-LN(2)/2))/(LN(2)/2)*BL33*BO33*VLOOKUP('Données projet'!$B$11,Paramètres!$A$1:$I$89,3,0)*0.475*44/12</f>
        <v>2.924427696912808</v>
      </c>
      <c r="BS33" s="24">
        <f t="shared" si="9"/>
        <v>26.174785568761219</v>
      </c>
      <c r="BT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105</v>
      </c>
      <c r="BW33" s="13">
        <f>VLOOKUP(A33,'Données projet'!$A$113:$I$133,9,0)</f>
        <v>7</v>
      </c>
      <c r="BX33" s="13">
        <f t="array" ref="BX33">INDEX(BW:BW,MIN(IF(ISNUMBER(BW33:BW229),ROW(BW33:BW229),"")))</f>
        <v>7</v>
      </c>
      <c r="BY33" s="13">
        <f>IF('Données projet'!$A$114&gt;35,BY32+BX33-CG32,IF(A33&lt;'Données projet'!$A$114,$BV$205^A33,IF(A33='Données projet'!$A$114,'Données projet'!$B$114,BY32+BX33-CG32)))</f>
        <v>105</v>
      </c>
      <c r="BZ33" s="14">
        <f>BY33*VLOOKUP('Données projet'!$B$12,Paramètres!$A$1:$I$89,3,0)*VLOOKUP('Données projet'!$B$12,Paramètres!$A$1:$I$89,5,0)</f>
        <v>101.556</v>
      </c>
      <c r="CA33" s="14">
        <f t="shared" si="39"/>
        <v>27.332359320696909</v>
      </c>
      <c r="CB33" s="22">
        <f t="shared" si="10"/>
        <v>224.48055915021379</v>
      </c>
      <c r="CC33" s="60">
        <f t="shared" si="11"/>
        <v>463.58798408325578</v>
      </c>
      <c r="CD33" s="60">
        <f ca="1">AVERAGE(OFFSET($CC$3,0,0,'Données projet'!$E$12+1,1))-AVERAGE(OFFSET($H$3,0,0,'Données projet'!$E$12+1,1))</f>
        <v>496.33873798282525</v>
      </c>
      <c r="CE33" s="60">
        <f t="shared" si="40"/>
        <v>280.25465074992246</v>
      </c>
      <c r="CF33" s="16">
        <f>IF(ISNA(VLOOKUP(A33,'Données projet'!$A$113:$I$133,3,0)),0,VLOOKUP(A33,'Données projet'!$A$113:$I$133,3,0))</f>
        <v>1</v>
      </c>
      <c r="CG33" s="16">
        <f>IF(ISNA(VLOOKUP(A33,'Données projet'!$A$113:$I$133,4,0)),0,VLOOKUP(A33,'Données projet'!$A$113:$I$133,4,0))</f>
        <v>29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105</v>
      </c>
      <c r="CR33" s="13">
        <f>VLOOKUP(A33,'Données projet'!$A$139:$I$159,9,0)</f>
        <v>7</v>
      </c>
      <c r="CS33" s="13">
        <f t="array" ref="CS33">INDEX(CR:CR,MIN(IF(ISNUMBER(CR33:CR229),ROW(CR33:CR229),"")))</f>
        <v>7</v>
      </c>
      <c r="CT33" s="13">
        <f>IF('Données projet'!$A$140&gt;35,CT32+CS33-DB32,IF(A33&lt;'Données projet'!$A$140,$CQ$205^A33,IF(A33='Données projet'!$A$140,'Données projet'!$B$140,CT32+CS33-DB32)))</f>
        <v>105</v>
      </c>
      <c r="CU33" s="18">
        <f>CT33*VLOOKUP('Données projet'!$B$13,Paramètres!$A$1:$I$89,3,0)*VLOOKUP('Données projet'!$B$13,Paramètres!$A$1:$I$89,5,0)</f>
        <v>113.02199999999999</v>
      </c>
      <c r="CV33" s="14">
        <f t="shared" si="41"/>
        <v>30.041864379091852</v>
      </c>
      <c r="CW33" s="22">
        <f t="shared" si="13"/>
        <v>249.16956379358496</v>
      </c>
      <c r="CX33" s="60">
        <f t="shared" si="14"/>
        <v>488.27698872662694</v>
      </c>
      <c r="CY33" s="60">
        <f ca="1">AVERAGE(OFFSET($CX$3,0,0,'Données projet'!$E$13+1,1))-AVERAGE(OFFSET($H$3,0,0,'Données projet'!$E$13+1,1))</f>
        <v>542.90832990875208</v>
      </c>
      <c r="CZ33" s="60">
        <f t="shared" si="42"/>
        <v>304.94365539329362</v>
      </c>
      <c r="DA33" s="16">
        <f>IF(ISNA(VLOOKUP(A33,'Données projet'!$A$139:$I$159,3,0)),0,VLOOKUP(A33,'Données projet'!$A$139:$I$159,3,0))</f>
        <v>1</v>
      </c>
      <c r="DB33" s="16">
        <f>IF(ISNA(VLOOKUP(A33,'Données projet'!$A$139:$I$159,4,0)),0,VLOOKUP(A33,'Données projet'!$A$139:$I$159,4,0))</f>
        <v>29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0" t="e">
        <f t="shared" si="17"/>
        <v>#N/A</v>
      </c>
      <c r="DT33" s="60" t="e">
        <f ca="1">AVERAGE(OFFSET($DS$3,0,0,'Données projet'!$E$14+1,1))-AVERAGE(OFFSET($H$3,0,0,'Données projet'!$E$14+1,1))</f>
        <v>#N/A</v>
      </c>
      <c r="DU33" s="60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0" t="e">
        <f t="shared" si="20"/>
        <v>#N/A</v>
      </c>
      <c r="EO33" s="60" t="e">
        <f ca="1">AVERAGE(OFFSET($EN$3,0,0,'Données projet'!$E$15+1,1))-AVERAGE(OFFSET($H$3,0,0,'Données projet'!$E$15+1,1))</f>
        <v>#N/A</v>
      </c>
      <c r="EP33" s="60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0" t="e">
        <f t="shared" si="23"/>
        <v>#N/A</v>
      </c>
      <c r="FJ33" s="60" t="e">
        <f ca="1">AVERAGE(OFFSET($FI$3,0,0,'Données projet'!$E$16+1,1))-AVERAGE(OFFSET($H$3,0,0,'Données projet'!$E$16+1,1))</f>
        <v>#N/A</v>
      </c>
      <c r="FK33" s="60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0" t="e">
        <f t="shared" si="26"/>
        <v>#N/A</v>
      </c>
      <c r="GE33" s="60" t="e">
        <f ca="1">AVERAGE(OFFSET($GD$3,0,0,'Données projet'!$E$17+1,1))-AVERAGE(OFFSET($H$3,0,0,'Données projet'!$E$17+1,1))</f>
        <v>#N/A</v>
      </c>
      <c r="GF33" s="60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4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8.9230769230769198</v>
      </c>
      <c r="N34" s="14">
        <f>IF('Données projet'!$A$36&gt;35,N33+M34-V33,IF(A34&lt;'Données projet'!$A$36,$K$205^A34,IF(A34='Données projet'!$A$36,'Données projet'!$B$36,N33+M34-V33)))</f>
        <v>112.19999999999999</v>
      </c>
      <c r="O34" s="14">
        <f>N34*VLOOKUP('Données projet'!$B$9,Paramètres!$A$1:$I$89,3,0)*VLOOKUP('Données projet'!$B$9,Paramètres!$A$1:$I$89,5,0)</f>
        <v>52.509599999999999</v>
      </c>
      <c r="P34" s="14">
        <f t="shared" si="33"/>
        <v>15.260016001659478</v>
      </c>
      <c r="Q34" s="22">
        <f t="shared" si="2"/>
        <v>118.03208120289025</v>
      </c>
      <c r="R34" s="60">
        <f t="shared" si="0"/>
        <v>358.08020441570784</v>
      </c>
      <c r="S34" s="60">
        <f ca="1">AVERAGE(OFFSET($R$3,0,0,'Données projet'!$E$9+1,1))-AVERAGE(OFFSET($H$3,0,0,'Données projet'!$E$9+1,1))</f>
        <v>277.7918215389401</v>
      </c>
      <c r="T34" s="60">
        <f t="shared" si="34"/>
        <v>164.65640238394164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84</v>
      </c>
      <c r="AJ34" s="14">
        <f>AI34*VLOOKUP('Données projet'!$B$10,Paramètres!$A$1:$I$89,3,0)*VLOOKUP('Données projet'!$B$10,Paramètres!$A$1:$I$89,5,0)</f>
        <v>76.003200000000007</v>
      </c>
      <c r="AK34" s="14">
        <f t="shared" si="35"/>
        <v>21.157049992000456</v>
      </c>
      <c r="AL34" s="22">
        <f t="shared" si="4"/>
        <v>169.22076873606747</v>
      </c>
      <c r="AM34" s="60">
        <f t="shared" si="5"/>
        <v>409.26889194888503</v>
      </c>
      <c r="AN34" s="60">
        <f ca="1">AVERAGE(OFFSET($AM$3,0,0,'Données projet'!$E$10+1,1))-AVERAGE(OFFSET($H$3,0,0,'Données projet'!$E$10+1,1))</f>
        <v>469.67944008675863</v>
      </c>
      <c r="AO34" s="60">
        <f t="shared" si="36"/>
        <v>266.11908070867173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16.145750000000007</v>
      </c>
      <c r="BD34" s="13">
        <f>IF('Données projet'!$A$88&gt;35,BD33+BC34-BL33,IF(A34&lt;'Données projet'!$A$88,$BA$205^A34,IF(A34='Données projet'!$A$88,'Données projet'!$B$88,BD33+BC34-BL33)))</f>
        <v>227.21775000000002</v>
      </c>
      <c r="BE34" s="14">
        <f>BD34*VLOOKUP('Données projet'!$B$11,Paramètres!$A$1:$I$89,3,0)*VLOOKUP('Données projet'!$B$11,Paramètres!$A$1:$I$89,5,0)</f>
        <v>135.87621450000003</v>
      </c>
      <c r="BF34" s="14">
        <f t="shared" si="37"/>
        <v>35.350666593853582</v>
      </c>
      <c r="BG34" s="22">
        <f t="shared" si="7"/>
        <v>298.22015123846171</v>
      </c>
      <c r="BH34" s="60">
        <f t="shared" si="8"/>
        <v>538.26827445127924</v>
      </c>
      <c r="BI34" s="60">
        <f ca="1">AVERAGE(OFFSET($BH$3,0,0,'Données projet'!$E$11+1,1))-AVERAGE(OFFSET($H$3,0,0,'Données projet'!$E$11+1,1))</f>
        <v>216.36762889365235</v>
      </c>
      <c r="BJ34" s="60">
        <f t="shared" si="38"/>
        <v>333.29599352215496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13.236198958597443</v>
      </c>
      <c r="BQ34" s="23">
        <f>EXP(-LN(2)/25)*BQ33+(1-EXP(-LN(2)/25))/(LN(2)/25)*Calculateur!BL34*Calculateur!BN34*VLOOKUP('Données projet'!$B$11,Paramètres!$A$1:$I$89,3,0)*0.475*44/12</f>
        <v>9.4828154030081713</v>
      </c>
      <c r="BR34" s="23">
        <f>EXP(-LN(2)/2)*BR33+(1-EXP(-LN(2)/2))/(LN(2)/2)*BL34*BO34*VLOOKUP('Données projet'!$B$11,Paramètres!$A$1:$I$89,3,0)*0.475*44/12</f>
        <v>2.0678826555768044</v>
      </c>
      <c r="BS34" s="24">
        <f t="shared" si="9"/>
        <v>24.786897017182419</v>
      </c>
      <c r="BT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8</v>
      </c>
      <c r="BY34" s="13">
        <f>IF('Données projet'!$A$114&gt;35,BY33+BX34-CG33,IF(A34&lt;'Données projet'!$A$114,$BV$205^A34,IF(A34='Données projet'!$A$114,'Données projet'!$B$114,BY33+BX34-CG33)))</f>
        <v>84</v>
      </c>
      <c r="BZ34" s="14">
        <f>BY34*VLOOKUP('Données projet'!$B$12,Paramètres!$A$1:$I$89,3,0)*VLOOKUP('Données projet'!$B$12,Paramètres!$A$1:$I$89,5,0)</f>
        <v>81.244799999999998</v>
      </c>
      <c r="CA34" s="14">
        <f t="shared" si="39"/>
        <v>22.441270156928962</v>
      </c>
      <c r="CB34" s="22">
        <f t="shared" si="10"/>
        <v>180.58657218998462</v>
      </c>
      <c r="CC34" s="60">
        <f t="shared" si="11"/>
        <v>420.63469540280221</v>
      </c>
      <c r="CD34" s="60">
        <f ca="1">AVERAGE(OFFSET($CC$3,0,0,'Données projet'!$E$12+1,1))-AVERAGE(OFFSET($H$3,0,0,'Données projet'!$E$12+1,1))</f>
        <v>496.33873798282525</v>
      </c>
      <c r="CE34" s="60">
        <f t="shared" si="40"/>
        <v>280.25465074992246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8</v>
      </c>
      <c r="CT34" s="13">
        <f>IF('Données projet'!$A$140&gt;35,CT33+CS34-DB33,IF(A34&lt;'Données projet'!$A$140,$CQ$205^A34,IF(A34='Données projet'!$A$140,'Données projet'!$B$140,CT33+CS34-DB33)))</f>
        <v>84</v>
      </c>
      <c r="CU34" s="18">
        <f>CT34*VLOOKUP('Données projet'!$B$13,Paramètres!$A$1:$I$89,3,0)*VLOOKUP('Données projet'!$B$13,Paramètres!$A$1:$I$89,5,0)</f>
        <v>90.417599999999993</v>
      </c>
      <c r="CV34" s="14">
        <f t="shared" si="41"/>
        <v>24.665912907068826</v>
      </c>
      <c r="CW34" s="22">
        <f t="shared" si="13"/>
        <v>200.43711831314488</v>
      </c>
      <c r="CX34" s="60">
        <f t="shared" si="14"/>
        <v>440.48524152596246</v>
      </c>
      <c r="CY34" s="60">
        <f ca="1">AVERAGE(OFFSET($CX$3,0,0,'Données projet'!$E$13+1,1))-AVERAGE(OFFSET($H$3,0,0,'Données projet'!$E$13+1,1))</f>
        <v>542.90832990875208</v>
      </c>
      <c r="CZ34" s="60">
        <f t="shared" si="42"/>
        <v>304.94365539329362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0" t="e">
        <f t="shared" si="17"/>
        <v>#N/A</v>
      </c>
      <c r="DT34" s="60" t="e">
        <f ca="1">AVERAGE(OFFSET($DS$3,0,0,'Données projet'!$E$14+1,1))-AVERAGE(OFFSET($H$3,0,0,'Données projet'!$E$14+1,1))</f>
        <v>#N/A</v>
      </c>
      <c r="DU34" s="60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0" t="e">
        <f t="shared" si="20"/>
        <v>#N/A</v>
      </c>
      <c r="EO34" s="60" t="e">
        <f ca="1">AVERAGE(OFFSET($EN$3,0,0,'Données projet'!$E$15+1,1))-AVERAGE(OFFSET($H$3,0,0,'Données projet'!$E$15+1,1))</f>
        <v>#N/A</v>
      </c>
      <c r="EP34" s="60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0" t="e">
        <f t="shared" si="23"/>
        <v>#N/A</v>
      </c>
      <c r="FJ34" s="60" t="e">
        <f ca="1">AVERAGE(OFFSET($FI$3,0,0,'Données projet'!$E$16+1,1))-AVERAGE(OFFSET($H$3,0,0,'Données projet'!$E$16+1,1))</f>
        <v>#N/A</v>
      </c>
      <c r="FK34" s="60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0" t="e">
        <f t="shared" si="26"/>
        <v>#N/A</v>
      </c>
      <c r="GE34" s="60" t="e">
        <f ca="1">AVERAGE(OFFSET($GD$3,0,0,'Données projet'!$E$17+1,1))-AVERAGE(OFFSET($H$3,0,0,'Données projet'!$E$17+1,1))</f>
        <v>#N/A</v>
      </c>
      <c r="GF34" s="60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4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8.9230769230769198</v>
      </c>
      <c r="N35" s="14">
        <f>IF('Données projet'!$A$36&gt;35,N34+M35-V34,IF(A35&lt;'Données projet'!$A$36,$K$205^A35,IF(A35='Données projet'!$A$36,'Données projet'!$B$36,N34+M35-V34)))</f>
        <v>121.12307692307691</v>
      </c>
      <c r="O35" s="14">
        <f>N35*VLOOKUP('Données projet'!$B$9,Paramètres!$A$1:$I$89,3,0)*VLOOKUP('Données projet'!$B$9,Paramètres!$A$1:$I$89,5,0)</f>
        <v>56.685599999999994</v>
      </c>
      <c r="P35" s="14">
        <f t="shared" si="33"/>
        <v>16.327533552386551</v>
      </c>
      <c r="Q35" s="22">
        <f t="shared" ref="Q35:Q66" si="53">(O35+P35)*0.475*44/12</f>
        <v>127.16454093707324</v>
      </c>
      <c r="R35" s="60">
        <f t="shared" si="0"/>
        <v>368.13704341759853</v>
      </c>
      <c r="S35" s="60">
        <f ca="1">AVERAGE(OFFSET($R$3,0,0,'Données projet'!$E$9+1,1))-AVERAGE(OFFSET($H$3,0,0,'Données projet'!$E$9+1,1))</f>
        <v>277.7918215389401</v>
      </c>
      <c r="T35" s="60">
        <f t="shared" si="34"/>
        <v>164.65640238394164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92</v>
      </c>
      <c r="AJ35" s="14">
        <f>AI35*VLOOKUP('Données projet'!$B$10,Paramètres!$A$1:$I$89,3,0)*VLOOKUP('Données projet'!$B$10,Paramètres!$A$1:$I$89,5,0)</f>
        <v>83.241600000000005</v>
      </c>
      <c r="AK35" s="14">
        <f t="shared" si="35"/>
        <v>22.927930643846508</v>
      </c>
      <c r="AL35" s="22">
        <f t="shared" si="4"/>
        <v>184.91193253803269</v>
      </c>
      <c r="AM35" s="60">
        <f t="shared" si="5"/>
        <v>425.88443501855801</v>
      </c>
      <c r="AN35" s="60">
        <f ca="1">AVERAGE(OFFSET($AM$3,0,0,'Données projet'!$E$10+1,1))-AVERAGE(OFFSET($H$3,0,0,'Données projet'!$E$10+1,1))</f>
        <v>469.67944008675863</v>
      </c>
      <c r="AO35" s="60">
        <f t="shared" si="36"/>
        <v>266.11908070867173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>
        <f>VLOOKUP(A35,'Données projet'!$A$87:$I$107,2,0)</f>
        <v>243.36350000000002</v>
      </c>
      <c r="BB35" s="13">
        <f>VLOOKUP(A35,'Données projet'!$A$87:$I$107,9,0)</f>
        <v>16.145750000000007</v>
      </c>
      <c r="BC35" s="13">
        <f t="array" ref="BC35">INDEX(BB:BB,MIN(IF(ISNUMBER(BB35:BB231),ROW(BB35:BB231),"")))</f>
        <v>16.145750000000007</v>
      </c>
      <c r="BD35" s="13">
        <f>IF('Données projet'!$A$88&gt;35,BD34+BC35-BL34,IF(A35&lt;'Données projet'!$A$88,$BA$205^A35,IF(A35='Données projet'!$A$88,'Données projet'!$B$88,BD34+BC35-BL34)))</f>
        <v>243.36350000000004</v>
      </c>
      <c r="BE35" s="14">
        <f>BD35*VLOOKUP('Données projet'!$B$11,Paramètres!$A$1:$I$89,3,0)*VLOOKUP('Données projet'!$B$11,Paramètres!$A$1:$I$89,5,0)</f>
        <v>145.53137300000003</v>
      </c>
      <c r="BF35" s="14">
        <f t="shared" si="37"/>
        <v>37.561293545308772</v>
      </c>
      <c r="BG35" s="22">
        <f t="shared" si="7"/>
        <v>318.8863942330795</v>
      </c>
      <c r="BH35" s="60">
        <f t="shared" si="8"/>
        <v>559.85889671360485</v>
      </c>
      <c r="BI35" s="60">
        <f ca="1">AVERAGE(OFFSET($BH$3,0,0,'Données projet'!$E$11+1,1))-AVERAGE(OFFSET($H$3,0,0,'Données projet'!$E$11+1,1))</f>
        <v>216.36762889365235</v>
      </c>
      <c r="BJ35" s="60">
        <f t="shared" si="38"/>
        <v>333.29599352215496</v>
      </c>
      <c r="BK35" s="16">
        <f>IF(ISNA(VLOOKUP(A35,'Données projet'!$A$87:$I$107,3,0)),0,VLOOKUP(A35,'Données projet'!$A$87:$I$107,3,0))</f>
        <v>4</v>
      </c>
      <c r="BL35" s="16">
        <f>IF(ISNA(VLOOKUP(A35,'Données projet'!$A$87:$I$107,4,0)),0,VLOOKUP(A35,'Données projet'!$A$87:$I$107,4,0))</f>
        <v>62.73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12.976645170303541</v>
      </c>
      <c r="BQ35" s="23">
        <f>EXP(-LN(2)/25)*BQ34+(1-EXP(-LN(2)/25))/(LN(2)/25)*Calculateur!BL35*Calculateur!BN35*VLOOKUP('Données projet'!$B$11,Paramètres!$A$1:$I$89,3,0)*0.475*44/12</f>
        <v>9.2235073171333237</v>
      </c>
      <c r="BR35" s="23">
        <f>EXP(-LN(2)/2)*BR34+(1-EXP(-LN(2)/2))/(LN(2)/2)*BL35*BO35*VLOOKUP('Données projet'!$B$11,Paramètres!$A$1:$I$89,3,0)*0.475*44/12</f>
        <v>1.4622138484564045</v>
      </c>
      <c r="BS35" s="24">
        <f t="shared" si="9"/>
        <v>23.662366335893271</v>
      </c>
      <c r="BT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8</v>
      </c>
      <c r="BY35" s="13">
        <f>IF('Données projet'!$A$114&gt;35,BY34+BX35-CG34,IF(A35&lt;'Données projet'!$A$114,$BV$205^A35,IF(A35='Données projet'!$A$114,'Données projet'!$B$114,BY34+BX35-CG34)))</f>
        <v>92</v>
      </c>
      <c r="BZ35" s="14">
        <f>BY35*VLOOKUP('Données projet'!$B$12,Paramètres!$A$1:$I$89,3,0)*VLOOKUP('Données projet'!$B$12,Paramètres!$A$1:$I$89,5,0)</f>
        <v>88.982399999999998</v>
      </c>
      <c r="CA35" s="14">
        <f t="shared" si="39"/>
        <v>24.31964219550628</v>
      </c>
      <c r="CB35" s="22">
        <f t="shared" si="10"/>
        <v>197.3343901571734</v>
      </c>
      <c r="CC35" s="60">
        <f t="shared" si="11"/>
        <v>438.30689263769875</v>
      </c>
      <c r="CD35" s="60">
        <f ca="1">AVERAGE(OFFSET($CC$3,0,0,'Données projet'!$E$12+1,1))-AVERAGE(OFFSET($H$3,0,0,'Données projet'!$E$12+1,1))</f>
        <v>496.33873798282525</v>
      </c>
      <c r="CE35" s="60">
        <f t="shared" si="40"/>
        <v>280.25465074992246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8</v>
      </c>
      <c r="CT35" s="13">
        <f>IF('Données projet'!$A$140&gt;35,CT34+CS35-DB34,IF(A35&lt;'Données projet'!$A$140,$CQ$205^A35,IF(A35='Données projet'!$A$140,'Données projet'!$B$140,CT34+CS35-DB34)))</f>
        <v>92</v>
      </c>
      <c r="CU35" s="18">
        <f>CT35*VLOOKUP('Données projet'!$B$13,Paramètres!$A$1:$I$89,3,0)*VLOOKUP('Données projet'!$B$13,Paramètres!$A$1:$I$89,5,0)</f>
        <v>99.028800000000004</v>
      </c>
      <c r="CV35" s="14">
        <f t="shared" si="41"/>
        <v>26.730491283721712</v>
      </c>
      <c r="CW35" s="22">
        <f t="shared" si="13"/>
        <v>219.03076565248196</v>
      </c>
      <c r="CX35" s="60">
        <f t="shared" si="14"/>
        <v>460.00326813300728</v>
      </c>
      <c r="CY35" s="60">
        <f ca="1">AVERAGE(OFFSET($CX$3,0,0,'Données projet'!$E$13+1,1))-AVERAGE(OFFSET($H$3,0,0,'Données projet'!$E$13+1,1))</f>
        <v>542.90832990875208</v>
      </c>
      <c r="CZ35" s="60">
        <f t="shared" si="42"/>
        <v>304.94365539329362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0" t="e">
        <f t="shared" si="17"/>
        <v>#N/A</v>
      </c>
      <c r="DT35" s="60" t="e">
        <f ca="1">AVERAGE(OFFSET($DS$3,0,0,'Données projet'!$E$14+1,1))-AVERAGE(OFFSET($H$3,0,0,'Données projet'!$E$14+1,1))</f>
        <v>#N/A</v>
      </c>
      <c r="DU35" s="60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0" t="e">
        <f t="shared" si="20"/>
        <v>#N/A</v>
      </c>
      <c r="EO35" s="60" t="e">
        <f ca="1">AVERAGE(OFFSET($EN$3,0,0,'Données projet'!$E$15+1,1))-AVERAGE(OFFSET($H$3,0,0,'Données projet'!$E$15+1,1))</f>
        <v>#N/A</v>
      </c>
      <c r="EP35" s="60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0" t="e">
        <f t="shared" si="23"/>
        <v>#N/A</v>
      </c>
      <c r="FJ35" s="60" t="e">
        <f ca="1">AVERAGE(OFFSET($FI$3,0,0,'Données projet'!$E$16+1,1))-AVERAGE(OFFSET($H$3,0,0,'Données projet'!$E$16+1,1))</f>
        <v>#N/A</v>
      </c>
      <c r="FK35" s="60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0" t="e">
        <f t="shared" si="26"/>
        <v>#N/A</v>
      </c>
      <c r="GE35" s="60" t="e">
        <f ca="1">AVERAGE(OFFSET($GD$3,0,0,'Données projet'!$E$17+1,1))-AVERAGE(OFFSET($H$3,0,0,'Données projet'!$E$17+1,1))</f>
        <v>#N/A</v>
      </c>
      <c r="GF35" s="60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4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8.9230769230769198</v>
      </c>
      <c r="N36" s="14">
        <f>IF('Données projet'!$A$36&gt;35,N35+M36-V35,IF(A36&lt;'Données projet'!$A$36,$K$205^A36,IF(A36='Données projet'!$A$36,'Données projet'!$B$36,N35+M36-V35)))</f>
        <v>130.04615384615383</v>
      </c>
      <c r="O36" s="14">
        <f>N36*VLOOKUP('Données projet'!$B$9,Paramètres!$A$1:$I$89,3,0)*VLOOKUP('Données projet'!$B$9,Paramètres!$A$1:$I$89,5,0)</f>
        <v>60.861599999999989</v>
      </c>
      <c r="P36" s="14">
        <f t="shared" si="33"/>
        <v>17.385927430951966</v>
      </c>
      <c r="Q36" s="22">
        <f t="shared" si="53"/>
        <v>136.28111027557466</v>
      </c>
      <c r="R36" s="60">
        <f t="shared" si="0"/>
        <v>378.1619561101154</v>
      </c>
      <c r="S36" s="60">
        <f ca="1">AVERAGE(OFFSET($R$3,0,0,'Données projet'!$E$9+1,1))-AVERAGE(OFFSET($H$3,0,0,'Données projet'!$E$9+1,1))</f>
        <v>277.7918215389401</v>
      </c>
      <c r="T36" s="60">
        <f t="shared" si="34"/>
        <v>164.65640238394164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100</v>
      </c>
      <c r="AJ36" s="14">
        <f>AI36*VLOOKUP('Données projet'!$B$10,Paramètres!$A$1:$I$89,3,0)*VLOOKUP('Données projet'!$B$10,Paramètres!$A$1:$I$89,5,0)</f>
        <v>90.47999999999999</v>
      </c>
      <c r="AK36" s="14">
        <f t="shared" si="35"/>
        <v>24.680953573367994</v>
      </c>
      <c r="AL36" s="22">
        <f t="shared" si="4"/>
        <v>200.57199414028256</v>
      </c>
      <c r="AM36" s="60">
        <f t="shared" si="5"/>
        <v>442.45283997482329</v>
      </c>
      <c r="AN36" s="60">
        <f ca="1">AVERAGE(OFFSET($AM$3,0,0,'Données projet'!$E$10+1,1))-AVERAGE(OFFSET($H$3,0,0,'Données projet'!$E$10+1,1))</f>
        <v>469.67944008675863</v>
      </c>
      <c r="AO36" s="60">
        <f t="shared" si="36"/>
        <v>266.11908070867173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12.938699999999994</v>
      </c>
      <c r="BD36" s="13">
        <f>IF('Données projet'!$A$88&gt;35,BD35+BC36-BL35,IF(A36&lt;'Données projet'!$A$88,$BA$205^A36,IF(A36='Données projet'!$A$88,'Données projet'!$B$88,BD35+BC36-BL35)))</f>
        <v>193.57220000000004</v>
      </c>
      <c r="BE36" s="14">
        <f>BD36*VLOOKUP('Données projet'!$B$11,Paramètres!$A$1:$I$89,3,0)*VLOOKUP('Données projet'!$B$11,Paramètres!$A$1:$I$89,5,0)</f>
        <v>115.75617560000003</v>
      </c>
      <c r="BF36" s="14">
        <f t="shared" si="37"/>
        <v>30.683132354258433</v>
      </c>
      <c r="BG36" s="22">
        <f t="shared" si="7"/>
        <v>255.0484613536668</v>
      </c>
      <c r="BH36" s="60">
        <f t="shared" si="8"/>
        <v>496.92930718820753</v>
      </c>
      <c r="BI36" s="60">
        <f ca="1">AVERAGE(OFFSET($BH$3,0,0,'Données projet'!$E$11+1,1))-AVERAGE(OFFSET($H$3,0,0,'Données projet'!$E$11+1,1))</f>
        <v>216.36762889365235</v>
      </c>
      <c r="BJ36" s="60">
        <f t="shared" si="38"/>
        <v>333.29599352215496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12.722181073485904</v>
      </c>
      <c r="BQ36" s="23">
        <f>EXP(-LN(2)/25)*BQ35+(1-EXP(-LN(2)/25))/(LN(2)/25)*Calculateur!BL36*Calculateur!BN36*VLOOKUP('Données projet'!$B$11,Paramètres!$A$1:$I$89,3,0)*0.475*44/12</f>
        <v>8.9712900245031442</v>
      </c>
      <c r="BR36" s="23">
        <f>EXP(-LN(2)/2)*BR35+(1-EXP(-LN(2)/2))/(LN(2)/2)*BL36*BO36*VLOOKUP('Données projet'!$B$11,Paramètres!$A$1:$I$89,3,0)*0.475*44/12</f>
        <v>1.0339413277884024</v>
      </c>
      <c r="BS36" s="24">
        <f t="shared" si="9"/>
        <v>22.727412425777448</v>
      </c>
      <c r="BT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8</v>
      </c>
      <c r="BY36" s="13">
        <f>IF('Données projet'!$A$114&gt;35,BY35+BX36-CG35,IF(A36&lt;'Données projet'!$A$114,$BV$205^A36,IF(A36='Données projet'!$A$114,'Données projet'!$B$114,BY35+BX36-CG35)))</f>
        <v>100</v>
      </c>
      <c r="BZ36" s="14">
        <f>BY36*VLOOKUP('Données projet'!$B$12,Paramètres!$A$1:$I$89,3,0)*VLOOKUP('Données projet'!$B$12,Paramètres!$A$1:$I$89,5,0)</f>
        <v>96.72</v>
      </c>
      <c r="CA36" s="14">
        <f t="shared" si="39"/>
        <v>26.179072558792139</v>
      </c>
      <c r="CB36" s="22">
        <f t="shared" si="10"/>
        <v>214.04921803989632</v>
      </c>
      <c r="CC36" s="60">
        <f t="shared" si="11"/>
        <v>455.93006387443705</v>
      </c>
      <c r="CD36" s="60">
        <f ca="1">AVERAGE(OFFSET($CC$3,0,0,'Données projet'!$E$12+1,1))-AVERAGE(OFFSET($H$3,0,0,'Données projet'!$E$12+1,1))</f>
        <v>496.33873798282525</v>
      </c>
      <c r="CE36" s="60">
        <f t="shared" si="40"/>
        <v>280.25465074992246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8</v>
      </c>
      <c r="CT36" s="13">
        <f>IF('Données projet'!$A$140&gt;35,CT35+CS36-DB35,IF(A36&lt;'Données projet'!$A$140,$CQ$205^A36,IF(A36='Données projet'!$A$140,'Données projet'!$B$140,CT35+CS36-DB35)))</f>
        <v>100</v>
      </c>
      <c r="CU36" s="18">
        <f>CT36*VLOOKUP('Données projet'!$B$13,Paramètres!$A$1:$I$89,3,0)*VLOOKUP('Données projet'!$B$13,Paramètres!$A$1:$I$89,5,0)</f>
        <v>107.64</v>
      </c>
      <c r="CV36" s="14">
        <f t="shared" si="41"/>
        <v>28.774250263353583</v>
      </c>
      <c r="CW36" s="22">
        <f t="shared" si="13"/>
        <v>237.58815254200749</v>
      </c>
      <c r="CX36" s="60">
        <f t="shared" si="14"/>
        <v>479.46899837654826</v>
      </c>
      <c r="CY36" s="60">
        <f ca="1">AVERAGE(OFFSET($CX$3,0,0,'Données projet'!$E$13+1,1))-AVERAGE(OFFSET($H$3,0,0,'Données projet'!$E$13+1,1))</f>
        <v>542.90832990875208</v>
      </c>
      <c r="CZ36" s="60">
        <f t="shared" si="42"/>
        <v>304.94365539329362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0" t="e">
        <f t="shared" si="17"/>
        <v>#N/A</v>
      </c>
      <c r="DT36" s="60" t="e">
        <f ca="1">AVERAGE(OFFSET($DS$3,0,0,'Données projet'!$E$14+1,1))-AVERAGE(OFFSET($H$3,0,0,'Données projet'!$E$14+1,1))</f>
        <v>#N/A</v>
      </c>
      <c r="DU36" s="60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0" t="e">
        <f t="shared" si="20"/>
        <v>#N/A</v>
      </c>
      <c r="EO36" s="60" t="e">
        <f ca="1">AVERAGE(OFFSET($EN$3,0,0,'Données projet'!$E$15+1,1))-AVERAGE(OFFSET($H$3,0,0,'Données projet'!$E$15+1,1))</f>
        <v>#N/A</v>
      </c>
      <c r="EP36" s="60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0" t="e">
        <f t="shared" si="23"/>
        <v>#N/A</v>
      </c>
      <c r="FJ36" s="60" t="e">
        <f ca="1">AVERAGE(OFFSET($FI$3,0,0,'Données projet'!$E$16+1,1))-AVERAGE(OFFSET($H$3,0,0,'Données projet'!$E$16+1,1))</f>
        <v>#N/A</v>
      </c>
      <c r="FK36" s="60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0" t="e">
        <f t="shared" si="26"/>
        <v>#N/A</v>
      </c>
      <c r="GE36" s="60" t="e">
        <f ca="1">AVERAGE(OFFSET($GD$3,0,0,'Données projet'!$E$17+1,1))-AVERAGE(OFFSET($H$3,0,0,'Données projet'!$E$17+1,1))</f>
        <v>#N/A</v>
      </c>
      <c r="GF36" s="60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4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8.9230769230769198</v>
      </c>
      <c r="N37" s="14">
        <f>IF('Données projet'!$A$36&gt;35,N36+M37-V36,IF(A37&lt;'Données projet'!$A$36,$K$205^A37,IF(A37='Données projet'!$A$36,'Données projet'!$B$36,N36+M37-V36)))</f>
        <v>138.96923076923076</v>
      </c>
      <c r="O37" s="14">
        <f>N37*VLOOKUP('Données projet'!$B$9,Paramètres!$A$1:$I$89,3,0)*VLOOKUP('Données projet'!$B$9,Paramètres!$A$1:$I$89,5,0)</f>
        <v>65.037599999999998</v>
      </c>
      <c r="P37" s="14">
        <f t="shared" si="33"/>
        <v>18.435894871955274</v>
      </c>
      <c r="Q37" s="22">
        <f t="shared" si="53"/>
        <v>145.38300356865543</v>
      </c>
      <c r="R37" s="60">
        <f t="shared" si="0"/>
        <v>388.15643503077104</v>
      </c>
      <c r="S37" s="60">
        <f ca="1">AVERAGE(OFFSET($R$3,0,0,'Données projet'!$E$9+1,1))-AVERAGE(OFFSET($H$3,0,0,'Données projet'!$E$9+1,1))</f>
        <v>277.7918215389401</v>
      </c>
      <c r="T37" s="60">
        <f t="shared" si="34"/>
        <v>164.65640238394164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108</v>
      </c>
      <c r="AJ37" s="14">
        <f>AI37*VLOOKUP('Données projet'!$B$10,Paramètres!$A$1:$I$89,3,0)*VLOOKUP('Données projet'!$B$10,Paramètres!$A$1:$I$89,5,0)</f>
        <v>97.718399999999988</v>
      </c>
      <c r="AK37" s="14">
        <f t="shared" si="35"/>
        <v>26.417709819192194</v>
      </c>
      <c r="AL37" s="22">
        <f t="shared" si="4"/>
        <v>216.20372460175972</v>
      </c>
      <c r="AM37" s="60">
        <f t="shared" si="5"/>
        <v>458.97715606387533</v>
      </c>
      <c r="AN37" s="60">
        <f ca="1">AVERAGE(OFFSET($AM$3,0,0,'Données projet'!$E$10+1,1))-AVERAGE(OFFSET($H$3,0,0,'Données projet'!$E$10+1,1))</f>
        <v>469.67944008675863</v>
      </c>
      <c r="AO37" s="60">
        <f t="shared" si="36"/>
        <v>266.11908070867173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12.938699999999994</v>
      </c>
      <c r="BD37" s="13">
        <f>IF('Données projet'!$A$88&gt;35,BD36+BC37-BL36,IF(A37&lt;'Données projet'!$A$88,$BA$205^A37,IF(A37='Données projet'!$A$88,'Données projet'!$B$88,BD36+BC37-BL36)))</f>
        <v>206.51090000000002</v>
      </c>
      <c r="BE37" s="14">
        <f>BD37*VLOOKUP('Données projet'!$B$11,Paramètres!$A$1:$I$89,3,0)*VLOOKUP('Données projet'!$B$11,Paramètres!$A$1:$I$89,5,0)</f>
        <v>123.49351820000003</v>
      </c>
      <c r="BF37" s="14">
        <f t="shared" si="37"/>
        <v>32.488439203441445</v>
      </c>
      <c r="BG37" s="22">
        <f t="shared" si="7"/>
        <v>271.66857581099384</v>
      </c>
      <c r="BH37" s="60">
        <f t="shared" si="8"/>
        <v>514.44200727310943</v>
      </c>
      <c r="BI37" s="60">
        <f ca="1">AVERAGE(OFFSET($BH$3,0,0,'Données projet'!$E$11+1,1))-AVERAGE(OFFSET($H$3,0,0,'Données projet'!$E$11+1,1))</f>
        <v>216.36762889365235</v>
      </c>
      <c r="BJ37" s="60">
        <f t="shared" si="38"/>
        <v>333.29599352215496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12.472706862399088</v>
      </c>
      <c r="BQ37" s="23">
        <f>EXP(-LN(2)/25)*BQ36+(1-EXP(-LN(2)/25))/(LN(2)/25)*Calculateur!BL37*Calculateur!BN37*VLOOKUP('Données projet'!$B$11,Paramètres!$A$1:$I$89,3,0)*0.475*44/12</f>
        <v>8.725969627003467</v>
      </c>
      <c r="BR37" s="23">
        <f>EXP(-LN(2)/2)*BR36+(1-EXP(-LN(2)/2))/(LN(2)/2)*BL37*BO37*VLOOKUP('Données projet'!$B$11,Paramètres!$A$1:$I$89,3,0)*0.475*44/12</f>
        <v>0.73110692422820234</v>
      </c>
      <c r="BS37" s="24">
        <f t="shared" si="9"/>
        <v>21.929783413630759</v>
      </c>
      <c r="BT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8</v>
      </c>
      <c r="BY37" s="13">
        <f>IF('Données projet'!$A$114&gt;35,BY36+BX37-CG36,IF(A37&lt;'Données projet'!$A$114,$BV$205^A37,IF(A37='Données projet'!$A$114,'Données projet'!$B$114,BY36+BX37-CG36)))</f>
        <v>108</v>
      </c>
      <c r="BZ37" s="14">
        <f>BY37*VLOOKUP('Données projet'!$B$12,Paramètres!$A$1:$I$89,3,0)*VLOOKUP('Données projet'!$B$12,Paramètres!$A$1:$I$89,5,0)</f>
        <v>104.4576</v>
      </c>
      <c r="CA37" s="14">
        <f t="shared" si="39"/>
        <v>28.021248860498272</v>
      </c>
      <c r="CB37" s="22">
        <f t="shared" si="10"/>
        <v>230.73399509870114</v>
      </c>
      <c r="CC37" s="60">
        <f t="shared" si="11"/>
        <v>473.50742656081673</v>
      </c>
      <c r="CD37" s="60">
        <f ca="1">AVERAGE(OFFSET($CC$3,0,0,'Données projet'!$E$12+1,1))-AVERAGE(OFFSET($H$3,0,0,'Données projet'!$E$12+1,1))</f>
        <v>496.33873798282525</v>
      </c>
      <c r="CE37" s="60">
        <f t="shared" si="40"/>
        <v>280.25465074992246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8</v>
      </c>
      <c r="CT37" s="13">
        <f>IF('Données projet'!$A$140&gt;35,CT36+CS37-DB36,IF(A37&lt;'Données projet'!$A$140,$CQ$205^A37,IF(A37='Données projet'!$A$140,'Données projet'!$B$140,CT36+CS37-DB36)))</f>
        <v>108</v>
      </c>
      <c r="CU37" s="18">
        <f>CT37*VLOOKUP('Données projet'!$B$13,Paramètres!$A$1:$I$89,3,0)*VLOOKUP('Données projet'!$B$13,Paramètres!$A$1:$I$89,5,0)</f>
        <v>116.2512</v>
      </c>
      <c r="CV37" s="14">
        <f t="shared" si="41"/>
        <v>30.799044755804328</v>
      </c>
      <c r="CW37" s="22">
        <f t="shared" si="13"/>
        <v>256.1125096163592</v>
      </c>
      <c r="CX37" s="60">
        <f t="shared" si="14"/>
        <v>498.88594107847479</v>
      </c>
      <c r="CY37" s="60">
        <f ca="1">AVERAGE(OFFSET($CX$3,0,0,'Données projet'!$E$13+1,1))-AVERAGE(OFFSET($H$3,0,0,'Données projet'!$E$13+1,1))</f>
        <v>542.90832990875208</v>
      </c>
      <c r="CZ37" s="60">
        <f t="shared" si="42"/>
        <v>304.94365539329362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0" t="e">
        <f t="shared" si="17"/>
        <v>#N/A</v>
      </c>
      <c r="DT37" s="60" t="e">
        <f ca="1">AVERAGE(OFFSET($DS$3,0,0,'Données projet'!$E$14+1,1))-AVERAGE(OFFSET($H$3,0,0,'Données projet'!$E$14+1,1))</f>
        <v>#N/A</v>
      </c>
      <c r="DU37" s="60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0" t="e">
        <f t="shared" si="20"/>
        <v>#N/A</v>
      </c>
      <c r="EO37" s="60" t="e">
        <f ca="1">AVERAGE(OFFSET($EN$3,0,0,'Données projet'!$E$15+1,1))-AVERAGE(OFFSET($H$3,0,0,'Données projet'!$E$15+1,1))</f>
        <v>#N/A</v>
      </c>
      <c r="EP37" s="60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0" t="e">
        <f t="shared" si="23"/>
        <v>#N/A</v>
      </c>
      <c r="FJ37" s="60" t="e">
        <f ca="1">AVERAGE(OFFSET($FI$3,0,0,'Données projet'!$E$16+1,1))-AVERAGE(OFFSET($H$3,0,0,'Données projet'!$E$16+1,1))</f>
        <v>#N/A</v>
      </c>
      <c r="FK37" s="60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0" t="e">
        <f t="shared" si="26"/>
        <v>#N/A</v>
      </c>
      <c r="GE37" s="60" t="e">
        <f ca="1">AVERAGE(OFFSET($GD$3,0,0,'Données projet'!$E$17+1,1))-AVERAGE(OFFSET($H$3,0,0,'Données projet'!$E$17+1,1))</f>
        <v>#N/A</v>
      </c>
      <c r="GF37" s="60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4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147.89230769230767</v>
      </c>
      <c r="L38" s="13">
        <f>VLOOKUP(A38,'Données projet'!$A$35:$I$55,9,0)</f>
        <v>8.9230769230769198</v>
      </c>
      <c r="M38" s="13">
        <f t="array" ref="M38">INDEX(L:L,MIN(IF(ISNUMBER(L38:L234),ROW(L38:L234),"")))</f>
        <v>8.9230769230769198</v>
      </c>
      <c r="N38" s="14">
        <f>IF('Données projet'!$A$36&gt;35,N37+M38-V37,IF(A38&lt;'Données projet'!$A$36,$K$205^A38,IF(A38='Données projet'!$A$36,'Données projet'!$B$36,N37+M38-V37)))</f>
        <v>147.89230769230767</v>
      </c>
      <c r="O38" s="14">
        <f>N38*VLOOKUP('Données projet'!$B$9,Paramètres!$A$1:$I$89,3,0)*VLOOKUP('Données projet'!$B$9,Paramètres!$A$1:$I$89,5,0)</f>
        <v>69.213599999999985</v>
      </c>
      <c r="P38" s="14">
        <f t="shared" si="33"/>
        <v>19.478038510077166</v>
      </c>
      <c r="Q38" s="22">
        <f t="shared" si="53"/>
        <v>154.47127040505103</v>
      </c>
      <c r="R38" s="60">
        <f t="shared" si="0"/>
        <v>398.1218031296255</v>
      </c>
      <c r="S38" s="60">
        <f ca="1">AVERAGE(OFFSET($R$3,0,0,'Données projet'!$E$9+1,1))-AVERAGE(OFFSET($H$3,0,0,'Données projet'!$E$9+1,1))</f>
        <v>277.7918215389401</v>
      </c>
      <c r="T38" s="60">
        <f t="shared" si="34"/>
        <v>164.65640238394164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116</v>
      </c>
      <c r="AJ38" s="14">
        <f>AI38*VLOOKUP('Données projet'!$B$10,Paramètres!$A$1:$I$89,3,0)*VLOOKUP('Données projet'!$B$10,Paramètres!$A$1:$I$89,5,0)</f>
        <v>104.9568</v>
      </c>
      <c r="AK38" s="14">
        <f t="shared" si="35"/>
        <v>28.139541339232373</v>
      </c>
      <c r="AL38" s="22">
        <f t="shared" si="4"/>
        <v>231.8094611658297</v>
      </c>
      <c r="AM38" s="60">
        <f t="shared" si="5"/>
        <v>475.45999389040423</v>
      </c>
      <c r="AN38" s="60">
        <f ca="1">AVERAGE(OFFSET($AM$3,0,0,'Données projet'!$E$10+1,1))-AVERAGE(OFFSET($H$3,0,0,'Données projet'!$E$10+1,1))</f>
        <v>469.67944008675863</v>
      </c>
      <c r="AO38" s="60">
        <f t="shared" si="36"/>
        <v>266.11908070867173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12.938699999999994</v>
      </c>
      <c r="BD38" s="13">
        <f>IF('Données projet'!$A$88&gt;35,BD37+BC38-BL37,IF(A38&lt;'Données projet'!$A$88,$BA$205^A38,IF(A38='Données projet'!$A$88,'Données projet'!$B$88,BD37+BC38-BL37)))</f>
        <v>219.4496</v>
      </c>
      <c r="BE38" s="14">
        <f>BD38*VLOOKUP('Données projet'!$B$11,Paramètres!$A$1:$I$89,3,0)*VLOOKUP('Données projet'!$B$11,Paramètres!$A$1:$I$89,5,0)</f>
        <v>131.23086080000002</v>
      </c>
      <c r="BF38" s="14">
        <f t="shared" si="37"/>
        <v>34.280618947286037</v>
      </c>
      <c r="BG38" s="22">
        <f t="shared" si="7"/>
        <v>288.26582722652319</v>
      </c>
      <c r="BH38" s="60">
        <f t="shared" si="8"/>
        <v>531.91635995109766</v>
      </c>
      <c r="BI38" s="60">
        <f ca="1">AVERAGE(OFFSET($BH$3,0,0,'Données projet'!$E$11+1,1))-AVERAGE(OFFSET($H$3,0,0,'Données projet'!$E$11+1,1))</f>
        <v>216.36762889365235</v>
      </c>
      <c r="BJ38" s="60">
        <f t="shared" si="38"/>
        <v>333.29599352215496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12.228124688427439</v>
      </c>
      <c r="BQ38" s="23">
        <f>EXP(-LN(2)/25)*BQ37+(1-EXP(-LN(2)/25))/(LN(2)/25)*Calculateur!BL38*Calculateur!BN38*VLOOKUP('Données projet'!$B$11,Paramètres!$A$1:$I$89,3,0)*0.475*44/12</f>
        <v>8.4873575286742575</v>
      </c>
      <c r="BR38" s="23">
        <f>EXP(-LN(2)/2)*BR37+(1-EXP(-LN(2)/2))/(LN(2)/2)*BL38*BO38*VLOOKUP('Données projet'!$B$11,Paramètres!$A$1:$I$89,3,0)*0.475*44/12</f>
        <v>0.51697066389420132</v>
      </c>
      <c r="BS38" s="24">
        <f t="shared" si="9"/>
        <v>21.232452880995897</v>
      </c>
      <c r="BT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116</v>
      </c>
      <c r="BW38" s="13">
        <f>VLOOKUP(A38,'Données projet'!$A$113:$I$133,9,0)</f>
        <v>8</v>
      </c>
      <c r="BX38" s="13">
        <f t="array" ref="BX38">INDEX(BW:BW,MIN(IF(ISNUMBER(BW38:BW234),ROW(BW38:BW234),"")))</f>
        <v>8</v>
      </c>
      <c r="BY38" s="13">
        <f>IF('Données projet'!$A$114&gt;35,BY37+BX38-CG37,IF(A38&lt;'Données projet'!$A$114,$BV$205^A38,IF(A38='Données projet'!$A$114,'Données projet'!$B$114,BY37+BX38-CG37)))</f>
        <v>116</v>
      </c>
      <c r="BZ38" s="14">
        <f>BY38*VLOOKUP('Données projet'!$B$12,Paramètres!$A$1:$I$89,3,0)*VLOOKUP('Données projet'!$B$12,Paramètres!$A$1:$I$89,5,0)</f>
        <v>112.1952</v>
      </c>
      <c r="CA38" s="14">
        <f t="shared" si="39"/>
        <v>29.847594514573263</v>
      </c>
      <c r="CB38" s="22">
        <f t="shared" si="10"/>
        <v>247.39120044621509</v>
      </c>
      <c r="CC38" s="60">
        <f t="shared" si="11"/>
        <v>491.0417331707896</v>
      </c>
      <c r="CD38" s="60">
        <f ca="1">AVERAGE(OFFSET($CC$3,0,0,'Données projet'!$E$12+1,1))-AVERAGE(OFFSET($H$3,0,0,'Données projet'!$E$12+1,1))</f>
        <v>496.33873798282525</v>
      </c>
      <c r="CE38" s="60">
        <f t="shared" si="40"/>
        <v>280.25465074992246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116</v>
      </c>
      <c r="CR38" s="13">
        <f>VLOOKUP(A38,'Données projet'!$A$139:$I$159,9,0)</f>
        <v>8</v>
      </c>
      <c r="CS38" s="13">
        <f t="array" ref="CS38">INDEX(CR:CR,MIN(IF(ISNUMBER(CR38:CR234),ROW(CR38:CR234),"")))</f>
        <v>8</v>
      </c>
      <c r="CT38" s="13">
        <f>IF('Données projet'!$A$140&gt;35,CT37+CS38-DB37,IF(A38&lt;'Données projet'!$A$140,$CQ$205^A38,IF(A38='Données projet'!$A$140,'Données projet'!$B$140,CT37+CS38-DB37)))</f>
        <v>116</v>
      </c>
      <c r="CU38" s="18">
        <f>CT38*VLOOKUP('Données projet'!$B$13,Paramètres!$A$1:$I$89,3,0)*VLOOKUP('Données projet'!$B$13,Paramètres!$A$1:$I$89,5,0)</f>
        <v>124.86239999999999</v>
      </c>
      <c r="CV38" s="14">
        <f t="shared" si="41"/>
        <v>32.806439280561598</v>
      </c>
      <c r="CW38" s="22">
        <f t="shared" si="13"/>
        <v>274.60656174697812</v>
      </c>
      <c r="CX38" s="60">
        <f t="shared" si="14"/>
        <v>518.25709447155259</v>
      </c>
      <c r="CY38" s="60">
        <f ca="1">AVERAGE(OFFSET($CX$3,0,0,'Données projet'!$E$13+1,1))-AVERAGE(OFFSET($H$3,0,0,'Données projet'!$E$13+1,1))</f>
        <v>542.90832990875208</v>
      </c>
      <c r="CZ38" s="60">
        <f t="shared" si="42"/>
        <v>304.94365539329362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0" t="e">
        <f t="shared" si="17"/>
        <v>#N/A</v>
      </c>
      <c r="DT38" s="60" t="e">
        <f ca="1">AVERAGE(OFFSET($DS$3,0,0,'Données projet'!$E$14+1,1))-AVERAGE(OFFSET($H$3,0,0,'Données projet'!$E$14+1,1))</f>
        <v>#N/A</v>
      </c>
      <c r="DU38" s="60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0" t="e">
        <f t="shared" si="20"/>
        <v>#N/A</v>
      </c>
      <c r="EO38" s="60" t="e">
        <f ca="1">AVERAGE(OFFSET($EN$3,0,0,'Données projet'!$E$15+1,1))-AVERAGE(OFFSET($H$3,0,0,'Données projet'!$E$15+1,1))</f>
        <v>#N/A</v>
      </c>
      <c r="EP38" s="60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0" t="e">
        <f t="shared" si="23"/>
        <v>#N/A</v>
      </c>
      <c r="FJ38" s="60" t="e">
        <f ca="1">AVERAGE(OFFSET($FI$3,0,0,'Données projet'!$E$16+1,1))-AVERAGE(OFFSET($H$3,0,0,'Données projet'!$E$16+1,1))</f>
        <v>#N/A</v>
      </c>
      <c r="FK38" s="60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0" t="e">
        <f t="shared" si="26"/>
        <v>#N/A</v>
      </c>
      <c r="GE38" s="60" t="e">
        <f ca="1">AVERAGE(OFFSET($GD$3,0,0,'Données projet'!$E$17+1,1))-AVERAGE(OFFSET($H$3,0,0,'Données projet'!$E$17+1,1))</f>
        <v>#N/A</v>
      </c>
      <c r="GF38" s="60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4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9.981538461538463</v>
      </c>
      <c r="N39" s="14">
        <f>IF('Données projet'!$A$36&gt;35,N38+M39-V38,IF(A39&lt;'Données projet'!$A$36,$K$205^A39,IF(A39='Données projet'!$A$36,'Données projet'!$B$36,N38+M39-V38)))</f>
        <v>157.87384615384613</v>
      </c>
      <c r="O39" s="14">
        <f>N39*VLOOKUP('Données projet'!$B$9,Paramètres!$A$1:$I$89,3,0)*VLOOKUP('Données projet'!$B$9,Paramètres!$A$1:$I$89,5,0)</f>
        <v>73.884959999999992</v>
      </c>
      <c r="P39" s="14">
        <f t="shared" si="33"/>
        <v>20.635176317181511</v>
      </c>
      <c r="Q39" s="22">
        <f t="shared" si="53"/>
        <v>164.62257075242445</v>
      </c>
      <c r="R39" s="60">
        <f t="shared" si="0"/>
        <v>409.13498899345888</v>
      </c>
      <c r="S39" s="60">
        <f ca="1">AVERAGE(OFFSET($R$3,0,0,'Données projet'!$E$9+1,1))-AVERAGE(OFFSET($H$3,0,0,'Données projet'!$E$9+1,1))</f>
        <v>277.7918215389401</v>
      </c>
      <c r="T39" s="60">
        <f t="shared" si="34"/>
        <v>164.65640238394164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124.4</v>
      </c>
      <c r="AJ39" s="14">
        <f>AI39*VLOOKUP('Données projet'!$B$10,Paramètres!$A$1:$I$89,3,0)*VLOOKUP('Données projet'!$B$10,Paramètres!$A$1:$I$89,5,0)</f>
        <v>112.55712000000001</v>
      </c>
      <c r="AK39" s="14">
        <f t="shared" si="35"/>
        <v>29.932653834140599</v>
      </c>
      <c r="AL39" s="22">
        <f t="shared" si="4"/>
        <v>248.16968942779488</v>
      </c>
      <c r="AM39" s="60">
        <f t="shared" si="5"/>
        <v>492.6821076688293</v>
      </c>
      <c r="AN39" s="60">
        <f ca="1">AVERAGE(OFFSET($AM$3,0,0,'Données projet'!$E$10+1,1))-AVERAGE(OFFSET($H$3,0,0,'Données projet'!$E$10+1,1))</f>
        <v>469.67944008675863</v>
      </c>
      <c r="AO39" s="60">
        <f t="shared" si="36"/>
        <v>266.11908070867173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12.938699999999994</v>
      </c>
      <c r="BD39" s="13">
        <f>IF('Données projet'!$A$88&gt;35,BD38+BC39-BL38,IF(A39&lt;'Données projet'!$A$88,$BA$205^A39,IF(A39='Données projet'!$A$88,'Données projet'!$B$88,BD38+BC39-BL38)))</f>
        <v>232.38829999999999</v>
      </c>
      <c r="BE39" s="14">
        <f>BD39*VLOOKUP('Données projet'!$B$11,Paramètres!$A$1:$I$89,3,0)*VLOOKUP('Données projet'!$B$11,Paramètres!$A$1:$I$89,5,0)</f>
        <v>138.96820339999999</v>
      </c>
      <c r="BF39" s="14">
        <f t="shared" si="37"/>
        <v>36.060533716914215</v>
      </c>
      <c r="BG39" s="22">
        <f t="shared" si="7"/>
        <v>304.84171714529225</v>
      </c>
      <c r="BH39" s="60">
        <f t="shared" si="8"/>
        <v>549.35413538632667</v>
      </c>
      <c r="BI39" s="60">
        <f ca="1">AVERAGE(OFFSET($BH$3,0,0,'Données projet'!$E$11+1,1))-AVERAGE(OFFSET($H$3,0,0,'Données projet'!$E$11+1,1))</f>
        <v>216.36762889365235</v>
      </c>
      <c r="BJ39" s="60">
        <f t="shared" si="38"/>
        <v>333.29599352215496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11.988338621706978</v>
      </c>
      <c r="BQ39" s="23">
        <f>EXP(-LN(2)/25)*BQ38+(1-EXP(-LN(2)/25))/(LN(2)/25)*Calculateur!BL39*Calculateur!BN39*VLOOKUP('Données projet'!$B$11,Paramètres!$A$1:$I$89,3,0)*0.475*44/12</f>
        <v>8.255270290721926</v>
      </c>
      <c r="BR39" s="23">
        <f>EXP(-LN(2)/2)*BR38+(1-EXP(-LN(2)/2))/(LN(2)/2)*BL39*BO39*VLOOKUP('Données projet'!$B$11,Paramètres!$A$1:$I$89,3,0)*0.475*44/12</f>
        <v>0.36555346211410122</v>
      </c>
      <c r="BS39" s="24">
        <f t="shared" si="9"/>
        <v>20.609162374543004</v>
      </c>
      <c r="BT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8.4</v>
      </c>
      <c r="BY39" s="13">
        <f>IF('Données projet'!$A$114&gt;35,BY38+BX39-CG38,IF(A39&lt;'Données projet'!$A$114,$BV$205^A39,IF(A39='Données projet'!$A$114,'Données projet'!$B$114,BY38+BX39-CG38)))</f>
        <v>124.4</v>
      </c>
      <c r="BZ39" s="14">
        <f>BY39*VLOOKUP('Données projet'!$B$12,Paramètres!$A$1:$I$89,3,0)*VLOOKUP('Données projet'!$B$12,Paramètres!$A$1:$I$89,5,0)</f>
        <v>120.31968000000001</v>
      </c>
      <c r="CA39" s="14">
        <f t="shared" si="39"/>
        <v>31.74954785566829</v>
      </c>
      <c r="CB39" s="22">
        <f t="shared" si="10"/>
        <v>264.85390518195555</v>
      </c>
      <c r="CC39" s="60">
        <f t="shared" si="11"/>
        <v>509.36632342298998</v>
      </c>
      <c r="CD39" s="60">
        <f ca="1">AVERAGE(OFFSET($CC$3,0,0,'Données projet'!$E$12+1,1))-AVERAGE(OFFSET($H$3,0,0,'Données projet'!$E$12+1,1))</f>
        <v>496.33873798282525</v>
      </c>
      <c r="CE39" s="60">
        <f t="shared" si="40"/>
        <v>280.25465074992246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8.4</v>
      </c>
      <c r="CT39" s="13">
        <f>IF('Données projet'!$A$140&gt;35,CT38+CS39-DB38,IF(A39&lt;'Données projet'!$A$140,$CQ$205^A39,IF(A39='Données projet'!$A$140,'Données projet'!$B$140,CT38+CS39-DB38)))</f>
        <v>124.4</v>
      </c>
      <c r="CU39" s="18">
        <f>CT39*VLOOKUP('Données projet'!$B$13,Paramètres!$A$1:$I$89,3,0)*VLOOKUP('Données projet'!$B$13,Paramètres!$A$1:$I$89,5,0)</f>
        <v>133.90415999999999</v>
      </c>
      <c r="CV39" s="14">
        <f t="shared" si="41"/>
        <v>34.896936615903982</v>
      </c>
      <c r="CW39" s="22">
        <f t="shared" si="13"/>
        <v>293.99524327269938</v>
      </c>
      <c r="CX39" s="60">
        <f t="shared" si="14"/>
        <v>538.50766151373386</v>
      </c>
      <c r="CY39" s="60">
        <f ca="1">AVERAGE(OFFSET($CX$3,0,0,'Données projet'!$E$13+1,1))-AVERAGE(OFFSET($H$3,0,0,'Données projet'!$E$13+1,1))</f>
        <v>542.90832990875208</v>
      </c>
      <c r="CZ39" s="60">
        <f t="shared" si="42"/>
        <v>304.94365539329362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0" t="e">
        <f t="shared" si="17"/>
        <v>#N/A</v>
      </c>
      <c r="DT39" s="60" t="e">
        <f ca="1">AVERAGE(OFFSET($DS$3,0,0,'Données projet'!$E$14+1,1))-AVERAGE(OFFSET($H$3,0,0,'Données projet'!$E$14+1,1))</f>
        <v>#N/A</v>
      </c>
      <c r="DU39" s="60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0" t="e">
        <f t="shared" si="20"/>
        <v>#N/A</v>
      </c>
      <c r="EO39" s="60" t="e">
        <f ca="1">AVERAGE(OFFSET($EN$3,0,0,'Données projet'!$E$15+1,1))-AVERAGE(OFFSET($H$3,0,0,'Données projet'!$E$15+1,1))</f>
        <v>#N/A</v>
      </c>
      <c r="EP39" s="60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0" t="e">
        <f t="shared" si="23"/>
        <v>#N/A</v>
      </c>
      <c r="FJ39" s="60" t="e">
        <f ca="1">AVERAGE(OFFSET($FI$3,0,0,'Données projet'!$E$16+1,1))-AVERAGE(OFFSET($H$3,0,0,'Données projet'!$E$16+1,1))</f>
        <v>#N/A</v>
      </c>
      <c r="FK39" s="60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0" t="e">
        <f t="shared" si="26"/>
        <v>#N/A</v>
      </c>
      <c r="GE39" s="60" t="e">
        <f ca="1">AVERAGE(OFFSET($GD$3,0,0,'Données projet'!$E$17+1,1))-AVERAGE(OFFSET($H$3,0,0,'Données projet'!$E$17+1,1))</f>
        <v>#N/A</v>
      </c>
      <c r="GF39" s="60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4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9.981538461538463</v>
      </c>
      <c r="N40" s="14">
        <f>IF('Données projet'!$A$36&gt;35,N39+M40-V39,IF(A40&lt;'Données projet'!$A$36,$K$205^A40,IF(A40='Données projet'!$A$36,'Données projet'!$B$36,N39+M40-V39)))</f>
        <v>167.85538461538459</v>
      </c>
      <c r="O40" s="14">
        <f>N40*VLOOKUP('Données projet'!$B$9,Paramètres!$A$1:$I$89,3,0)*VLOOKUP('Données projet'!$B$9,Paramètres!$A$1:$I$89,5,0)</f>
        <v>78.556319999999985</v>
      </c>
      <c r="P40" s="14">
        <f t="shared" si="33"/>
        <v>21.783823615207403</v>
      </c>
      <c r="Q40" s="22">
        <f t="shared" si="53"/>
        <v>174.75908346315285</v>
      </c>
      <c r="R40" s="60">
        <f t="shared" si="0"/>
        <v>420.11843543382395</v>
      </c>
      <c r="S40" s="60">
        <f ca="1">AVERAGE(OFFSET($R$3,0,0,'Données projet'!$E$9+1,1))-AVERAGE(OFFSET($H$3,0,0,'Données projet'!$E$9+1,1))</f>
        <v>277.7918215389401</v>
      </c>
      <c r="T40" s="60">
        <f t="shared" si="34"/>
        <v>164.65640238394164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132.80000000000001</v>
      </c>
      <c r="AJ40" s="14">
        <f>AI40*VLOOKUP('Données projet'!$B$10,Paramètres!$A$1:$I$89,3,0)*VLOOKUP('Données projet'!$B$10,Paramètres!$A$1:$I$89,5,0)</f>
        <v>120.15744000000001</v>
      </c>
      <c r="AK40" s="14">
        <f t="shared" si="35"/>
        <v>31.711716786129845</v>
      </c>
      <c r="AL40" s="22">
        <f t="shared" si="4"/>
        <v>264.50544806917611</v>
      </c>
      <c r="AM40" s="60">
        <f t="shared" si="5"/>
        <v>509.86480003984718</v>
      </c>
      <c r="AN40" s="60">
        <f ca="1">AVERAGE(OFFSET($AM$3,0,0,'Données projet'!$E$10+1,1))-AVERAGE(OFFSET($H$3,0,0,'Données projet'!$E$10+1,1))</f>
        <v>469.67944008675863</v>
      </c>
      <c r="AO40" s="60">
        <f t="shared" si="36"/>
        <v>266.11908070867173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>
        <f>VLOOKUP(A40,'Données projet'!$A$87:$I$107,2,0)</f>
        <v>245.327</v>
      </c>
      <c r="BB40" s="13">
        <f>VLOOKUP(A40,'Données projet'!$A$87:$I$107,9,0)</f>
        <v>12.938699999999994</v>
      </c>
      <c r="BC40" s="13">
        <f t="array" ref="BC40">INDEX(BB:BB,MIN(IF(ISNUMBER(BB40:BB236),ROW(BB40:BB236),"")))</f>
        <v>12.938699999999994</v>
      </c>
      <c r="BD40" s="13">
        <f>IF('Données projet'!$A$88&gt;35,BD39+BC40-BL39,IF(A40&lt;'Données projet'!$A$88,$BA$205^A40,IF(A40='Données projet'!$A$88,'Données projet'!$B$88,BD39+BC40-BL39)))</f>
        <v>245.32699999999997</v>
      </c>
      <c r="BE40" s="14">
        <f>BD40*VLOOKUP('Données projet'!$B$11,Paramètres!$A$1:$I$89,3,0)*VLOOKUP('Données projet'!$B$11,Paramètres!$A$1:$I$89,5,0)</f>
        <v>146.705546</v>
      </c>
      <c r="BF40" s="14">
        <f t="shared" si="37"/>
        <v>37.828944219472127</v>
      </c>
      <c r="BG40" s="22">
        <f t="shared" si="7"/>
        <v>321.3975704655806</v>
      </c>
      <c r="BH40" s="60">
        <f t="shared" si="8"/>
        <v>566.75692243625167</v>
      </c>
      <c r="BI40" s="60">
        <f ca="1">AVERAGE(OFFSET($BH$3,0,0,'Données projet'!$E$11+1,1))-AVERAGE(OFFSET($H$3,0,0,'Données projet'!$E$11+1,1))</f>
        <v>216.36762889365235</v>
      </c>
      <c r="BJ40" s="60">
        <f t="shared" si="38"/>
        <v>333.29599352215496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11.753254613499847</v>
      </c>
      <c r="BQ40" s="23">
        <f>EXP(-LN(2)/25)*BQ39+(1-EXP(-LN(2)/25))/(LN(2)/25)*Calculateur!BL40*Calculateur!BN40*VLOOKUP('Données projet'!$B$11,Paramètres!$A$1:$I$89,3,0)*0.475*44/12</f>
        <v>8.0295294904963388</v>
      </c>
      <c r="BR40" s="23">
        <f>EXP(-LN(2)/2)*BR39+(1-EXP(-LN(2)/2))/(LN(2)/2)*BL40*BO40*VLOOKUP('Données projet'!$B$11,Paramètres!$A$1:$I$89,3,0)*0.475*44/12</f>
        <v>0.25848533194710066</v>
      </c>
      <c r="BS40" s="24">
        <f t="shared" si="9"/>
        <v>20.041269435943285</v>
      </c>
      <c r="BT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8.4</v>
      </c>
      <c r="BY40" s="13">
        <f>IF('Données projet'!$A$114&gt;35,BY39+BX40-CG39,IF(A40&lt;'Données projet'!$A$114,$BV$205^A40,IF(A40='Données projet'!$A$114,'Données projet'!$B$114,BY39+BX40-CG39)))</f>
        <v>132.80000000000001</v>
      </c>
      <c r="BZ40" s="14">
        <f>BY40*VLOOKUP('Données projet'!$B$12,Paramètres!$A$1:$I$89,3,0)*VLOOKUP('Données projet'!$B$12,Paramètres!$A$1:$I$89,5,0)</f>
        <v>128.44416000000001</v>
      </c>
      <c r="CA40" s="14">
        <f t="shared" si="39"/>
        <v>33.636598855068925</v>
      </c>
      <c r="CB40" s="22">
        <f t="shared" si="10"/>
        <v>282.29065500591173</v>
      </c>
      <c r="CC40" s="60">
        <f t="shared" si="11"/>
        <v>527.65000697658286</v>
      </c>
      <c r="CD40" s="60">
        <f ca="1">AVERAGE(OFFSET($CC$3,0,0,'Données projet'!$E$12+1,1))-AVERAGE(OFFSET($H$3,0,0,'Données projet'!$E$12+1,1))</f>
        <v>496.33873798282525</v>
      </c>
      <c r="CE40" s="60">
        <f t="shared" si="40"/>
        <v>280.25465074992246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8.4</v>
      </c>
      <c r="CT40" s="13">
        <f>IF('Données projet'!$A$140&gt;35,CT39+CS40-DB39,IF(A40&lt;'Données projet'!$A$140,$CQ$205^A40,IF(A40='Données projet'!$A$140,'Données projet'!$B$140,CT39+CS40-DB39)))</f>
        <v>132.80000000000001</v>
      </c>
      <c r="CU40" s="18">
        <f>CT40*VLOOKUP('Données projet'!$B$13,Paramètres!$A$1:$I$89,3,0)*VLOOKUP('Données projet'!$B$13,Paramètres!$A$1:$I$89,5,0)</f>
        <v>142.94592</v>
      </c>
      <c r="CV40" s="14">
        <f t="shared" si="41"/>
        <v>36.971054314096854</v>
      </c>
      <c r="CW40" s="22">
        <f t="shared" si="13"/>
        <v>313.35539693038533</v>
      </c>
      <c r="CX40" s="60">
        <f t="shared" si="14"/>
        <v>558.7147489010564</v>
      </c>
      <c r="CY40" s="60">
        <f ca="1">AVERAGE(OFFSET($CX$3,0,0,'Données projet'!$E$13+1,1))-AVERAGE(OFFSET($H$3,0,0,'Données projet'!$E$13+1,1))</f>
        <v>542.90832990875208</v>
      </c>
      <c r="CZ40" s="60">
        <f t="shared" si="42"/>
        <v>304.94365539329362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0" t="e">
        <f t="shared" si="17"/>
        <v>#N/A</v>
      </c>
      <c r="DT40" s="60" t="e">
        <f ca="1">AVERAGE(OFFSET($DS$3,0,0,'Données projet'!$E$14+1,1))-AVERAGE(OFFSET($H$3,0,0,'Données projet'!$E$14+1,1))</f>
        <v>#N/A</v>
      </c>
      <c r="DU40" s="60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0" t="e">
        <f t="shared" si="20"/>
        <v>#N/A</v>
      </c>
      <c r="EO40" s="60" t="e">
        <f ca="1">AVERAGE(OFFSET($EN$3,0,0,'Données projet'!$E$15+1,1))-AVERAGE(OFFSET($H$3,0,0,'Données projet'!$E$15+1,1))</f>
        <v>#N/A</v>
      </c>
      <c r="EP40" s="60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0" t="e">
        <f t="shared" si="23"/>
        <v>#N/A</v>
      </c>
      <c r="FJ40" s="60" t="e">
        <f ca="1">AVERAGE(OFFSET($FI$3,0,0,'Données projet'!$E$16+1,1))-AVERAGE(OFFSET($H$3,0,0,'Données projet'!$E$16+1,1))</f>
        <v>#N/A</v>
      </c>
      <c r="FK40" s="60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0" t="e">
        <f t="shared" si="26"/>
        <v>#N/A</v>
      </c>
      <c r="GE40" s="60" t="e">
        <f ca="1">AVERAGE(OFFSET($GD$3,0,0,'Données projet'!$E$17+1,1))-AVERAGE(OFFSET($H$3,0,0,'Données projet'!$E$17+1,1))</f>
        <v>#N/A</v>
      </c>
      <c r="GF40" s="60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4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9.981538461538463</v>
      </c>
      <c r="N41" s="14">
        <f>IF('Données projet'!$A$36&gt;35,N40+M41-V40,IF(A41&lt;'Données projet'!$A$36,$K$205^A41,IF(A41='Données projet'!$A$36,'Données projet'!$B$36,N40+M41-V40)))</f>
        <v>177.83692307692306</v>
      </c>
      <c r="O41" s="14">
        <f>N41*VLOOKUP('Données projet'!$B$9,Paramètres!$A$1:$I$89,3,0)*VLOOKUP('Données projet'!$B$9,Paramètres!$A$1:$I$89,5,0)</f>
        <v>83.227679999999978</v>
      </c>
      <c r="P41" s="14">
        <f t="shared" si="33"/>
        <v>22.924542798244513</v>
      </c>
      <c r="Q41" s="22">
        <f t="shared" si="53"/>
        <v>184.88178804027584</v>
      </c>
      <c r="R41" s="60">
        <f t="shared" si="0"/>
        <v>431.07338133383456</v>
      </c>
      <c r="S41" s="60">
        <f ca="1">AVERAGE(OFFSET($R$3,0,0,'Données projet'!$E$9+1,1))-AVERAGE(OFFSET($H$3,0,0,'Données projet'!$E$9+1,1))</f>
        <v>277.7918215389401</v>
      </c>
      <c r="T41" s="60">
        <f t="shared" si="34"/>
        <v>164.65640238394164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141.20000000000002</v>
      </c>
      <c r="AJ41" s="14">
        <f>AI41*VLOOKUP('Données projet'!$B$10,Paramètres!$A$1:$I$89,3,0)*VLOOKUP('Données projet'!$B$10,Paramètres!$A$1:$I$89,5,0)</f>
        <v>127.75776</v>
      </c>
      <c r="AK41" s="14">
        <f t="shared" si="35"/>
        <v>33.477720030956604</v>
      </c>
      <c r="AL41" s="22">
        <f t="shared" si="4"/>
        <v>280.81846105391611</v>
      </c>
      <c r="AM41" s="60">
        <f t="shared" si="5"/>
        <v>527.01005434747481</v>
      </c>
      <c r="AN41" s="60">
        <f ca="1">AVERAGE(OFFSET($AM$3,0,0,'Données projet'!$E$10+1,1))-AVERAGE(OFFSET($H$3,0,0,'Données projet'!$E$10+1,1))</f>
        <v>469.67944008675863</v>
      </c>
      <c r="AO41" s="60">
        <f t="shared" si="36"/>
        <v>266.11908070867173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13.198800000000006</v>
      </c>
      <c r="BD41" s="13">
        <f>IF('Données projet'!$A$88&gt;35,BD40+BC41-BL40,IF(A41&lt;'Données projet'!$A$88,$BA$205^A41,IF(A41='Données projet'!$A$88,'Données projet'!$B$88,BD40+BC41-BL40)))</f>
        <v>258.5258</v>
      </c>
      <c r="BE41" s="14">
        <f>BD41*VLOOKUP('Données projet'!$B$11,Paramètres!$A$1:$I$89,3,0)*VLOOKUP('Données projet'!$B$11,Paramètres!$A$1:$I$89,5,0)</f>
        <v>154.59842840000002</v>
      </c>
      <c r="BF41" s="14">
        <f t="shared" si="37"/>
        <v>39.621751412081764</v>
      </c>
      <c r="BG41" s="22">
        <f t="shared" si="7"/>
        <v>338.26681317270908</v>
      </c>
      <c r="BH41" s="60">
        <f t="shared" si="8"/>
        <v>584.45840646626777</v>
      </c>
      <c r="BI41" s="60">
        <f ca="1">AVERAGE(OFFSET($BH$3,0,0,'Données projet'!$E$11+1,1))-AVERAGE(OFFSET($H$3,0,0,'Données projet'!$E$11+1,1))</f>
        <v>216.36762889365235</v>
      </c>
      <c r="BJ41" s="60">
        <f t="shared" si="38"/>
        <v>333.29599352215496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11.522780459306571</v>
      </c>
      <c r="BQ41" s="23">
        <f>EXP(-LN(2)/25)*BQ40+(1-EXP(-LN(2)/25))/(LN(2)/25)*Calculateur!BL41*Calculateur!BN41*VLOOKUP('Données projet'!$B$11,Paramètres!$A$1:$I$89,3,0)*0.475*44/12</f>
        <v>7.8099615843241121</v>
      </c>
      <c r="BR41" s="23">
        <f>EXP(-LN(2)/2)*BR40+(1-EXP(-LN(2)/2))/(LN(2)/2)*BL41*BO41*VLOOKUP('Données projet'!$B$11,Paramètres!$A$1:$I$89,3,0)*0.475*44/12</f>
        <v>0.18277673105705061</v>
      </c>
      <c r="BS41" s="24">
        <f t="shared" si="9"/>
        <v>19.515518774687731</v>
      </c>
      <c r="BT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8.4</v>
      </c>
      <c r="BY41" s="13">
        <f>IF('Données projet'!$A$114&gt;35,BY40+BX41-CG40,IF(A41&lt;'Données projet'!$A$114,$BV$205^A41,IF(A41='Données projet'!$A$114,'Données projet'!$B$114,BY40+BX41-CG40)))</f>
        <v>141.20000000000002</v>
      </c>
      <c r="BZ41" s="14">
        <f>BY41*VLOOKUP('Données projet'!$B$12,Paramètres!$A$1:$I$89,3,0)*VLOOKUP('Données projet'!$B$12,Paramètres!$A$1:$I$89,5,0)</f>
        <v>136.56864000000002</v>
      </c>
      <c r="CA41" s="14">
        <f t="shared" si="39"/>
        <v>35.509797430964703</v>
      </c>
      <c r="CB41" s="22">
        <f t="shared" si="10"/>
        <v>299.70327852559689</v>
      </c>
      <c r="CC41" s="60">
        <f t="shared" si="11"/>
        <v>545.89487181915558</v>
      </c>
      <c r="CD41" s="60">
        <f ca="1">AVERAGE(OFFSET($CC$3,0,0,'Données projet'!$E$12+1,1))-AVERAGE(OFFSET($H$3,0,0,'Données projet'!$E$12+1,1))</f>
        <v>496.33873798282525</v>
      </c>
      <c r="CE41" s="60">
        <f t="shared" si="40"/>
        <v>280.25465074992246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8.4</v>
      </c>
      <c r="CT41" s="13">
        <f>IF('Données projet'!$A$140&gt;35,CT40+CS41-DB40,IF(A41&lt;'Données projet'!$A$140,$CQ$205^A41,IF(A41='Données projet'!$A$140,'Données projet'!$B$140,CT40+CS41-DB40)))</f>
        <v>141.20000000000002</v>
      </c>
      <c r="CU41" s="18">
        <f>CT41*VLOOKUP('Données projet'!$B$13,Paramètres!$A$1:$I$89,3,0)*VLOOKUP('Données projet'!$B$13,Paramètres!$A$1:$I$89,5,0)</f>
        <v>151.98768000000001</v>
      </c>
      <c r="CV41" s="14">
        <f t="shared" si="41"/>
        <v>39.029946373574369</v>
      </c>
      <c r="CW41" s="22">
        <f t="shared" si="13"/>
        <v>332.68903260064207</v>
      </c>
      <c r="CX41" s="60">
        <f t="shared" si="14"/>
        <v>578.88062589420076</v>
      </c>
      <c r="CY41" s="60">
        <f ca="1">AVERAGE(OFFSET($CX$3,0,0,'Données projet'!$E$13+1,1))-AVERAGE(OFFSET($H$3,0,0,'Données projet'!$E$13+1,1))</f>
        <v>542.90832990875208</v>
      </c>
      <c r="CZ41" s="60">
        <f t="shared" si="42"/>
        <v>304.94365539329362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0" t="e">
        <f t="shared" si="17"/>
        <v>#N/A</v>
      </c>
      <c r="DT41" s="60" t="e">
        <f ca="1">AVERAGE(OFFSET($DS$3,0,0,'Données projet'!$E$14+1,1))-AVERAGE(OFFSET($H$3,0,0,'Données projet'!$E$14+1,1))</f>
        <v>#N/A</v>
      </c>
      <c r="DU41" s="60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0" t="e">
        <f t="shared" si="20"/>
        <v>#N/A</v>
      </c>
      <c r="EO41" s="60" t="e">
        <f ca="1">AVERAGE(OFFSET($EN$3,0,0,'Données projet'!$E$15+1,1))-AVERAGE(OFFSET($H$3,0,0,'Données projet'!$E$15+1,1))</f>
        <v>#N/A</v>
      </c>
      <c r="EP41" s="60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0" t="e">
        <f t="shared" si="23"/>
        <v>#N/A</v>
      </c>
      <c r="FJ41" s="60" t="e">
        <f ca="1">AVERAGE(OFFSET($FI$3,0,0,'Données projet'!$E$16+1,1))-AVERAGE(OFFSET($H$3,0,0,'Données projet'!$E$16+1,1))</f>
        <v>#N/A</v>
      </c>
      <c r="FK41" s="60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0" t="e">
        <f t="shared" si="26"/>
        <v>#N/A</v>
      </c>
      <c r="GE41" s="60" t="e">
        <f ca="1">AVERAGE(OFFSET($GD$3,0,0,'Données projet'!$E$17+1,1))-AVERAGE(OFFSET($H$3,0,0,'Données projet'!$E$17+1,1))</f>
        <v>#N/A</v>
      </c>
      <c r="GF41" s="60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4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9.981538461538463</v>
      </c>
      <c r="N42" s="14">
        <f>IF('Données projet'!$A$36&gt;35,N41+M42-V41,IF(A42&lt;'Données projet'!$A$36,$K$205^A42,IF(A42='Données projet'!$A$36,'Données projet'!$B$36,N41+M42-V41)))</f>
        <v>187.81846153846152</v>
      </c>
      <c r="O42" s="14">
        <f>N42*VLOOKUP('Données projet'!$B$9,Paramètres!$A$1:$I$89,3,0)*VLOOKUP('Données projet'!$B$9,Paramètres!$A$1:$I$89,5,0)</f>
        <v>87.899039999999985</v>
      </c>
      <c r="P42" s="14">
        <f t="shared" si="33"/>
        <v>24.05782956318463</v>
      </c>
      <c r="Q42" s="22">
        <f t="shared" si="53"/>
        <v>194.99154782254652</v>
      </c>
      <c r="R42" s="60">
        <f t="shared" si="0"/>
        <v>442.00094491265361</v>
      </c>
      <c r="S42" s="60">
        <f ca="1">AVERAGE(OFFSET($R$3,0,0,'Données projet'!$E$9+1,1))-AVERAGE(OFFSET($H$3,0,0,'Données projet'!$E$9+1,1))</f>
        <v>277.7918215389401</v>
      </c>
      <c r="T42" s="60">
        <f t="shared" si="34"/>
        <v>164.65640238394164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149.60000000000002</v>
      </c>
      <c r="AJ42" s="14">
        <f>AI42*VLOOKUP('Données projet'!$B$10,Paramètres!$A$1:$I$89,3,0)*VLOOKUP('Données projet'!$B$10,Paramètres!$A$1:$I$89,5,0)</f>
        <v>135.35808</v>
      </c>
      <c r="AK42" s="14">
        <f t="shared" si="35"/>
        <v>35.231528980112834</v>
      </c>
      <c r="AL42" s="22">
        <f t="shared" si="4"/>
        <v>297.11023564036316</v>
      </c>
      <c r="AM42" s="60">
        <f t="shared" si="5"/>
        <v>544.11963273047024</v>
      </c>
      <c r="AN42" s="60">
        <f ca="1">AVERAGE(OFFSET($AM$3,0,0,'Données projet'!$E$10+1,1))-AVERAGE(OFFSET($H$3,0,0,'Données projet'!$E$10+1,1))</f>
        <v>469.67944008675863</v>
      </c>
      <c r="AO42" s="60">
        <f t="shared" si="36"/>
        <v>266.11908070867173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13.198800000000006</v>
      </c>
      <c r="BD42" s="13">
        <f>IF('Données projet'!$A$88&gt;35,BD41+BC42-BL41,IF(A42&lt;'Données projet'!$A$88,$BA$205^A42,IF(A42='Données projet'!$A$88,'Données projet'!$B$88,BD41+BC42-BL41)))</f>
        <v>271.72460000000001</v>
      </c>
      <c r="BE42" s="14">
        <f>BD42*VLOOKUP('Données projet'!$B$11,Paramètres!$A$1:$I$89,3,0)*VLOOKUP('Données projet'!$B$11,Paramètres!$A$1:$I$89,5,0)</f>
        <v>162.49131080000001</v>
      </c>
      <c r="BF42" s="14">
        <f t="shared" si="37"/>
        <v>41.403931216412602</v>
      </c>
      <c r="BG42" s="22">
        <f t="shared" si="7"/>
        <v>355.11754651191865</v>
      </c>
      <c r="BH42" s="60">
        <f t="shared" si="8"/>
        <v>602.12694360202579</v>
      </c>
      <c r="BI42" s="60">
        <f ca="1">AVERAGE(OFFSET($BH$3,0,0,'Données projet'!$E$11+1,1))-AVERAGE(OFFSET($H$3,0,0,'Données projet'!$E$11+1,1))</f>
        <v>216.36762889365235</v>
      </c>
      <c r="BJ42" s="60">
        <f t="shared" si="38"/>
        <v>333.29599352215496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11.296825762701671</v>
      </c>
      <c r="BQ42" s="23">
        <f>EXP(-LN(2)/25)*BQ41+(1-EXP(-LN(2)/25))/(LN(2)/25)*Calculateur!BL42*Calculateur!BN42*VLOOKUP('Données projet'!$B$11,Paramètres!$A$1:$I$89,3,0)*0.475*44/12</f>
        <v>7.5963977740927398</v>
      </c>
      <c r="BR42" s="23">
        <f>EXP(-LN(2)/2)*BR41+(1-EXP(-LN(2)/2))/(LN(2)/2)*BL42*BO42*VLOOKUP('Données projet'!$B$11,Paramètres!$A$1:$I$89,3,0)*0.475*44/12</f>
        <v>0.12924266597355033</v>
      </c>
      <c r="BS42" s="24">
        <f t="shared" si="9"/>
        <v>19.022466202767959</v>
      </c>
      <c r="BT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8.4</v>
      </c>
      <c r="BY42" s="13">
        <f>IF('Données projet'!$A$114&gt;35,BY41+BX42-CG41,IF(A42&lt;'Données projet'!$A$114,$BV$205^A42,IF(A42='Données projet'!$A$114,'Données projet'!$B$114,BY41+BX42-CG41)))</f>
        <v>149.60000000000002</v>
      </c>
      <c r="BZ42" s="14">
        <f>BY42*VLOOKUP('Données projet'!$B$12,Paramètres!$A$1:$I$89,3,0)*VLOOKUP('Données projet'!$B$12,Paramètres!$A$1:$I$89,5,0)</f>
        <v>144.69312000000002</v>
      </c>
      <c r="CA42" s="14">
        <f t="shared" si="39"/>
        <v>37.370061524802772</v>
      </c>
      <c r="CB42" s="22">
        <f t="shared" si="10"/>
        <v>317.09337448903148</v>
      </c>
      <c r="CC42" s="60">
        <f t="shared" si="11"/>
        <v>564.10277157913856</v>
      </c>
      <c r="CD42" s="60">
        <f ca="1">AVERAGE(OFFSET($CC$3,0,0,'Données projet'!$E$12+1,1))-AVERAGE(OFFSET($H$3,0,0,'Données projet'!$E$12+1,1))</f>
        <v>496.33873798282525</v>
      </c>
      <c r="CE42" s="60">
        <f t="shared" si="40"/>
        <v>280.25465074992246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8.4</v>
      </c>
      <c r="CT42" s="13">
        <f>IF('Données projet'!$A$140&gt;35,CT41+CS42-DB41,IF(A42&lt;'Données projet'!$A$140,$CQ$205^A42,IF(A42='Données projet'!$A$140,'Données projet'!$B$140,CT41+CS42-DB41)))</f>
        <v>149.60000000000002</v>
      </c>
      <c r="CU42" s="18">
        <f>CT42*VLOOKUP('Données projet'!$B$13,Paramètres!$A$1:$I$89,3,0)*VLOOKUP('Données projet'!$B$13,Paramètres!$A$1:$I$89,5,0)</f>
        <v>161.02944000000002</v>
      </c>
      <c r="CV42" s="14">
        <f t="shared" si="41"/>
        <v>41.074621732940685</v>
      </c>
      <c r="CW42" s="22">
        <f t="shared" si="13"/>
        <v>351.99790751820501</v>
      </c>
      <c r="CX42" s="60">
        <f t="shared" si="14"/>
        <v>599.0073046083121</v>
      </c>
      <c r="CY42" s="60">
        <f ca="1">AVERAGE(OFFSET($CX$3,0,0,'Données projet'!$E$13+1,1))-AVERAGE(OFFSET($H$3,0,0,'Données projet'!$E$13+1,1))</f>
        <v>542.90832990875208</v>
      </c>
      <c r="CZ42" s="60">
        <f t="shared" si="42"/>
        <v>304.94365539329362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0" t="e">
        <f t="shared" si="17"/>
        <v>#N/A</v>
      </c>
      <c r="DT42" s="60" t="e">
        <f ca="1">AVERAGE(OFFSET($DS$3,0,0,'Données projet'!$E$14+1,1))-AVERAGE(OFFSET($H$3,0,0,'Données projet'!$E$14+1,1))</f>
        <v>#N/A</v>
      </c>
      <c r="DU42" s="60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0" t="e">
        <f t="shared" si="20"/>
        <v>#N/A</v>
      </c>
      <c r="EO42" s="60" t="e">
        <f ca="1">AVERAGE(OFFSET($EN$3,0,0,'Données projet'!$E$15+1,1))-AVERAGE(OFFSET($H$3,0,0,'Données projet'!$E$15+1,1))</f>
        <v>#N/A</v>
      </c>
      <c r="EP42" s="60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0" t="e">
        <f t="shared" si="23"/>
        <v>#N/A</v>
      </c>
      <c r="FJ42" s="60" t="e">
        <f ca="1">AVERAGE(OFFSET($FI$3,0,0,'Données projet'!$E$16+1,1))-AVERAGE(OFFSET($H$3,0,0,'Données projet'!$E$16+1,1))</f>
        <v>#N/A</v>
      </c>
      <c r="FK42" s="60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0" t="e">
        <f t="shared" si="26"/>
        <v>#N/A</v>
      </c>
      <c r="GE42" s="60" t="e">
        <f ca="1">AVERAGE(OFFSET($GD$3,0,0,'Données projet'!$E$17+1,1))-AVERAGE(OFFSET($H$3,0,0,'Données projet'!$E$17+1,1))</f>
        <v>#N/A</v>
      </c>
      <c r="GF42" s="60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4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197.79999999999998</v>
      </c>
      <c r="L43" s="13">
        <f>VLOOKUP(A43,'Données projet'!$A$35:$I$55,9,0)</f>
        <v>9.981538461538463</v>
      </c>
      <c r="M43" s="13">
        <f t="array" ref="M43">INDEX(L:L,MIN(IF(ISNUMBER(L43:L239),ROW(L43:L239),"")))</f>
        <v>9.981538461538463</v>
      </c>
      <c r="N43" s="14">
        <f>IF('Données projet'!$A$36&gt;35,N42+M43-V42,IF(A43&lt;'Données projet'!$A$36,$K$205^A43,IF(A43='Données projet'!$A$36,'Données projet'!$B$36,N42+M43-V42)))</f>
        <v>197.79999999999998</v>
      </c>
      <c r="O43" s="14">
        <f>N43*VLOOKUP('Données projet'!$B$9,Paramètres!$A$1:$I$89,3,0)*VLOOKUP('Données projet'!$B$9,Paramètres!$A$1:$I$89,5,0)</f>
        <v>92.570399999999978</v>
      </c>
      <c r="P43" s="14">
        <f t="shared" si="33"/>
        <v>25.184123943972491</v>
      </c>
      <c r="Q43" s="22">
        <f t="shared" si="53"/>
        <v>205.08912920241869</v>
      </c>
      <c r="R43" s="60">
        <f t="shared" si="0"/>
        <v>452.90214302153947</v>
      </c>
      <c r="S43" s="60">
        <f ca="1">AVERAGE(OFFSET($R$3,0,0,'Données projet'!$E$9+1,1))-AVERAGE(OFFSET($H$3,0,0,'Données projet'!$E$9+1,1))</f>
        <v>277.7918215389401</v>
      </c>
      <c r="T43" s="60">
        <f t="shared" si="34"/>
        <v>164.65640238394164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158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158.00000000000003</v>
      </c>
      <c r="AJ43" s="14">
        <f>AI43*VLOOKUP('Données projet'!$B$10,Paramètres!$A$1:$I$89,3,0)*VLOOKUP('Données projet'!$B$10,Paramètres!$A$1:$I$89,5,0)</f>
        <v>142.95840000000004</v>
      </c>
      <c r="AK43" s="14">
        <f t="shared" si="35"/>
        <v>36.973906370811264</v>
      </c>
      <c r="AL43" s="22">
        <f t="shared" si="4"/>
        <v>313.38210026249641</v>
      </c>
      <c r="AM43" s="60">
        <f t="shared" si="5"/>
        <v>561.19511408161725</v>
      </c>
      <c r="AN43" s="60">
        <f ca="1">AVERAGE(OFFSET($AM$3,0,0,'Données projet'!$E$10+1,1))-AVERAGE(OFFSET($H$3,0,0,'Données projet'!$E$10+1,1))</f>
        <v>469.67944008675863</v>
      </c>
      <c r="AO43" s="60">
        <f t="shared" si="36"/>
        <v>266.11908070867173</v>
      </c>
      <c r="AP43" s="16">
        <f>IF(ISNA(VLOOKUP(A43,'Données projet'!$A$61:$I$81,3,0)),0,VLOOKUP(A43,'Données projet'!$A$61:$I$81,3,0))</f>
        <v>2</v>
      </c>
      <c r="AQ43" s="16">
        <f>IF(ISNA(VLOOKUP(A43,'Données projet'!$A$61:$I$81,4,0)),0,VLOOKUP(A43,'Données projet'!$A$61:$I$81,4,0))</f>
        <v>42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13.198800000000006</v>
      </c>
      <c r="BD43" s="13">
        <f>IF('Données projet'!$A$88&gt;35,BD42+BC43-BL42,IF(A43&lt;'Données projet'!$A$88,$BA$205^A43,IF(A43='Données projet'!$A$88,'Données projet'!$B$88,BD42+BC43-BL42)))</f>
        <v>284.92340000000002</v>
      </c>
      <c r="BE43" s="14">
        <f>BD43*VLOOKUP('Données projet'!$B$11,Paramètres!$A$1:$I$89,3,0)*VLOOKUP('Données projet'!$B$11,Paramètres!$A$1:$I$89,5,0)</f>
        <v>170.38419320000003</v>
      </c>
      <c r="BF43" s="14">
        <f t="shared" si="37"/>
        <v>43.176058773516118</v>
      </c>
      <c r="BG43" s="22">
        <f t="shared" si="7"/>
        <v>371.95077218720718</v>
      </c>
      <c r="BH43" s="60">
        <f t="shared" si="8"/>
        <v>619.76378600632802</v>
      </c>
      <c r="BI43" s="60">
        <f ca="1">AVERAGE(OFFSET($BH$3,0,0,'Données projet'!$E$11+1,1))-AVERAGE(OFFSET($H$3,0,0,'Données projet'!$E$11+1,1))</f>
        <v>216.36762889365235</v>
      </c>
      <c r="BJ43" s="60">
        <f t="shared" si="38"/>
        <v>333.29599352215496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11.075301899878438</v>
      </c>
      <c r="BQ43" s="23">
        <f>EXP(-LN(2)/25)*BQ42+(1-EXP(-LN(2)/25))/(LN(2)/25)*Calculateur!BL43*Calculateur!BN43*VLOOKUP('Données projet'!$B$11,Paramètres!$A$1:$I$89,3,0)*0.475*44/12</f>
        <v>7.3886738774829768</v>
      </c>
      <c r="BR43" s="23">
        <f>EXP(-LN(2)/2)*BR42+(1-EXP(-LN(2)/2))/(LN(2)/2)*BL43*BO43*VLOOKUP('Données projet'!$B$11,Paramètres!$A$1:$I$89,3,0)*0.475*44/12</f>
        <v>9.1388365528525306E-2</v>
      </c>
      <c r="BS43" s="24">
        <f t="shared" si="9"/>
        <v>18.555364142889943</v>
      </c>
      <c r="BT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158</v>
      </c>
      <c r="BW43" s="13">
        <f>VLOOKUP(A43,'Données projet'!$A$113:$I$133,9,0)</f>
        <v>8.4</v>
      </c>
      <c r="BX43" s="13">
        <f t="array" ref="BX43">INDEX(BW:BW,MIN(IF(ISNUMBER(BW43:BW239),ROW(BW43:BW239),"")))</f>
        <v>8.4</v>
      </c>
      <c r="BY43" s="13">
        <f>IF('Données projet'!$A$114&gt;35,BY42+BX43-CG42,IF(A43&lt;'Données projet'!$A$114,$BV$205^A43,IF(A43='Données projet'!$A$114,'Données projet'!$B$114,BY42+BX43-CG42)))</f>
        <v>158.00000000000003</v>
      </c>
      <c r="BZ43" s="14">
        <f>BY43*VLOOKUP('Données projet'!$B$12,Paramètres!$A$1:$I$89,3,0)*VLOOKUP('Données projet'!$B$12,Paramètres!$A$1:$I$89,5,0)</f>
        <v>152.81760000000003</v>
      </c>
      <c r="CA43" s="14">
        <f t="shared" si="39"/>
        <v>39.218200171484227</v>
      </c>
      <c r="CB43" s="22">
        <f t="shared" si="10"/>
        <v>334.46235196533502</v>
      </c>
      <c r="CC43" s="60">
        <f t="shared" si="11"/>
        <v>582.27536578445586</v>
      </c>
      <c r="CD43" s="60">
        <f ca="1">AVERAGE(OFFSET($CC$3,0,0,'Données projet'!$E$12+1,1))-AVERAGE(OFFSET($H$3,0,0,'Données projet'!$E$12+1,1))</f>
        <v>496.33873798282525</v>
      </c>
      <c r="CE43" s="60">
        <f t="shared" si="40"/>
        <v>280.25465074992246</v>
      </c>
      <c r="CF43" s="16">
        <f>IF(ISNA(VLOOKUP(A43,'Données projet'!$A$113:$I$133,3,0)),0,VLOOKUP(A43,'Données projet'!$A$113:$I$133,3,0))</f>
        <v>2</v>
      </c>
      <c r="CG43" s="16">
        <f>IF(ISNA(VLOOKUP(A43,'Données projet'!$A$113:$I$133,4,0)),0,VLOOKUP(A43,'Données projet'!$A$113:$I$133,4,0))</f>
        <v>42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158</v>
      </c>
      <c r="CR43" s="13">
        <f>VLOOKUP(A43,'Données projet'!$A$139:$I$159,9,0)</f>
        <v>8.4</v>
      </c>
      <c r="CS43" s="13">
        <f t="array" ref="CS43">INDEX(CR:CR,MIN(IF(ISNUMBER(CR43:CR239),ROW(CR43:CR239),"")))</f>
        <v>8.4</v>
      </c>
      <c r="CT43" s="13">
        <f>IF('Données projet'!$A$140&gt;35,CT42+CS43-DB42,IF(A43&lt;'Données projet'!$A$140,$CQ$205^A43,IF(A43='Données projet'!$A$140,'Données projet'!$B$140,CT42+CS43-DB42)))</f>
        <v>158.00000000000003</v>
      </c>
      <c r="CU43" s="18">
        <f>CT43*VLOOKUP('Données projet'!$B$13,Paramètres!$A$1:$I$89,3,0)*VLOOKUP('Données projet'!$B$13,Paramètres!$A$1:$I$89,5,0)</f>
        <v>170.07120000000003</v>
      </c>
      <c r="CV43" s="14">
        <f t="shared" si="41"/>
        <v>43.10596962815594</v>
      </c>
      <c r="CW43" s="22">
        <f t="shared" si="13"/>
        <v>371.28357043570503</v>
      </c>
      <c r="CX43" s="60">
        <f t="shared" si="14"/>
        <v>619.09658425482587</v>
      </c>
      <c r="CY43" s="60">
        <f ca="1">AVERAGE(OFFSET($CX$3,0,0,'Données projet'!$E$13+1,1))-AVERAGE(OFFSET($H$3,0,0,'Données projet'!$E$13+1,1))</f>
        <v>542.90832990875208</v>
      </c>
      <c r="CZ43" s="60">
        <f t="shared" si="42"/>
        <v>304.94365539329362</v>
      </c>
      <c r="DA43" s="16">
        <f>IF(ISNA(VLOOKUP(A43,'Données projet'!$A$139:$I$159,3,0)),0,VLOOKUP(A43,'Données projet'!$A$139:$I$159,3,0))</f>
        <v>2</v>
      </c>
      <c r="DB43" s="16">
        <f>IF(ISNA(VLOOKUP(A43,'Données projet'!$A$139:$I$159,4,0)),0,VLOOKUP(A43,'Données projet'!$A$139:$I$159,4,0))</f>
        <v>42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0" t="e">
        <f t="shared" si="17"/>
        <v>#N/A</v>
      </c>
      <c r="DT43" s="60" t="e">
        <f ca="1">AVERAGE(OFFSET($DS$3,0,0,'Données projet'!$E$14+1,1))-AVERAGE(OFFSET($H$3,0,0,'Données projet'!$E$14+1,1))</f>
        <v>#N/A</v>
      </c>
      <c r="DU43" s="60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0" t="e">
        <f t="shared" si="20"/>
        <v>#N/A</v>
      </c>
      <c r="EO43" s="60" t="e">
        <f ca="1">AVERAGE(OFFSET($EN$3,0,0,'Données projet'!$E$15+1,1))-AVERAGE(OFFSET($H$3,0,0,'Données projet'!$E$15+1,1))</f>
        <v>#N/A</v>
      </c>
      <c r="EP43" s="60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0" t="e">
        <f t="shared" si="23"/>
        <v>#N/A</v>
      </c>
      <c r="FJ43" s="60" t="e">
        <f ca="1">AVERAGE(OFFSET($FI$3,0,0,'Données projet'!$E$16+1,1))-AVERAGE(OFFSET($H$3,0,0,'Données projet'!$E$16+1,1))</f>
        <v>#N/A</v>
      </c>
      <c r="FK43" s="60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0" t="e">
        <f t="shared" si="26"/>
        <v>#N/A</v>
      </c>
      <c r="GE43" s="60" t="e">
        <f ca="1">AVERAGE(OFFSET($GD$3,0,0,'Données projet'!$E$17+1,1))-AVERAGE(OFFSET($H$3,0,0,'Données projet'!$E$17+1,1))</f>
        <v>#N/A</v>
      </c>
      <c r="GF43" s="60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4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10.869230769230773</v>
      </c>
      <c r="N44" s="14">
        <f>IF('Données projet'!$A$36&gt;35,N43+M44-V43,IF(A44&lt;'Données projet'!$A$36,$K$205^A44,IF(A44='Données projet'!$A$36,'Données projet'!$B$36,N43+M44-V43)))</f>
        <v>208.66923076923075</v>
      </c>
      <c r="O44" s="14">
        <f>N44*VLOOKUP('Données projet'!$B$9,Paramètres!$A$1:$I$89,3,0)*VLOOKUP('Données projet'!$B$9,Paramètres!$A$1:$I$89,5,0)</f>
        <v>97.657199999999989</v>
      </c>
      <c r="P44" s="14">
        <f t="shared" si="33"/>
        <v>26.403090007431878</v>
      </c>
      <c r="Q44" s="22">
        <f t="shared" si="53"/>
        <v>216.07167176294379</v>
      </c>
      <c r="R44" s="60">
        <f t="shared" si="0"/>
        <v>464.67436135744776</v>
      </c>
      <c r="S44" s="60">
        <f ca="1">AVERAGE(OFFSET($R$3,0,0,'Données projet'!$E$9+1,1))-AVERAGE(OFFSET($H$3,0,0,'Données projet'!$E$9+1,1))</f>
        <v>277.7918215389401</v>
      </c>
      <c r="T44" s="60">
        <f t="shared" si="34"/>
        <v>164.65640238394164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124.40000000000003</v>
      </c>
      <c r="AJ44" s="14">
        <f>AI44*VLOOKUP('Données projet'!$B$10,Paramètres!$A$1:$I$89,3,0)*VLOOKUP('Données projet'!$B$10,Paramètres!$A$1:$I$89,5,0)</f>
        <v>112.55712000000003</v>
      </c>
      <c r="AK44" s="14">
        <f t="shared" si="35"/>
        <v>29.932653834140599</v>
      </c>
      <c r="AL44" s="22">
        <f t="shared" si="4"/>
        <v>248.16968942779496</v>
      </c>
      <c r="AM44" s="60">
        <f t="shared" si="5"/>
        <v>496.77237902229894</v>
      </c>
      <c r="AN44" s="60">
        <f ca="1">AVERAGE(OFFSET($AM$3,0,0,'Données projet'!$E$10+1,1))-AVERAGE(OFFSET($H$3,0,0,'Données projet'!$E$10+1,1))</f>
        <v>469.67944008675863</v>
      </c>
      <c r="AO44" s="60">
        <f t="shared" si="36"/>
        <v>266.11908070867173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13.198800000000006</v>
      </c>
      <c r="BD44" s="13">
        <f>IF('Données projet'!$A$88&gt;35,BD43+BC44-BL43,IF(A44&lt;'Données projet'!$A$88,$BA$205^A44,IF(A44='Données projet'!$A$88,'Données projet'!$B$88,BD43+BC44-BL43)))</f>
        <v>298.12220000000002</v>
      </c>
      <c r="BE44" s="14">
        <f>BD44*VLOOKUP('Données projet'!$B$11,Paramètres!$A$1:$I$89,3,0)*VLOOKUP('Données projet'!$B$11,Paramètres!$A$1:$I$89,5,0)</f>
        <v>178.27707560000005</v>
      </c>
      <c r="BF44" s="14">
        <f t="shared" si="37"/>
        <v>44.938652927177529</v>
      </c>
      <c r="BG44" s="22">
        <f t="shared" si="7"/>
        <v>388.76739385150091</v>
      </c>
      <c r="BH44" s="60">
        <f t="shared" si="8"/>
        <v>637.37008344600486</v>
      </c>
      <c r="BI44" s="60">
        <f ca="1">AVERAGE(OFFSET($BH$3,0,0,'Données projet'!$E$11+1,1))-AVERAGE(OFFSET($H$3,0,0,'Données projet'!$E$11+1,1))</f>
        <v>216.36762889365235</v>
      </c>
      <c r="BJ44" s="60">
        <f t="shared" si="38"/>
        <v>333.29599352215496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10.858121984888953</v>
      </c>
      <c r="BQ44" s="23">
        <f>EXP(-LN(2)/25)*BQ43+(1-EXP(-LN(2)/25))/(LN(2)/25)*Calculateur!BL44*Calculateur!BN44*VLOOKUP('Données projet'!$B$11,Paramètres!$A$1:$I$89,3,0)*0.475*44/12</f>
        <v>7.1866302017497325</v>
      </c>
      <c r="BR44" s="23">
        <f>EXP(-LN(2)/2)*BR43+(1-EXP(-LN(2)/2))/(LN(2)/2)*BL44*BO44*VLOOKUP('Données projet'!$B$11,Paramètres!$A$1:$I$89,3,0)*0.475*44/12</f>
        <v>6.4621332986775165E-2</v>
      </c>
      <c r="BS44" s="24">
        <f t="shared" si="9"/>
        <v>18.109373519625461</v>
      </c>
      <c r="BT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8.4</v>
      </c>
      <c r="BY44" s="13">
        <f>IF('Données projet'!$A$114&gt;35,BY43+BX44-CG43,IF(A44&lt;'Données projet'!$A$114,$BV$205^A44,IF(A44='Données projet'!$A$114,'Données projet'!$B$114,BY43+BX44-CG43)))</f>
        <v>124.40000000000003</v>
      </c>
      <c r="BZ44" s="14">
        <f>BY44*VLOOKUP('Données projet'!$B$12,Paramètres!$A$1:$I$89,3,0)*VLOOKUP('Données projet'!$B$12,Paramètres!$A$1:$I$89,5,0)</f>
        <v>120.31968000000002</v>
      </c>
      <c r="CA44" s="14">
        <f t="shared" si="39"/>
        <v>31.74954785566829</v>
      </c>
      <c r="CB44" s="22">
        <f t="shared" si="10"/>
        <v>264.85390518195561</v>
      </c>
      <c r="CC44" s="60">
        <f t="shared" si="11"/>
        <v>513.45659477645961</v>
      </c>
      <c r="CD44" s="60">
        <f ca="1">AVERAGE(OFFSET($CC$3,0,0,'Données projet'!$E$12+1,1))-AVERAGE(OFFSET($H$3,0,0,'Données projet'!$E$12+1,1))</f>
        <v>496.33873798282525</v>
      </c>
      <c r="CE44" s="60">
        <f t="shared" si="40"/>
        <v>280.25465074992246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8.4</v>
      </c>
      <c r="CT44" s="13">
        <f>IF('Données projet'!$A$140&gt;35,CT43+CS44-DB43,IF(A44&lt;'Données projet'!$A$140,$CQ$205^A44,IF(A44='Données projet'!$A$140,'Données projet'!$B$140,CT43+CS44-DB43)))</f>
        <v>124.40000000000003</v>
      </c>
      <c r="CU44" s="18">
        <f>CT44*VLOOKUP('Données projet'!$B$13,Paramètres!$A$1:$I$89,3,0)*VLOOKUP('Données projet'!$B$13,Paramètres!$A$1:$I$89,5,0)</f>
        <v>133.90416000000002</v>
      </c>
      <c r="CV44" s="14">
        <f t="shared" si="41"/>
        <v>34.896936615903982</v>
      </c>
      <c r="CW44" s="22">
        <f t="shared" si="13"/>
        <v>293.99524327269938</v>
      </c>
      <c r="CX44" s="60">
        <f t="shared" si="14"/>
        <v>542.59793286720333</v>
      </c>
      <c r="CY44" s="60">
        <f ca="1">AVERAGE(OFFSET($CX$3,0,0,'Données projet'!$E$13+1,1))-AVERAGE(OFFSET($H$3,0,0,'Données projet'!$E$13+1,1))</f>
        <v>542.90832990875208</v>
      </c>
      <c r="CZ44" s="60">
        <f t="shared" si="42"/>
        <v>304.94365539329362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0" t="e">
        <f t="shared" si="17"/>
        <v>#N/A</v>
      </c>
      <c r="DT44" s="60" t="e">
        <f ca="1">AVERAGE(OFFSET($DS$3,0,0,'Données projet'!$E$14+1,1))-AVERAGE(OFFSET($H$3,0,0,'Données projet'!$E$14+1,1))</f>
        <v>#N/A</v>
      </c>
      <c r="DU44" s="60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0" t="e">
        <f t="shared" si="20"/>
        <v>#N/A</v>
      </c>
      <c r="EO44" s="60" t="e">
        <f ca="1">AVERAGE(OFFSET($EN$3,0,0,'Données projet'!$E$15+1,1))-AVERAGE(OFFSET($H$3,0,0,'Données projet'!$E$15+1,1))</f>
        <v>#N/A</v>
      </c>
      <c r="EP44" s="60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0" t="e">
        <f t="shared" si="23"/>
        <v>#N/A</v>
      </c>
      <c r="FJ44" s="60" t="e">
        <f ca="1">AVERAGE(OFFSET($FI$3,0,0,'Données projet'!$E$16+1,1))-AVERAGE(OFFSET($H$3,0,0,'Données projet'!$E$16+1,1))</f>
        <v>#N/A</v>
      </c>
      <c r="FK44" s="60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0" t="e">
        <f t="shared" si="26"/>
        <v>#N/A</v>
      </c>
      <c r="GE44" s="60" t="e">
        <f ca="1">AVERAGE(OFFSET($GD$3,0,0,'Données projet'!$E$17+1,1))-AVERAGE(OFFSET($H$3,0,0,'Données projet'!$E$17+1,1))</f>
        <v>#N/A</v>
      </c>
      <c r="GF44" s="60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4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10.869230769230773</v>
      </c>
      <c r="N45" s="14">
        <f>IF('Données projet'!$A$36&gt;35,N44+M45-V44,IF(A45&lt;'Données projet'!$A$36,$K$205^A45,IF(A45='Données projet'!$A$36,'Données projet'!$B$36,N44+M45-V44)))</f>
        <v>219.53846153846152</v>
      </c>
      <c r="O45" s="14">
        <f>N45*VLOOKUP('Données projet'!$B$9,Paramètres!$A$1:$I$89,3,0)*VLOOKUP('Données projet'!$B$9,Paramètres!$A$1:$I$89,5,0)</f>
        <v>102.74399999999999</v>
      </c>
      <c r="P45" s="14">
        <f t="shared" si="33"/>
        <v>27.614684221611544</v>
      </c>
      <c r="Q45" s="22">
        <f t="shared" si="53"/>
        <v>227.04137501930674</v>
      </c>
      <c r="R45" s="60">
        <f t="shared" si="0"/>
        <v>476.42004127994147</v>
      </c>
      <c r="S45" s="60">
        <f ca="1">AVERAGE(OFFSET($R$3,0,0,'Données projet'!$E$9+1,1))-AVERAGE(OFFSET($H$3,0,0,'Données projet'!$E$9+1,1))</f>
        <v>277.7918215389401</v>
      </c>
      <c r="T45" s="60">
        <f t="shared" si="34"/>
        <v>164.65640238394164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132.80000000000004</v>
      </c>
      <c r="AJ45" s="14">
        <f>AI45*VLOOKUP('Données projet'!$B$10,Paramètres!$A$1:$I$89,3,0)*VLOOKUP('Données projet'!$B$10,Paramètres!$A$1:$I$89,5,0)</f>
        <v>120.15744000000002</v>
      </c>
      <c r="AK45" s="14">
        <f t="shared" si="35"/>
        <v>31.711716786129845</v>
      </c>
      <c r="AL45" s="22">
        <f t="shared" si="4"/>
        <v>264.50544806917623</v>
      </c>
      <c r="AM45" s="60">
        <f t="shared" si="5"/>
        <v>513.88411432981093</v>
      </c>
      <c r="AN45" s="60">
        <f ca="1">AVERAGE(OFFSET($AM$3,0,0,'Données projet'!$E$10+1,1))-AVERAGE(OFFSET($H$3,0,0,'Données projet'!$E$10+1,1))</f>
        <v>469.67944008675863</v>
      </c>
      <c r="AO45" s="60">
        <f t="shared" si="36"/>
        <v>266.11908070867173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>
        <f>VLOOKUP(A45,'Données projet'!$A$87:$I$107,2,0)</f>
        <v>311.32100000000003</v>
      </c>
      <c r="BB45" s="13">
        <f>VLOOKUP(A45,'Données projet'!$A$87:$I$107,9,0)</f>
        <v>13.198800000000006</v>
      </c>
      <c r="BC45" s="13">
        <f t="array" ref="BC45">INDEX(BB:BB,MIN(IF(ISNUMBER(BB45:BB241),ROW(BB45:BB241),"")))</f>
        <v>13.198800000000006</v>
      </c>
      <c r="BD45" s="13">
        <f>IF('Données projet'!$A$88&gt;35,BD44+BC45-BL44,IF(A45&lt;'Données projet'!$A$88,$BA$205^A45,IF(A45='Données projet'!$A$88,'Données projet'!$B$88,BD44+BC45-BL44)))</f>
        <v>311.32100000000003</v>
      </c>
      <c r="BE45" s="14">
        <f>BD45*VLOOKUP('Données projet'!$B$11,Paramètres!$A$1:$I$89,3,0)*VLOOKUP('Données projet'!$B$11,Paramètres!$A$1:$I$89,5,0)</f>
        <v>186.16995800000001</v>
      </c>
      <c r="BF45" s="14">
        <f t="shared" si="37"/>
        <v>46.692183981977394</v>
      </c>
      <c r="BG45" s="22">
        <f t="shared" si="7"/>
        <v>405.56823061861064</v>
      </c>
      <c r="BH45" s="60">
        <f t="shared" si="8"/>
        <v>654.9468968792454</v>
      </c>
      <c r="BI45" s="60">
        <f ca="1">AVERAGE(OFFSET($BH$3,0,0,'Données projet'!$E$11+1,1))-AVERAGE(OFFSET($H$3,0,0,'Données projet'!$E$11+1,1))</f>
        <v>216.36762889365235</v>
      </c>
      <c r="BJ45" s="60">
        <f t="shared" si="38"/>
        <v>333.29599352215496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10.645200835565744</v>
      </c>
      <c r="BQ45" s="23">
        <f>EXP(-LN(2)/25)*BQ44+(1-EXP(-LN(2)/25))/(LN(2)/25)*Calculateur!BL45*Calculateur!BN45*VLOOKUP('Données projet'!$B$11,Paramètres!$A$1:$I$89,3,0)*0.475*44/12</f>
        <v>6.9901114209544293</v>
      </c>
      <c r="BR45" s="23">
        <f>EXP(-LN(2)/2)*BR44+(1-EXP(-LN(2)/2))/(LN(2)/2)*BL45*BO45*VLOOKUP('Données projet'!$B$11,Paramètres!$A$1:$I$89,3,0)*0.475*44/12</f>
        <v>4.5694182764262653E-2</v>
      </c>
      <c r="BS45" s="24">
        <f t="shared" si="9"/>
        <v>17.681006439284435</v>
      </c>
      <c r="BT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8.4</v>
      </c>
      <c r="BY45" s="13">
        <f>IF('Données projet'!$A$114&gt;35,BY44+BX45-CG44,IF(A45&lt;'Données projet'!$A$114,$BV$205^A45,IF(A45='Données projet'!$A$114,'Données projet'!$B$114,BY44+BX45-CG44)))</f>
        <v>132.80000000000004</v>
      </c>
      <c r="BZ45" s="14">
        <f>BY45*VLOOKUP('Données projet'!$B$12,Paramètres!$A$1:$I$89,3,0)*VLOOKUP('Données projet'!$B$12,Paramètres!$A$1:$I$89,5,0)</f>
        <v>128.44416000000004</v>
      </c>
      <c r="CA45" s="14">
        <f t="shared" si="39"/>
        <v>33.636598855068954</v>
      </c>
      <c r="CB45" s="22">
        <f t="shared" si="10"/>
        <v>282.29065500591184</v>
      </c>
      <c r="CC45" s="60">
        <f t="shared" si="11"/>
        <v>531.6693212665466</v>
      </c>
      <c r="CD45" s="60">
        <f ca="1">AVERAGE(OFFSET($CC$3,0,0,'Données projet'!$E$12+1,1))-AVERAGE(OFFSET($H$3,0,0,'Données projet'!$E$12+1,1))</f>
        <v>496.33873798282525</v>
      </c>
      <c r="CE45" s="60">
        <f t="shared" si="40"/>
        <v>280.25465074992246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8.4</v>
      </c>
      <c r="CT45" s="13">
        <f>IF('Données projet'!$A$140&gt;35,CT44+CS45-DB44,IF(A45&lt;'Données projet'!$A$140,$CQ$205^A45,IF(A45='Données projet'!$A$140,'Données projet'!$B$140,CT44+CS45-DB44)))</f>
        <v>132.80000000000004</v>
      </c>
      <c r="CU45" s="18">
        <f>CT45*VLOOKUP('Données projet'!$B$13,Paramètres!$A$1:$I$89,3,0)*VLOOKUP('Données projet'!$B$13,Paramètres!$A$1:$I$89,5,0)</f>
        <v>142.94592000000003</v>
      </c>
      <c r="CV45" s="14">
        <f t="shared" si="41"/>
        <v>36.971054314096854</v>
      </c>
      <c r="CW45" s="22">
        <f t="shared" si="13"/>
        <v>313.35539693038538</v>
      </c>
      <c r="CX45" s="60">
        <f t="shared" si="14"/>
        <v>562.73406319102014</v>
      </c>
      <c r="CY45" s="60">
        <f ca="1">AVERAGE(OFFSET($CX$3,0,0,'Données projet'!$E$13+1,1))-AVERAGE(OFFSET($H$3,0,0,'Données projet'!$E$13+1,1))</f>
        <v>542.90832990875208</v>
      </c>
      <c r="CZ45" s="60">
        <f t="shared" si="42"/>
        <v>304.94365539329362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0" t="e">
        <f t="shared" si="17"/>
        <v>#N/A</v>
      </c>
      <c r="DT45" s="60" t="e">
        <f ca="1">AVERAGE(OFFSET($DS$3,0,0,'Données projet'!$E$14+1,1))-AVERAGE(OFFSET($H$3,0,0,'Données projet'!$E$14+1,1))</f>
        <v>#N/A</v>
      </c>
      <c r="DU45" s="60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0" t="e">
        <f t="shared" si="20"/>
        <v>#N/A</v>
      </c>
      <c r="EO45" s="60" t="e">
        <f ca="1">AVERAGE(OFFSET($EN$3,0,0,'Données projet'!$E$15+1,1))-AVERAGE(OFFSET($H$3,0,0,'Données projet'!$E$15+1,1))</f>
        <v>#N/A</v>
      </c>
      <c r="EP45" s="60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0" t="e">
        <f t="shared" si="23"/>
        <v>#N/A</v>
      </c>
      <c r="FJ45" s="60" t="e">
        <f ca="1">AVERAGE(OFFSET($FI$3,0,0,'Données projet'!$E$16+1,1))-AVERAGE(OFFSET($H$3,0,0,'Données projet'!$E$16+1,1))</f>
        <v>#N/A</v>
      </c>
      <c r="FK45" s="60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0" t="e">
        <f t="shared" si="26"/>
        <v>#N/A</v>
      </c>
      <c r="GE45" s="60" t="e">
        <f ca="1">AVERAGE(OFFSET($GD$3,0,0,'Données projet'!$E$17+1,1))-AVERAGE(OFFSET($H$3,0,0,'Données projet'!$E$17+1,1))</f>
        <v>#N/A</v>
      </c>
      <c r="GF45" s="60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4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10.869230769230773</v>
      </c>
      <c r="N46" s="14">
        <f>IF('Données projet'!$A$36&gt;35,N45+M46-V45,IF(A46&lt;'Données projet'!$A$36,$K$205^A46,IF(A46='Données projet'!$A$36,'Données projet'!$B$36,N45+M46-V45)))</f>
        <v>230.40769230769229</v>
      </c>
      <c r="O46" s="14">
        <f>N46*VLOOKUP('Données projet'!$B$9,Paramètres!$A$1:$I$89,3,0)*VLOOKUP('Données projet'!$B$9,Paramètres!$A$1:$I$89,5,0)</f>
        <v>107.8308</v>
      </c>
      <c r="P46" s="14">
        <f t="shared" si="33"/>
        <v>28.819313214368158</v>
      </c>
      <c r="Q46" s="22">
        <f t="shared" si="53"/>
        <v>237.99894718169116</v>
      </c>
      <c r="R46" s="60">
        <f t="shared" si="0"/>
        <v>488.14012864812321</v>
      </c>
      <c r="S46" s="60">
        <f ca="1">AVERAGE(OFFSET($R$3,0,0,'Données projet'!$E$9+1,1))-AVERAGE(OFFSET($H$3,0,0,'Données projet'!$E$9+1,1))</f>
        <v>277.7918215389401</v>
      </c>
      <c r="T46" s="60">
        <f t="shared" si="34"/>
        <v>164.65640238394164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141.20000000000005</v>
      </c>
      <c r="AJ46" s="14">
        <f>AI46*VLOOKUP('Données projet'!$B$10,Paramètres!$A$1:$I$89,3,0)*VLOOKUP('Données projet'!$B$10,Paramètres!$A$1:$I$89,5,0)</f>
        <v>127.75776000000003</v>
      </c>
      <c r="AK46" s="14">
        <f t="shared" si="35"/>
        <v>33.477720030956604</v>
      </c>
      <c r="AL46" s="22">
        <f t="shared" si="4"/>
        <v>280.81846105391611</v>
      </c>
      <c r="AM46" s="60">
        <f t="shared" si="5"/>
        <v>530.9596425203481</v>
      </c>
      <c r="AN46" s="60">
        <f ca="1">AVERAGE(OFFSET($AM$3,0,0,'Données projet'!$E$10+1,1))-AVERAGE(OFFSET($H$3,0,0,'Données projet'!$E$10+1,1))</f>
        <v>469.67944008675863</v>
      </c>
      <c r="AO46" s="60">
        <f t="shared" si="36"/>
        <v>266.11908070867173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13.234499999999969</v>
      </c>
      <c r="BD46" s="13">
        <f>IF('Données projet'!$A$88&gt;35,BD45+BC46-BL45,IF(A46&lt;'Données projet'!$A$88,$BA$205^A46,IF(A46='Données projet'!$A$88,'Données projet'!$B$88,BD45+BC46-BL45)))</f>
        <v>324.55549999999999</v>
      </c>
      <c r="BE46" s="14">
        <f>BD46*VLOOKUP('Données projet'!$B$11,Paramètres!$A$1:$I$89,3,0)*VLOOKUP('Données projet'!$B$11,Paramètres!$A$1:$I$89,5,0)</f>
        <v>194.08418900000004</v>
      </c>
      <c r="BF46" s="14">
        <f t="shared" si="37"/>
        <v>48.441788341086252</v>
      </c>
      <c r="BG46" s="22">
        <f t="shared" si="7"/>
        <v>422.39941053572528</v>
      </c>
      <c r="BH46" s="60">
        <f t="shared" si="8"/>
        <v>672.54059200215738</v>
      </c>
      <c r="BI46" s="60">
        <f ca="1">AVERAGE(OFFSET($BH$3,0,0,'Données projet'!$E$11+1,1))-AVERAGE(OFFSET($H$3,0,0,'Données projet'!$E$11+1,1))</f>
        <v>216.36762889365235</v>
      </c>
      <c r="BJ46" s="60">
        <f t="shared" si="38"/>
        <v>333.29599352215496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10.436454940111686</v>
      </c>
      <c r="BQ46" s="23">
        <f>EXP(-LN(2)/25)*BQ45+(1-EXP(-LN(2)/25))/(LN(2)/25)*Calculateur!BL46*Calculateur!BN46*VLOOKUP('Données projet'!$B$11,Paramètres!$A$1:$I$89,3,0)*0.475*44/12</f>
        <v>6.7989664565544468</v>
      </c>
      <c r="BR46" s="23">
        <f>EXP(-LN(2)/2)*BR45+(1-EXP(-LN(2)/2))/(LN(2)/2)*BL46*BO46*VLOOKUP('Données projet'!$B$11,Paramètres!$A$1:$I$89,3,0)*0.475*44/12</f>
        <v>3.2310666493387583E-2</v>
      </c>
      <c r="BS46" s="24">
        <f t="shared" si="9"/>
        <v>17.267732063159521</v>
      </c>
      <c r="BT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8.4</v>
      </c>
      <c r="BY46" s="13">
        <f>IF('Données projet'!$A$114&gt;35,BY45+BX46-CG45,IF(A46&lt;'Données projet'!$A$114,$BV$205^A46,IF(A46='Données projet'!$A$114,'Données projet'!$B$114,BY45+BX46-CG45)))</f>
        <v>141.20000000000005</v>
      </c>
      <c r="BZ46" s="14">
        <f>BY46*VLOOKUP('Données projet'!$B$12,Paramètres!$A$1:$I$89,3,0)*VLOOKUP('Données projet'!$B$12,Paramètres!$A$1:$I$89,5,0)</f>
        <v>136.56864000000004</v>
      </c>
      <c r="CA46" s="14">
        <f t="shared" si="39"/>
        <v>35.509797430964703</v>
      </c>
      <c r="CB46" s="22">
        <f t="shared" si="10"/>
        <v>299.70327852559694</v>
      </c>
      <c r="CC46" s="60">
        <f t="shared" si="11"/>
        <v>549.84445999202899</v>
      </c>
      <c r="CD46" s="60">
        <f ca="1">AVERAGE(OFFSET($CC$3,0,0,'Données projet'!$E$12+1,1))-AVERAGE(OFFSET($H$3,0,0,'Données projet'!$E$12+1,1))</f>
        <v>496.33873798282525</v>
      </c>
      <c r="CE46" s="60">
        <f t="shared" si="40"/>
        <v>280.25465074992246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8.4</v>
      </c>
      <c r="CT46" s="13">
        <f>IF('Données projet'!$A$140&gt;35,CT45+CS46-DB45,IF(A46&lt;'Données projet'!$A$140,$CQ$205^A46,IF(A46='Données projet'!$A$140,'Données projet'!$B$140,CT45+CS46-DB45)))</f>
        <v>141.20000000000005</v>
      </c>
      <c r="CU46" s="18">
        <f>CT46*VLOOKUP('Données projet'!$B$13,Paramètres!$A$1:$I$89,3,0)*VLOOKUP('Données projet'!$B$13,Paramètres!$A$1:$I$89,5,0)</f>
        <v>151.98768000000004</v>
      </c>
      <c r="CV46" s="14">
        <f t="shared" si="41"/>
        <v>39.029946373574369</v>
      </c>
      <c r="CW46" s="22">
        <f t="shared" si="13"/>
        <v>332.68903260064207</v>
      </c>
      <c r="CX46" s="60">
        <f t="shared" si="14"/>
        <v>582.83021406707417</v>
      </c>
      <c r="CY46" s="60">
        <f ca="1">AVERAGE(OFFSET($CX$3,0,0,'Données projet'!$E$13+1,1))-AVERAGE(OFFSET($H$3,0,0,'Données projet'!$E$13+1,1))</f>
        <v>542.90832990875208</v>
      </c>
      <c r="CZ46" s="60">
        <f t="shared" si="42"/>
        <v>304.94365539329362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0" t="e">
        <f t="shared" si="17"/>
        <v>#N/A</v>
      </c>
      <c r="DT46" s="60" t="e">
        <f ca="1">AVERAGE(OFFSET($DS$3,0,0,'Données projet'!$E$14+1,1))-AVERAGE(OFFSET($H$3,0,0,'Données projet'!$E$14+1,1))</f>
        <v>#N/A</v>
      </c>
      <c r="DU46" s="60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0" t="e">
        <f t="shared" si="20"/>
        <v>#N/A</v>
      </c>
      <c r="EO46" s="60" t="e">
        <f ca="1">AVERAGE(OFFSET($EN$3,0,0,'Données projet'!$E$15+1,1))-AVERAGE(OFFSET($H$3,0,0,'Données projet'!$E$15+1,1))</f>
        <v>#N/A</v>
      </c>
      <c r="EP46" s="60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0" t="e">
        <f t="shared" si="23"/>
        <v>#N/A</v>
      </c>
      <c r="FJ46" s="60" t="e">
        <f ca="1">AVERAGE(OFFSET($FI$3,0,0,'Données projet'!$E$16+1,1))-AVERAGE(OFFSET($H$3,0,0,'Données projet'!$E$16+1,1))</f>
        <v>#N/A</v>
      </c>
      <c r="FK46" s="60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0" t="e">
        <f t="shared" si="26"/>
        <v>#N/A</v>
      </c>
      <c r="GE46" s="60" t="e">
        <f ca="1">AVERAGE(OFFSET($GD$3,0,0,'Données projet'!$E$17+1,1))-AVERAGE(OFFSET($H$3,0,0,'Données projet'!$E$17+1,1))</f>
        <v>#N/A</v>
      </c>
      <c r="GF46" s="60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4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10.869230769230773</v>
      </c>
      <c r="N47" s="14">
        <f>IF('Données projet'!$A$36&gt;35,N46+M47-V46,IF(A47&lt;'Données projet'!$A$36,$K$205^A47,IF(A47='Données projet'!$A$36,'Données projet'!$B$36,N46+M47-V46)))</f>
        <v>241.27692307692305</v>
      </c>
      <c r="O47" s="14">
        <f>N47*VLOOKUP('Données projet'!$B$9,Paramètres!$A$1:$I$89,3,0)*VLOOKUP('Données projet'!$B$9,Paramètres!$A$1:$I$89,5,0)</f>
        <v>112.91759999999999</v>
      </c>
      <c r="P47" s="14">
        <f t="shared" si="33"/>
        <v>30.017343081157474</v>
      </c>
      <c r="Q47" s="22">
        <f t="shared" si="53"/>
        <v>248.9450258663492</v>
      </c>
      <c r="R47" s="60">
        <f t="shared" si="0"/>
        <v>499.8354946044866</v>
      </c>
      <c r="S47" s="60">
        <f ca="1">AVERAGE(OFFSET($R$3,0,0,'Données projet'!$E$9+1,1))-AVERAGE(OFFSET($H$3,0,0,'Données projet'!$E$9+1,1))</f>
        <v>277.7918215389401</v>
      </c>
      <c r="T47" s="60">
        <f t="shared" si="34"/>
        <v>164.65640238394164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149.60000000000005</v>
      </c>
      <c r="AJ47" s="14">
        <f>AI47*VLOOKUP('Données projet'!$B$10,Paramètres!$A$1:$I$89,3,0)*VLOOKUP('Données projet'!$B$10,Paramètres!$A$1:$I$89,5,0)</f>
        <v>135.35808000000006</v>
      </c>
      <c r="AK47" s="14">
        <f t="shared" si="35"/>
        <v>35.231528980112834</v>
      </c>
      <c r="AL47" s="22">
        <f t="shared" si="4"/>
        <v>297.11023564036327</v>
      </c>
      <c r="AM47" s="60">
        <f t="shared" si="5"/>
        <v>548.0007043785007</v>
      </c>
      <c r="AN47" s="60">
        <f ca="1">AVERAGE(OFFSET($AM$3,0,0,'Données projet'!$E$10+1,1))-AVERAGE(OFFSET($H$3,0,0,'Données projet'!$E$10+1,1))</f>
        <v>469.67944008675863</v>
      </c>
      <c r="AO47" s="60">
        <f t="shared" si="36"/>
        <v>266.11908070867173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>
        <f>VLOOKUP(A47,'Données projet'!$A$87:$I$107,2,0)</f>
        <v>337.78999999999996</v>
      </c>
      <c r="BB47" s="13">
        <f>VLOOKUP(A47,'Données projet'!$A$87:$I$107,9,0)</f>
        <v>13.234499999999969</v>
      </c>
      <c r="BC47" s="13">
        <f t="array" ref="BC47">INDEX(BB:BB,MIN(IF(ISNUMBER(BB47:BB243),ROW(BB47:BB243),"")))</f>
        <v>13.234499999999969</v>
      </c>
      <c r="BD47" s="13">
        <f>IF('Données projet'!$A$88&gt;35,BD46+BC47-BL46,IF(A47&lt;'Données projet'!$A$88,$BA$205^A47,IF(A47='Données projet'!$A$88,'Données projet'!$B$88,BD46+BC47-BL46)))</f>
        <v>337.78999999999996</v>
      </c>
      <c r="BE47" s="14">
        <f>BD47*VLOOKUP('Données projet'!$B$11,Paramètres!$A$1:$I$89,3,0)*VLOOKUP('Données projet'!$B$11,Paramètres!$A$1:$I$89,5,0)</f>
        <v>201.99842000000001</v>
      </c>
      <c r="BF47" s="14">
        <f t="shared" si="37"/>
        <v>50.183105491997878</v>
      </c>
      <c r="BG47" s="22">
        <f t="shared" si="7"/>
        <v>439.21615689856299</v>
      </c>
      <c r="BH47" s="60">
        <f t="shared" si="8"/>
        <v>690.10662563670041</v>
      </c>
      <c r="BI47" s="60">
        <f ca="1">AVERAGE(OFFSET($BH$3,0,0,'Données projet'!$E$11+1,1))-AVERAGE(OFFSET($H$3,0,0,'Données projet'!$E$11+1,1))</f>
        <v>216.36762889365235</v>
      </c>
      <c r="BJ47" s="60">
        <f t="shared" si="38"/>
        <v>333.29599352215496</v>
      </c>
      <c r="BK47" s="16">
        <f>IF(ISNA(VLOOKUP(A47,'Données projet'!$A$87:$I$107,3,0)),0,VLOOKUP(A47,'Données projet'!$A$87:$I$107,3,0))</f>
        <v>5</v>
      </c>
      <c r="BL47" s="16">
        <f>IF(ISNA(VLOOKUP(A47,'Données projet'!$A$87:$I$107,4,0)),0,VLOOKUP(A47,'Données projet'!$A$87:$I$107,4,0))</f>
        <v>337.78999999999996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10.231802424345057</v>
      </c>
      <c r="BQ47" s="23">
        <f>EXP(-LN(2)/25)*BQ46+(1-EXP(-LN(2)/25))/(LN(2)/25)*Calculateur!BL47*Calculateur!BN47*VLOOKUP('Données projet'!$B$11,Paramètres!$A$1:$I$89,3,0)*0.475*44/12</f>
        <v>6.6130483612578583</v>
      </c>
      <c r="BR47" s="23">
        <f>EXP(-LN(2)/2)*BR46+(1-EXP(-LN(2)/2))/(LN(2)/2)*BL47*BO47*VLOOKUP('Données projet'!$B$11,Paramètres!$A$1:$I$89,3,0)*0.475*44/12</f>
        <v>2.2847091382131327E-2</v>
      </c>
      <c r="BS47" s="24">
        <f t="shared" si="9"/>
        <v>16.867697876985048</v>
      </c>
      <c r="BT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8.4</v>
      </c>
      <c r="BY47" s="13">
        <f>IF('Données projet'!$A$114&gt;35,BY46+BX47-CG46,IF(A47&lt;'Données projet'!$A$114,$BV$205^A47,IF(A47='Données projet'!$A$114,'Données projet'!$B$114,BY46+BX47-CG46)))</f>
        <v>149.60000000000005</v>
      </c>
      <c r="BZ47" s="14">
        <f>BY47*VLOOKUP('Données projet'!$B$12,Paramètres!$A$1:$I$89,3,0)*VLOOKUP('Données projet'!$B$12,Paramètres!$A$1:$I$89,5,0)</f>
        <v>144.69312000000005</v>
      </c>
      <c r="CA47" s="14">
        <f t="shared" si="39"/>
        <v>37.370061524802772</v>
      </c>
      <c r="CB47" s="22">
        <f t="shared" si="10"/>
        <v>317.09337448903153</v>
      </c>
      <c r="CC47" s="60">
        <f t="shared" si="11"/>
        <v>567.98384322716902</v>
      </c>
      <c r="CD47" s="60">
        <f ca="1">AVERAGE(OFFSET($CC$3,0,0,'Données projet'!$E$12+1,1))-AVERAGE(OFFSET($H$3,0,0,'Données projet'!$E$12+1,1))</f>
        <v>496.33873798282525</v>
      </c>
      <c r="CE47" s="60">
        <f t="shared" si="40"/>
        <v>280.25465074992246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8.4</v>
      </c>
      <c r="CT47" s="13">
        <f>IF('Données projet'!$A$140&gt;35,CT46+CS47-DB46,IF(A47&lt;'Données projet'!$A$140,$CQ$205^A47,IF(A47='Données projet'!$A$140,'Données projet'!$B$140,CT46+CS47-DB46)))</f>
        <v>149.60000000000005</v>
      </c>
      <c r="CU47" s="18">
        <f>CT47*VLOOKUP('Données projet'!$B$13,Paramètres!$A$1:$I$89,3,0)*VLOOKUP('Données projet'!$B$13,Paramètres!$A$1:$I$89,5,0)</f>
        <v>161.02944000000005</v>
      </c>
      <c r="CV47" s="14">
        <f t="shared" si="41"/>
        <v>41.074621732940727</v>
      </c>
      <c r="CW47" s="22">
        <f t="shared" si="13"/>
        <v>351.99790751820518</v>
      </c>
      <c r="CX47" s="60">
        <f t="shared" si="14"/>
        <v>602.88837625634255</v>
      </c>
      <c r="CY47" s="60">
        <f ca="1">AVERAGE(OFFSET($CX$3,0,0,'Données projet'!$E$13+1,1))-AVERAGE(OFFSET($H$3,0,0,'Données projet'!$E$13+1,1))</f>
        <v>542.90832990875208</v>
      </c>
      <c r="CZ47" s="60">
        <f t="shared" si="42"/>
        <v>304.94365539329362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0" t="e">
        <f t="shared" si="17"/>
        <v>#N/A</v>
      </c>
      <c r="DT47" s="60" t="e">
        <f ca="1">AVERAGE(OFFSET($DS$3,0,0,'Données projet'!$E$14+1,1))-AVERAGE(OFFSET($H$3,0,0,'Données projet'!$E$14+1,1))</f>
        <v>#N/A</v>
      </c>
      <c r="DU47" s="60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0" t="e">
        <f t="shared" si="20"/>
        <v>#N/A</v>
      </c>
      <c r="EO47" s="60" t="e">
        <f ca="1">AVERAGE(OFFSET($EN$3,0,0,'Données projet'!$E$15+1,1))-AVERAGE(OFFSET($H$3,0,0,'Données projet'!$E$15+1,1))</f>
        <v>#N/A</v>
      </c>
      <c r="EP47" s="60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0" t="e">
        <f t="shared" si="23"/>
        <v>#N/A</v>
      </c>
      <c r="FJ47" s="60" t="e">
        <f ca="1">AVERAGE(OFFSET($FI$3,0,0,'Données projet'!$E$16+1,1))-AVERAGE(OFFSET($H$3,0,0,'Données projet'!$E$16+1,1))</f>
        <v>#N/A</v>
      </c>
      <c r="FK47" s="60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0" t="e">
        <f t="shared" si="26"/>
        <v>#N/A</v>
      </c>
      <c r="GE47" s="60" t="e">
        <f ca="1">AVERAGE(OFFSET($GD$3,0,0,'Données projet'!$E$17+1,1))-AVERAGE(OFFSET($H$3,0,0,'Données projet'!$E$17+1,1))</f>
        <v>#N/A</v>
      </c>
      <c r="GF47" s="60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4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252.14615384615385</v>
      </c>
      <c r="L48" s="13">
        <f>VLOOKUP(A48,'Données projet'!$A$35:$I$55,9,0)</f>
        <v>10.869230769230773</v>
      </c>
      <c r="M48" s="13">
        <f t="array" ref="M48">INDEX(L:L,MIN(IF(ISNUMBER(L48:L244),ROW(L48:L244),"")))</f>
        <v>10.869230769230773</v>
      </c>
      <c r="N48" s="14">
        <f>IF('Données projet'!$A$36&gt;35,N47+M48-V47,IF(A48&lt;'Données projet'!$A$36,$K$205^A48,IF(A48='Données projet'!$A$36,'Données projet'!$B$36,N47+M48-V47)))</f>
        <v>252.14615384615382</v>
      </c>
      <c r="O48" s="14">
        <f>N48*VLOOKUP('Données projet'!$B$9,Paramètres!$A$1:$I$89,3,0)*VLOOKUP('Données projet'!$B$9,Paramètres!$A$1:$I$89,5,0)</f>
        <v>118.00439999999999</v>
      </c>
      <c r="P48" s="14">
        <f t="shared" si="33"/>
        <v>31.209105068500421</v>
      </c>
      <c r="Q48" s="22">
        <f t="shared" si="53"/>
        <v>259.88018799430489</v>
      </c>
      <c r="R48" s="60">
        <f t="shared" si="0"/>
        <v>511.50694554513905</v>
      </c>
      <c r="S48" s="60">
        <f ca="1">AVERAGE(OFFSET($R$3,0,0,'Données projet'!$E$9+1,1))-AVERAGE(OFFSET($H$3,0,0,'Données projet'!$E$9+1,1))</f>
        <v>277.7918215389401</v>
      </c>
      <c r="T48" s="60">
        <f t="shared" si="34"/>
        <v>164.65640238394164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158.00000000000006</v>
      </c>
      <c r="AJ48" s="14">
        <f>AI48*VLOOKUP('Données projet'!$B$10,Paramètres!$A$1:$I$89,3,0)*VLOOKUP('Données projet'!$B$10,Paramètres!$A$1:$I$89,5,0)</f>
        <v>142.95840000000004</v>
      </c>
      <c r="AK48" s="14">
        <f t="shared" si="35"/>
        <v>36.973906370811264</v>
      </c>
      <c r="AL48" s="22">
        <f t="shared" si="4"/>
        <v>313.38210026249641</v>
      </c>
      <c r="AM48" s="60">
        <f t="shared" si="5"/>
        <v>565.00885781333056</v>
      </c>
      <c r="AN48" s="60">
        <f ca="1">AVERAGE(OFFSET($AM$3,0,0,'Données projet'!$E$10+1,1))-AVERAGE(OFFSET($H$3,0,0,'Données projet'!$E$10+1,1))</f>
        <v>469.67944008675863</v>
      </c>
      <c r="AO48" s="60">
        <f t="shared" si="36"/>
        <v>266.11908070867173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>
        <f>BD48*VLOOKUP('Données projet'!$B$11,Paramètres!$A$1:$I$89,3,0)*VLOOKUP('Données projet'!$B$11,Paramètres!$A$1:$I$89,5,0)</f>
        <v>0</v>
      </c>
      <c r="BF48" s="14" t="e">
        <f t="shared" si="37"/>
        <v>#NUM!</v>
      </c>
      <c r="BG48" s="22" t="e">
        <f t="shared" si="7"/>
        <v>#NUM!</v>
      </c>
      <c r="BH48" s="60" t="e">
        <f t="shared" si="8"/>
        <v>#NUM!</v>
      </c>
      <c r="BI48" s="60">
        <f ca="1">AVERAGE(OFFSET($BH$3,0,0,'Données projet'!$E$11+1,1))-AVERAGE(OFFSET($H$3,0,0,'Données projet'!$E$11+1,1))</f>
        <v>216.36762889365235</v>
      </c>
      <c r="BJ48" s="60">
        <f t="shared" si="38"/>
        <v>333.29599352215496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10.031163019586904</v>
      </c>
      <c r="BQ48" s="23">
        <f>EXP(-LN(2)/25)*BQ47+(1-EXP(-LN(2)/25))/(LN(2)/25)*Calculateur!BL48*Calculateur!BN48*VLOOKUP('Données projet'!$B$11,Paramètres!$A$1:$I$89,3,0)*0.475*44/12</f>
        <v>6.4322142060541632</v>
      </c>
      <c r="BR48" s="23">
        <f>EXP(-LN(2)/2)*BR47+(1-EXP(-LN(2)/2))/(LN(2)/2)*BL48*BO48*VLOOKUP('Données projet'!$B$11,Paramètres!$A$1:$I$89,3,0)*0.475*44/12</f>
        <v>1.6155333246693791E-2</v>
      </c>
      <c r="BS48" s="24">
        <f t="shared" si="9"/>
        <v>16.479532558887762</v>
      </c>
      <c r="BT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158</v>
      </c>
      <c r="BW48" s="13">
        <f>VLOOKUP(A48,'Données projet'!$A$113:$I$133,9,0)</f>
        <v>8.4</v>
      </c>
      <c r="BX48" s="13">
        <f t="array" ref="BX48">INDEX(BW:BW,MIN(IF(ISNUMBER(BW48:BW244),ROW(BW48:BW244),"")))</f>
        <v>8.4</v>
      </c>
      <c r="BY48" s="13">
        <f>IF('Données projet'!$A$114&gt;35,BY47+BX48-CG47,IF(A48&lt;'Données projet'!$A$114,$BV$205^A48,IF(A48='Données projet'!$A$114,'Données projet'!$B$114,BY47+BX48-CG47)))</f>
        <v>158.00000000000006</v>
      </c>
      <c r="BZ48" s="14">
        <f>BY48*VLOOKUP('Données projet'!$B$12,Paramètres!$A$1:$I$89,3,0)*VLOOKUP('Données projet'!$B$12,Paramètres!$A$1:$I$89,5,0)</f>
        <v>152.81760000000006</v>
      </c>
      <c r="CA48" s="14">
        <f t="shared" si="39"/>
        <v>39.218200171484227</v>
      </c>
      <c r="CB48" s="22">
        <f t="shared" si="10"/>
        <v>334.46235196533513</v>
      </c>
      <c r="CC48" s="60">
        <f t="shared" si="11"/>
        <v>586.08910951616929</v>
      </c>
      <c r="CD48" s="60">
        <f ca="1">AVERAGE(OFFSET($CC$3,0,0,'Données projet'!$E$12+1,1))-AVERAGE(OFFSET($H$3,0,0,'Données projet'!$E$12+1,1))</f>
        <v>496.33873798282525</v>
      </c>
      <c r="CE48" s="60">
        <f t="shared" si="40"/>
        <v>280.25465074992246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158</v>
      </c>
      <c r="CR48" s="13">
        <f>VLOOKUP(A48,'Données projet'!$A$139:$I$159,9,0)</f>
        <v>8.4</v>
      </c>
      <c r="CS48" s="13">
        <f t="array" ref="CS48">INDEX(CR:CR,MIN(IF(ISNUMBER(CR48:CR244),ROW(CR48:CR244),"")))</f>
        <v>8.4</v>
      </c>
      <c r="CT48" s="13">
        <f>IF('Données projet'!$A$140&gt;35,CT47+CS48-DB47,IF(A48&lt;'Données projet'!$A$140,$CQ$205^A48,IF(A48='Données projet'!$A$140,'Données projet'!$B$140,CT47+CS48-DB47)))</f>
        <v>158.00000000000006</v>
      </c>
      <c r="CU48" s="18">
        <f>CT48*VLOOKUP('Données projet'!$B$13,Paramètres!$A$1:$I$89,3,0)*VLOOKUP('Données projet'!$B$13,Paramètres!$A$1:$I$89,5,0)</f>
        <v>170.07120000000003</v>
      </c>
      <c r="CV48" s="14">
        <f t="shared" si="41"/>
        <v>43.10596962815594</v>
      </c>
      <c r="CW48" s="22">
        <f t="shared" si="13"/>
        <v>371.28357043570503</v>
      </c>
      <c r="CX48" s="60">
        <f t="shared" si="14"/>
        <v>622.91032798653919</v>
      </c>
      <c r="CY48" s="60">
        <f ca="1">AVERAGE(OFFSET($CX$3,0,0,'Données projet'!$E$13+1,1))-AVERAGE(OFFSET($H$3,0,0,'Données projet'!$E$13+1,1))</f>
        <v>542.90832990875208</v>
      </c>
      <c r="CZ48" s="60">
        <f t="shared" si="42"/>
        <v>304.94365539329362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0" t="e">
        <f t="shared" si="17"/>
        <v>#N/A</v>
      </c>
      <c r="DT48" s="60" t="e">
        <f ca="1">AVERAGE(OFFSET($DS$3,0,0,'Données projet'!$E$14+1,1))-AVERAGE(OFFSET($H$3,0,0,'Données projet'!$E$14+1,1))</f>
        <v>#N/A</v>
      </c>
      <c r="DU48" s="60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0" t="e">
        <f t="shared" si="20"/>
        <v>#N/A</v>
      </c>
      <c r="EO48" s="60" t="e">
        <f ca="1">AVERAGE(OFFSET($EN$3,0,0,'Données projet'!$E$15+1,1))-AVERAGE(OFFSET($H$3,0,0,'Données projet'!$E$15+1,1))</f>
        <v>#N/A</v>
      </c>
      <c r="EP48" s="60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0" t="e">
        <f t="shared" si="23"/>
        <v>#N/A</v>
      </c>
      <c r="FJ48" s="60" t="e">
        <f ca="1">AVERAGE(OFFSET($FI$3,0,0,'Données projet'!$E$16+1,1))-AVERAGE(OFFSET($H$3,0,0,'Données projet'!$E$16+1,1))</f>
        <v>#N/A</v>
      </c>
      <c r="FK48" s="60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0" t="e">
        <f t="shared" si="26"/>
        <v>#N/A</v>
      </c>
      <c r="GE48" s="60" t="e">
        <f ca="1">AVERAGE(OFFSET($GD$3,0,0,'Données projet'!$E$17+1,1))-AVERAGE(OFFSET($H$3,0,0,'Données projet'!$E$17+1,1))</f>
        <v>#N/A</v>
      </c>
      <c r="GF48" s="60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4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11.552307692307688</v>
      </c>
      <c r="N49" s="14">
        <f>IF('Données projet'!$A$36&gt;35,N48+M49-V48,IF(A49&lt;'Données projet'!$A$36,$K$205^A49,IF(A49='Données projet'!$A$36,'Données projet'!$B$36,N48+M49-V48)))</f>
        <v>263.69846153846152</v>
      </c>
      <c r="O49" s="14">
        <f>N49*VLOOKUP('Données projet'!$B$9,Paramètres!$A$1:$I$89,3,0)*VLOOKUP('Données projet'!$B$9,Paramètres!$A$1:$I$89,5,0)</f>
        <v>123.41087999999998</v>
      </c>
      <c r="P49" s="14">
        <f t="shared" si="33"/>
        <v>32.469228726018009</v>
      </c>
      <c r="Q49" s="22">
        <f t="shared" si="53"/>
        <v>271.49118936448139</v>
      </c>
      <c r="R49" s="60">
        <f t="shared" si="0"/>
        <v>523.84146276320701</v>
      </c>
      <c r="S49" s="60">
        <f ca="1">AVERAGE(OFFSET($R$3,0,0,'Données projet'!$E$9+1,1))-AVERAGE(OFFSET($H$3,0,0,'Données projet'!$E$9+1,1))</f>
        <v>277.7918215389401</v>
      </c>
      <c r="T49" s="60">
        <f t="shared" si="34"/>
        <v>164.65640238394164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166.20000000000005</v>
      </c>
      <c r="AJ49" s="14">
        <f>AI49*VLOOKUP('Données projet'!$B$10,Paramètres!$A$1:$I$89,3,0)*VLOOKUP('Données projet'!$B$10,Paramètres!$A$1:$I$89,5,0)</f>
        <v>150.37776000000002</v>
      </c>
      <c r="AK49" s="14">
        <f t="shared" si="35"/>
        <v>38.664420365454049</v>
      </c>
      <c r="AL49" s="22">
        <f t="shared" si="4"/>
        <v>329.24846413649914</v>
      </c>
      <c r="AM49" s="60">
        <f t="shared" si="5"/>
        <v>581.59873753522481</v>
      </c>
      <c r="AN49" s="60">
        <f ca="1">AVERAGE(OFFSET($AM$3,0,0,'Données projet'!$E$10+1,1))-AVERAGE(OFFSET($H$3,0,0,'Données projet'!$E$10+1,1))</f>
        <v>469.67944008675863</v>
      </c>
      <c r="AO49" s="60">
        <f t="shared" si="36"/>
        <v>266.11908070867173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>
        <f>BD49*VLOOKUP('Données projet'!$B$11,Paramètres!$A$1:$I$89,3,0)*VLOOKUP('Données projet'!$B$11,Paramètres!$A$1:$I$89,5,0)</f>
        <v>0</v>
      </c>
      <c r="BF49" s="14" t="e">
        <f t="shared" si="37"/>
        <v>#NUM!</v>
      </c>
      <c r="BG49" s="22" t="e">
        <f t="shared" si="7"/>
        <v>#NUM!</v>
      </c>
      <c r="BH49" s="60" t="e">
        <f t="shared" si="8"/>
        <v>#NUM!</v>
      </c>
      <c r="BI49" s="60">
        <f ca="1">AVERAGE(OFFSET($BH$3,0,0,'Données projet'!$E$11+1,1))-AVERAGE(OFFSET($H$3,0,0,'Données projet'!$E$11+1,1))</f>
        <v>216.36762889365235</v>
      </c>
      <c r="BJ49" s="60">
        <f t="shared" si="38"/>
        <v>333.29599352215496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9.8344580311781051</v>
      </c>
      <c r="BQ49" s="23">
        <f>EXP(-LN(2)/25)*BQ48+(1-EXP(-LN(2)/25))/(LN(2)/25)*Calculateur!BL49*Calculateur!BN49*VLOOKUP('Données projet'!$B$11,Paramètres!$A$1:$I$89,3,0)*0.475*44/12</f>
        <v>6.2563249703341679</v>
      </c>
      <c r="BR49" s="23">
        <f>EXP(-LN(2)/2)*BR48+(1-EXP(-LN(2)/2))/(LN(2)/2)*BL49*BO49*VLOOKUP('Données projet'!$B$11,Paramètres!$A$1:$I$89,3,0)*0.475*44/12</f>
        <v>1.1423545691065663E-2</v>
      </c>
      <c r="BS49" s="24">
        <f t="shared" si="9"/>
        <v>16.102206547203338</v>
      </c>
      <c r="BT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8.1999999999999993</v>
      </c>
      <c r="BY49" s="13">
        <f>IF('Données projet'!$A$114&gt;35,BY48+BX49-CG48,IF(A49&lt;'Données projet'!$A$114,$BV$205^A49,IF(A49='Données projet'!$A$114,'Données projet'!$B$114,BY48+BX49-CG48)))</f>
        <v>166.20000000000005</v>
      </c>
      <c r="BZ49" s="14">
        <f>BY49*VLOOKUP('Données projet'!$B$12,Paramètres!$A$1:$I$89,3,0)*VLOOKUP('Données projet'!$B$12,Paramètres!$A$1:$I$89,5,0)</f>
        <v>160.74864000000005</v>
      </c>
      <c r="CA49" s="14">
        <f t="shared" si="39"/>
        <v>41.011327345272264</v>
      </c>
      <c r="CB49" s="22">
        <f t="shared" si="10"/>
        <v>351.39860979301596</v>
      </c>
      <c r="CC49" s="60">
        <f t="shared" si="11"/>
        <v>603.74888319174158</v>
      </c>
      <c r="CD49" s="60">
        <f ca="1">AVERAGE(OFFSET($CC$3,0,0,'Données projet'!$E$12+1,1))-AVERAGE(OFFSET($H$3,0,0,'Données projet'!$E$12+1,1))</f>
        <v>496.33873798282525</v>
      </c>
      <c r="CE49" s="60">
        <f t="shared" si="40"/>
        <v>280.25465074992246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8.1999999999999993</v>
      </c>
      <c r="CT49" s="13">
        <f>IF('Données projet'!$A$140&gt;35,CT48+CS49-DB48,IF(A49&lt;'Données projet'!$A$140,$CQ$205^A49,IF(A49='Données projet'!$A$140,'Données projet'!$B$140,CT48+CS49-DB48)))</f>
        <v>166.20000000000005</v>
      </c>
      <c r="CU49" s="18">
        <f>CT49*VLOOKUP('Données projet'!$B$13,Paramètres!$A$1:$I$89,3,0)*VLOOKUP('Données projet'!$B$13,Paramètres!$A$1:$I$89,5,0)</f>
        <v>178.89768000000004</v>
      </c>
      <c r="CV49" s="14">
        <f t="shared" si="41"/>
        <v>45.076852665999411</v>
      </c>
      <c r="CW49" s="22">
        <f t="shared" si="13"/>
        <v>390.08897772661572</v>
      </c>
      <c r="CX49" s="60">
        <f t="shared" si="14"/>
        <v>642.43925112534134</v>
      </c>
      <c r="CY49" s="60">
        <f ca="1">AVERAGE(OFFSET($CX$3,0,0,'Données projet'!$E$13+1,1))-AVERAGE(OFFSET($H$3,0,0,'Données projet'!$E$13+1,1))</f>
        <v>542.90832990875208</v>
      </c>
      <c r="CZ49" s="60">
        <f t="shared" si="42"/>
        <v>304.94365539329362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0" t="e">
        <f t="shared" si="17"/>
        <v>#N/A</v>
      </c>
      <c r="DT49" s="60" t="e">
        <f ca="1">AVERAGE(OFFSET($DS$3,0,0,'Données projet'!$E$14+1,1))-AVERAGE(OFFSET($H$3,0,0,'Données projet'!$E$14+1,1))</f>
        <v>#N/A</v>
      </c>
      <c r="DU49" s="60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0" t="e">
        <f t="shared" si="20"/>
        <v>#N/A</v>
      </c>
      <c r="EO49" s="60" t="e">
        <f ca="1">AVERAGE(OFFSET($EN$3,0,0,'Données projet'!$E$15+1,1))-AVERAGE(OFFSET($H$3,0,0,'Données projet'!$E$15+1,1))</f>
        <v>#N/A</v>
      </c>
      <c r="EP49" s="60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0" t="e">
        <f t="shared" si="23"/>
        <v>#N/A</v>
      </c>
      <c r="FJ49" s="60" t="e">
        <f ca="1">AVERAGE(OFFSET($FI$3,0,0,'Données projet'!$E$16+1,1))-AVERAGE(OFFSET($H$3,0,0,'Données projet'!$E$16+1,1))</f>
        <v>#N/A</v>
      </c>
      <c r="FK49" s="60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0" t="e">
        <f t="shared" si="26"/>
        <v>#N/A</v>
      </c>
      <c r="GE49" s="60" t="e">
        <f ca="1">AVERAGE(OFFSET($GD$3,0,0,'Données projet'!$E$17+1,1))-AVERAGE(OFFSET($H$3,0,0,'Données projet'!$E$17+1,1))</f>
        <v>#N/A</v>
      </c>
      <c r="GF49" s="60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4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11.552307692307688</v>
      </c>
      <c r="N50" s="14">
        <f>IF('Données projet'!$A$36&gt;35,N49+M50-V49,IF(A50&lt;'Données projet'!$A$36,$K$205^A50,IF(A50='Données projet'!$A$36,'Données projet'!$B$36,N49+M50-V49)))</f>
        <v>275.25076923076921</v>
      </c>
      <c r="O50" s="14">
        <f>N50*VLOOKUP('Données projet'!$B$9,Paramètres!$A$1:$I$89,3,0)*VLOOKUP('Données projet'!$B$9,Paramètres!$A$1:$I$89,5,0)</f>
        <v>128.81735999999998</v>
      </c>
      <c r="P50" s="14">
        <f t="shared" si="33"/>
        <v>33.722940772317983</v>
      </c>
      <c r="Q50" s="22">
        <f t="shared" si="53"/>
        <v>283.09102384512045</v>
      </c>
      <c r="R50" s="60">
        <f t="shared" si="0"/>
        <v>536.15226170931578</v>
      </c>
      <c r="S50" s="60">
        <f ca="1">AVERAGE(OFFSET($R$3,0,0,'Données projet'!$E$9+1,1))-AVERAGE(OFFSET($H$3,0,0,'Données projet'!$E$9+1,1))</f>
        <v>277.7918215389401</v>
      </c>
      <c r="T50" s="60">
        <f t="shared" si="34"/>
        <v>164.65640238394164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174.40000000000003</v>
      </c>
      <c r="AJ50" s="14">
        <f>AI50*VLOOKUP('Données projet'!$B$10,Paramètres!$A$1:$I$89,3,0)*VLOOKUP('Données projet'!$B$10,Paramètres!$A$1:$I$89,5,0)</f>
        <v>157.79712000000004</v>
      </c>
      <c r="AK50" s="14">
        <f t="shared" si="35"/>
        <v>40.345249481546155</v>
      </c>
      <c r="AL50" s="22">
        <f t="shared" si="4"/>
        <v>345.09796018035962</v>
      </c>
      <c r="AM50" s="60">
        <f t="shared" si="5"/>
        <v>598.15919804455507</v>
      </c>
      <c r="AN50" s="60">
        <f ca="1">AVERAGE(OFFSET($AM$3,0,0,'Données projet'!$E$10+1,1))-AVERAGE(OFFSET($H$3,0,0,'Données projet'!$E$10+1,1))</f>
        <v>469.67944008675863</v>
      </c>
      <c r="AO50" s="60">
        <f t="shared" si="36"/>
        <v>266.11908070867173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>
        <f>BD50*VLOOKUP('Données projet'!$B$11,Paramètres!$A$1:$I$89,3,0)*VLOOKUP('Données projet'!$B$11,Paramètres!$A$1:$I$89,5,0)</f>
        <v>0</v>
      </c>
      <c r="BF50" s="14" t="e">
        <f t="shared" si="37"/>
        <v>#NUM!</v>
      </c>
      <c r="BG50" s="22" t="e">
        <f t="shared" si="7"/>
        <v>#NUM!</v>
      </c>
      <c r="BH50" s="60" t="e">
        <f t="shared" si="8"/>
        <v>#NUM!</v>
      </c>
      <c r="BI50" s="60">
        <f ca="1">AVERAGE(OFFSET($BH$3,0,0,'Données projet'!$E$11+1,1))-AVERAGE(OFFSET($H$3,0,0,'Données projet'!$E$11+1,1))</f>
        <v>216.36762889365235</v>
      </c>
      <c r="BJ50" s="60">
        <f t="shared" si="38"/>
        <v>333.29599352215496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9.6416103076138064</v>
      </c>
      <c r="BQ50" s="23">
        <f>EXP(-LN(2)/25)*BQ49+(1-EXP(-LN(2)/25))/(LN(2)/25)*Calculateur!BL50*Calculateur!BN50*VLOOKUP('Données projet'!$B$11,Paramètres!$A$1:$I$89,3,0)*0.475*44/12</f>
        <v>6.0852454350145493</v>
      </c>
      <c r="BR50" s="23">
        <f>EXP(-LN(2)/2)*BR49+(1-EXP(-LN(2)/2))/(LN(2)/2)*BL50*BO50*VLOOKUP('Données projet'!$B$11,Paramètres!$A$1:$I$89,3,0)*0.475*44/12</f>
        <v>8.0776666233468956E-3</v>
      </c>
      <c r="BS50" s="24">
        <f t="shared" si="9"/>
        <v>15.734933409251703</v>
      </c>
      <c r="BT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8.1999999999999993</v>
      </c>
      <c r="BY50" s="13">
        <f>IF('Données projet'!$A$114&gt;35,BY49+BX50-CG49,IF(A50&lt;'Données projet'!$A$114,$BV$205^A50,IF(A50='Données projet'!$A$114,'Données projet'!$B$114,BY49+BX50-CG49)))</f>
        <v>174.40000000000003</v>
      </c>
      <c r="BZ50" s="14">
        <f>BY50*VLOOKUP('Données projet'!$B$12,Paramètres!$A$1:$I$89,3,0)*VLOOKUP('Données projet'!$B$12,Paramètres!$A$1:$I$89,5,0)</f>
        <v>168.67968000000002</v>
      </c>
      <c r="CA50" s="14">
        <f t="shared" si="39"/>
        <v>42.794181774227013</v>
      </c>
      <c r="CB50" s="22">
        <f t="shared" si="10"/>
        <v>368.3169759234454</v>
      </c>
      <c r="CC50" s="60">
        <f t="shared" si="11"/>
        <v>621.37821378764079</v>
      </c>
      <c r="CD50" s="60">
        <f ca="1">AVERAGE(OFFSET($CC$3,0,0,'Données projet'!$E$12+1,1))-AVERAGE(OFFSET($H$3,0,0,'Données projet'!$E$12+1,1))</f>
        <v>496.33873798282525</v>
      </c>
      <c r="CE50" s="60">
        <f t="shared" si="40"/>
        <v>280.25465074992246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8.1999999999999993</v>
      </c>
      <c r="CT50" s="13">
        <f>IF('Données projet'!$A$140&gt;35,CT49+CS50-DB49,IF(A50&lt;'Données projet'!$A$140,$CQ$205^A50,IF(A50='Données projet'!$A$140,'Données projet'!$B$140,CT49+CS50-DB49)))</f>
        <v>174.40000000000003</v>
      </c>
      <c r="CU50" s="18">
        <f>CT50*VLOOKUP('Données projet'!$B$13,Paramètres!$A$1:$I$89,3,0)*VLOOKUP('Données projet'!$B$13,Paramètres!$A$1:$I$89,5,0)</f>
        <v>187.72416000000004</v>
      </c>
      <c r="CV50" s="14">
        <f t="shared" si="41"/>
        <v>47.036444603668812</v>
      </c>
      <c r="CW50" s="22">
        <f t="shared" si="13"/>
        <v>408.87471968472323</v>
      </c>
      <c r="CX50" s="60">
        <f t="shared" si="14"/>
        <v>661.93595754891862</v>
      </c>
      <c r="CY50" s="60">
        <f ca="1">AVERAGE(OFFSET($CX$3,0,0,'Données projet'!$E$13+1,1))-AVERAGE(OFFSET($H$3,0,0,'Données projet'!$E$13+1,1))</f>
        <v>542.90832990875208</v>
      </c>
      <c r="CZ50" s="60">
        <f t="shared" si="42"/>
        <v>304.94365539329362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0" t="e">
        <f t="shared" si="17"/>
        <v>#N/A</v>
      </c>
      <c r="DT50" s="60" t="e">
        <f ca="1">AVERAGE(OFFSET($DS$3,0,0,'Données projet'!$E$14+1,1))-AVERAGE(OFFSET($H$3,0,0,'Données projet'!$E$14+1,1))</f>
        <v>#N/A</v>
      </c>
      <c r="DU50" s="60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0" t="e">
        <f t="shared" si="20"/>
        <v>#N/A</v>
      </c>
      <c r="EO50" s="60" t="e">
        <f ca="1">AVERAGE(OFFSET($EN$3,0,0,'Données projet'!$E$15+1,1))-AVERAGE(OFFSET($H$3,0,0,'Données projet'!$E$15+1,1))</f>
        <v>#N/A</v>
      </c>
      <c r="EP50" s="60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0" t="e">
        <f t="shared" si="23"/>
        <v>#N/A</v>
      </c>
      <c r="FJ50" s="60" t="e">
        <f ca="1">AVERAGE(OFFSET($FI$3,0,0,'Données projet'!$E$16+1,1))-AVERAGE(OFFSET($H$3,0,0,'Données projet'!$E$16+1,1))</f>
        <v>#N/A</v>
      </c>
      <c r="FK50" s="60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0" t="e">
        <f t="shared" si="26"/>
        <v>#N/A</v>
      </c>
      <c r="GE50" s="60" t="e">
        <f ca="1">AVERAGE(OFFSET($GD$3,0,0,'Données projet'!$E$17+1,1))-AVERAGE(OFFSET($H$3,0,0,'Données projet'!$E$17+1,1))</f>
        <v>#N/A</v>
      </c>
      <c r="GF50" s="60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4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11.552307692307688</v>
      </c>
      <c r="N51" s="14">
        <f>IF('Données projet'!$A$36&gt;35,N50+M51-V50,IF(A51&lt;'Données projet'!$A$36,$K$205^A51,IF(A51='Données projet'!$A$36,'Données projet'!$B$36,N50+M51-V50)))</f>
        <v>286.8030769230769</v>
      </c>
      <c r="O51" s="14">
        <f>N51*VLOOKUP('Données projet'!$B$9,Paramètres!$A$1:$I$89,3,0)*VLOOKUP('Données projet'!$B$9,Paramètres!$A$1:$I$89,5,0)</f>
        <v>134.22384</v>
      </c>
      <c r="P51" s="14">
        <f t="shared" si="33"/>
        <v>34.970541073225803</v>
      </c>
      <c r="Q51" s="22">
        <f t="shared" si="53"/>
        <v>294.6802137025349</v>
      </c>
      <c r="R51" s="60">
        <f t="shared" si="0"/>
        <v>548.44008238820265</v>
      </c>
      <c r="S51" s="60">
        <f ca="1">AVERAGE(OFFSET($R$3,0,0,'Données projet'!$E$9+1,1))-AVERAGE(OFFSET($H$3,0,0,'Données projet'!$E$9+1,1))</f>
        <v>277.7918215389401</v>
      </c>
      <c r="T51" s="60">
        <f t="shared" si="34"/>
        <v>164.65640238394164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182.60000000000002</v>
      </c>
      <c r="AJ51" s="14">
        <f>AI51*VLOOKUP('Données projet'!$B$10,Paramètres!$A$1:$I$89,3,0)*VLOOKUP('Données projet'!$B$10,Paramètres!$A$1:$I$89,5,0)</f>
        <v>165.21648000000002</v>
      </c>
      <c r="AK51" s="14">
        <f t="shared" si="35"/>
        <v>42.016901084500397</v>
      </c>
      <c r="AL51" s="22">
        <f t="shared" si="4"/>
        <v>360.93147205550491</v>
      </c>
      <c r="AM51" s="60">
        <f t="shared" si="5"/>
        <v>614.69134074117255</v>
      </c>
      <c r="AN51" s="60">
        <f ca="1">AVERAGE(OFFSET($AM$3,0,0,'Données projet'!$E$10+1,1))-AVERAGE(OFFSET($H$3,0,0,'Données projet'!$E$10+1,1))</f>
        <v>469.67944008675863</v>
      </c>
      <c r="AO51" s="60">
        <f t="shared" si="36"/>
        <v>266.11908070867173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>
        <f>BD51*VLOOKUP('Données projet'!$B$11,Paramètres!$A$1:$I$89,3,0)*VLOOKUP('Données projet'!$B$11,Paramètres!$A$1:$I$89,5,0)</f>
        <v>0</v>
      </c>
      <c r="BF51" s="14" t="e">
        <f t="shared" si="37"/>
        <v>#NUM!</v>
      </c>
      <c r="BG51" s="22" t="e">
        <f t="shared" si="7"/>
        <v>#NUM!</v>
      </c>
      <c r="BH51" s="60" t="e">
        <f t="shared" si="8"/>
        <v>#NUM!</v>
      </c>
      <c r="BI51" s="60">
        <f ca="1">AVERAGE(OFFSET($BH$3,0,0,'Données projet'!$E$11+1,1))-AVERAGE(OFFSET($H$3,0,0,'Données projet'!$E$11+1,1))</f>
        <v>216.36762889365235</v>
      </c>
      <c r="BJ51" s="60">
        <f t="shared" si="38"/>
        <v>333.29599352215496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9.4525442102831061</v>
      </c>
      <c r="BQ51" s="23">
        <f>EXP(-LN(2)/25)*BQ50+(1-EXP(-LN(2)/25))/(LN(2)/25)*Calculateur!BL51*Calculateur!BN51*VLOOKUP('Données projet'!$B$11,Paramètres!$A$1:$I$89,3,0)*0.475*44/12</f>
        <v>5.918844078584927</v>
      </c>
      <c r="BR51" s="23">
        <f>EXP(-LN(2)/2)*BR50+(1-EXP(-LN(2)/2))/(LN(2)/2)*BL51*BO51*VLOOKUP('Données projet'!$B$11,Paramètres!$A$1:$I$89,3,0)*0.475*44/12</f>
        <v>5.7117728455328316E-3</v>
      </c>
      <c r="BS51" s="24">
        <f t="shared" si="9"/>
        <v>15.377100061713566</v>
      </c>
      <c r="BT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8.1999999999999993</v>
      </c>
      <c r="BY51" s="13">
        <f>IF('Données projet'!$A$114&gt;35,BY50+BX51-CG50,IF(A51&lt;'Données projet'!$A$114,$BV$205^A51,IF(A51='Données projet'!$A$114,'Données projet'!$B$114,BY50+BX51-CG50)))</f>
        <v>182.60000000000002</v>
      </c>
      <c r="BZ51" s="14">
        <f>BY51*VLOOKUP('Données projet'!$B$12,Paramètres!$A$1:$I$89,3,0)*VLOOKUP('Données projet'!$B$12,Paramètres!$A$1:$I$89,5,0)</f>
        <v>176.61072000000004</v>
      </c>
      <c r="CA51" s="14">
        <f t="shared" si="39"/>
        <v>44.56730162053563</v>
      </c>
      <c r="CB51" s="22">
        <f t="shared" si="10"/>
        <v>385.21838765576626</v>
      </c>
      <c r="CC51" s="60">
        <f t="shared" si="11"/>
        <v>638.97825634143396</v>
      </c>
      <c r="CD51" s="60">
        <f ca="1">AVERAGE(OFFSET($CC$3,0,0,'Données projet'!$E$12+1,1))-AVERAGE(OFFSET($H$3,0,0,'Données projet'!$E$12+1,1))</f>
        <v>496.33873798282525</v>
      </c>
      <c r="CE51" s="60">
        <f t="shared" si="40"/>
        <v>280.25465074992246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8.1999999999999993</v>
      </c>
      <c r="CT51" s="13">
        <f>IF('Données projet'!$A$140&gt;35,CT50+CS51-DB50,IF(A51&lt;'Données projet'!$A$140,$CQ$205^A51,IF(A51='Données projet'!$A$140,'Données projet'!$B$140,CT50+CS51-DB50)))</f>
        <v>182.60000000000002</v>
      </c>
      <c r="CU51" s="18">
        <f>CT51*VLOOKUP('Données projet'!$B$13,Paramètres!$A$1:$I$89,3,0)*VLOOKUP('Données projet'!$B$13,Paramètres!$A$1:$I$89,5,0)</f>
        <v>196.55064000000002</v>
      </c>
      <c r="CV51" s="14">
        <f t="shared" si="41"/>
        <v>48.985336952319578</v>
      </c>
      <c r="CW51" s="22">
        <f t="shared" si="13"/>
        <v>427.6418265252899</v>
      </c>
      <c r="CX51" s="60">
        <f t="shared" si="14"/>
        <v>681.40169521095754</v>
      </c>
      <c r="CY51" s="60">
        <f ca="1">AVERAGE(OFFSET($CX$3,0,0,'Données projet'!$E$13+1,1))-AVERAGE(OFFSET($H$3,0,0,'Données projet'!$E$13+1,1))</f>
        <v>542.90832990875208</v>
      </c>
      <c r="CZ51" s="60">
        <f t="shared" si="42"/>
        <v>304.94365539329362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0" t="e">
        <f t="shared" si="17"/>
        <v>#N/A</v>
      </c>
      <c r="DT51" s="60" t="e">
        <f ca="1">AVERAGE(OFFSET($DS$3,0,0,'Données projet'!$E$14+1,1))-AVERAGE(OFFSET($H$3,0,0,'Données projet'!$E$14+1,1))</f>
        <v>#N/A</v>
      </c>
      <c r="DU51" s="60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0" t="e">
        <f t="shared" si="20"/>
        <v>#N/A</v>
      </c>
      <c r="EO51" s="60" t="e">
        <f ca="1">AVERAGE(OFFSET($EN$3,0,0,'Données projet'!$E$15+1,1))-AVERAGE(OFFSET($H$3,0,0,'Données projet'!$E$15+1,1))</f>
        <v>#N/A</v>
      </c>
      <c r="EP51" s="60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0" t="e">
        <f t="shared" si="23"/>
        <v>#N/A</v>
      </c>
      <c r="FJ51" s="60" t="e">
        <f ca="1">AVERAGE(OFFSET($FI$3,0,0,'Données projet'!$E$16+1,1))-AVERAGE(OFFSET($H$3,0,0,'Données projet'!$E$16+1,1))</f>
        <v>#N/A</v>
      </c>
      <c r="FK51" s="60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0" t="e">
        <f t="shared" si="26"/>
        <v>#N/A</v>
      </c>
      <c r="GE51" s="60" t="e">
        <f ca="1">AVERAGE(OFFSET($GD$3,0,0,'Données projet'!$E$17+1,1))-AVERAGE(OFFSET($H$3,0,0,'Données projet'!$E$17+1,1))</f>
        <v>#N/A</v>
      </c>
      <c r="GF51" s="60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4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11.552307692307688</v>
      </c>
      <c r="N52" s="14">
        <f>IF('Données projet'!$A$36&gt;35,N51+M52-V51,IF(A52&lt;'Données projet'!$A$36,$K$205^A52,IF(A52='Données projet'!$A$36,'Données projet'!$B$36,N51+M52-V51)))</f>
        <v>298.35538461538459</v>
      </c>
      <c r="O52" s="14">
        <f>N52*VLOOKUP('Données projet'!$B$9,Paramètres!$A$1:$I$89,3,0)*VLOOKUP('Données projet'!$B$9,Paramètres!$A$1:$I$89,5,0)</f>
        <v>139.63031999999998</v>
      </c>
      <c r="P52" s="14">
        <f t="shared" si="33"/>
        <v>36.212303970383452</v>
      </c>
      <c r="Q52" s="22">
        <f t="shared" si="53"/>
        <v>306.25923674841783</v>
      </c>
      <c r="R52" s="60">
        <f t="shared" si="0"/>
        <v>560.7056165727098</v>
      </c>
      <c r="S52" s="60">
        <f ca="1">AVERAGE(OFFSET($R$3,0,0,'Données projet'!$E$9+1,1))-AVERAGE(OFFSET($H$3,0,0,'Données projet'!$E$9+1,1))</f>
        <v>277.7918215389401</v>
      </c>
      <c r="T52" s="60">
        <f t="shared" si="34"/>
        <v>164.65640238394164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190.8</v>
      </c>
      <c r="AJ52" s="14">
        <f>AI52*VLOOKUP('Données projet'!$B$10,Paramètres!$A$1:$I$89,3,0)*VLOOKUP('Données projet'!$B$10,Paramètres!$A$1:$I$89,5,0)</f>
        <v>172.63584</v>
      </c>
      <c r="AK52" s="14">
        <f t="shared" si="35"/>
        <v>43.679834395222109</v>
      </c>
      <c r="AL52" s="22">
        <f t="shared" si="4"/>
        <v>376.74979957167847</v>
      </c>
      <c r="AM52" s="60">
        <f t="shared" si="5"/>
        <v>631.19617939597038</v>
      </c>
      <c r="AN52" s="60">
        <f ca="1">AVERAGE(OFFSET($AM$3,0,0,'Données projet'!$E$10+1,1))-AVERAGE(OFFSET($H$3,0,0,'Données projet'!$E$10+1,1))</f>
        <v>469.67944008675863</v>
      </c>
      <c r="AO52" s="60">
        <f t="shared" si="36"/>
        <v>266.11908070867173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>
        <f>BD52*VLOOKUP('Données projet'!$B$11,Paramètres!$A$1:$I$89,3,0)*VLOOKUP('Données projet'!$B$11,Paramètres!$A$1:$I$89,5,0)</f>
        <v>0</v>
      </c>
      <c r="BF52" s="14" t="e">
        <f t="shared" si="37"/>
        <v>#NUM!</v>
      </c>
      <c r="BG52" s="22" t="e">
        <f t="shared" si="7"/>
        <v>#NUM!</v>
      </c>
      <c r="BH52" s="60" t="e">
        <f t="shared" si="8"/>
        <v>#NUM!</v>
      </c>
      <c r="BI52" s="60">
        <f ca="1">AVERAGE(OFFSET($BH$3,0,0,'Données projet'!$E$11+1,1))-AVERAGE(OFFSET($H$3,0,0,'Données projet'!$E$11+1,1))</f>
        <v>216.36762889365235</v>
      </c>
      <c r="BJ52" s="60">
        <f t="shared" si="38"/>
        <v>333.29599352215496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9.267185583802128</v>
      </c>
      <c r="BQ52" s="23">
        <f>EXP(-LN(2)/25)*BQ51+(1-EXP(-LN(2)/25))/(LN(2)/25)*Calculateur!BL52*Calculateur!BN52*VLOOKUP('Données projet'!$B$11,Paramètres!$A$1:$I$89,3,0)*0.475*44/12</f>
        <v>5.75699297599754</v>
      </c>
      <c r="BR52" s="23">
        <f>EXP(-LN(2)/2)*BR51+(1-EXP(-LN(2)/2))/(LN(2)/2)*BL52*BO52*VLOOKUP('Données projet'!$B$11,Paramètres!$A$1:$I$89,3,0)*0.475*44/12</f>
        <v>4.0388333116734478E-3</v>
      </c>
      <c r="BS52" s="24">
        <f t="shared" si="9"/>
        <v>15.028217393111342</v>
      </c>
      <c r="BT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8.1999999999999993</v>
      </c>
      <c r="BY52" s="13">
        <f>IF('Données projet'!$A$114&gt;35,BY51+BX52-CG51,IF(A52&lt;'Données projet'!$A$114,$BV$205^A52,IF(A52='Données projet'!$A$114,'Données projet'!$B$114,BY51+BX52-CG51)))</f>
        <v>190.8</v>
      </c>
      <c r="BZ52" s="14">
        <f>BY52*VLOOKUP('Données projet'!$B$12,Paramètres!$A$1:$I$89,3,0)*VLOOKUP('Données projet'!$B$12,Paramètres!$A$1:$I$89,5,0)</f>
        <v>184.54176000000001</v>
      </c>
      <c r="CA52" s="14">
        <f t="shared" si="39"/>
        <v>46.33117397953523</v>
      </c>
      <c r="CB52" s="22">
        <f t="shared" si="10"/>
        <v>402.10369334769052</v>
      </c>
      <c r="CC52" s="60">
        <f t="shared" si="11"/>
        <v>656.55007317198249</v>
      </c>
      <c r="CD52" s="60">
        <f ca="1">AVERAGE(OFFSET($CC$3,0,0,'Données projet'!$E$12+1,1))-AVERAGE(OFFSET($H$3,0,0,'Données projet'!$E$12+1,1))</f>
        <v>496.33873798282525</v>
      </c>
      <c r="CE52" s="60">
        <f t="shared" si="40"/>
        <v>280.25465074992246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8.1999999999999993</v>
      </c>
      <c r="CT52" s="13">
        <f>IF('Données projet'!$A$140&gt;35,CT51+CS52-DB51,IF(A52&lt;'Données projet'!$A$140,$CQ$205^A52,IF(A52='Données projet'!$A$140,'Données projet'!$B$140,CT51+CS52-DB51)))</f>
        <v>190.8</v>
      </c>
      <c r="CU52" s="18">
        <f>CT52*VLOOKUP('Données projet'!$B$13,Paramètres!$A$1:$I$89,3,0)*VLOOKUP('Données projet'!$B$13,Paramètres!$A$1:$I$89,5,0)</f>
        <v>205.37711999999999</v>
      </c>
      <c r="CV52" s="14">
        <f t="shared" si="41"/>
        <v>50.924065093909938</v>
      </c>
      <c r="CW52" s="22">
        <f t="shared" si="13"/>
        <v>446.39123070522641</v>
      </c>
      <c r="CX52" s="60">
        <f t="shared" si="14"/>
        <v>700.83761052951832</v>
      </c>
      <c r="CY52" s="60">
        <f ca="1">AVERAGE(OFFSET($CX$3,0,0,'Données projet'!$E$13+1,1))-AVERAGE(OFFSET($H$3,0,0,'Données projet'!$E$13+1,1))</f>
        <v>542.90832990875208</v>
      </c>
      <c r="CZ52" s="60">
        <f t="shared" si="42"/>
        <v>304.94365539329362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0" t="e">
        <f t="shared" si="17"/>
        <v>#N/A</v>
      </c>
      <c r="DT52" s="60" t="e">
        <f ca="1">AVERAGE(OFFSET($DS$3,0,0,'Données projet'!$E$14+1,1))-AVERAGE(OFFSET($H$3,0,0,'Données projet'!$E$14+1,1))</f>
        <v>#N/A</v>
      </c>
      <c r="DU52" s="60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0" t="e">
        <f t="shared" si="20"/>
        <v>#N/A</v>
      </c>
      <c r="EO52" s="60" t="e">
        <f ca="1">AVERAGE(OFFSET($EN$3,0,0,'Données projet'!$E$15+1,1))-AVERAGE(OFFSET($H$3,0,0,'Données projet'!$E$15+1,1))</f>
        <v>#N/A</v>
      </c>
      <c r="EP52" s="60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0" t="e">
        <f t="shared" si="23"/>
        <v>#N/A</v>
      </c>
      <c r="FJ52" s="60" t="e">
        <f ca="1">AVERAGE(OFFSET($FI$3,0,0,'Données projet'!$E$16+1,1))-AVERAGE(OFFSET($H$3,0,0,'Données projet'!$E$16+1,1))</f>
        <v>#N/A</v>
      </c>
      <c r="FK52" s="60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0" t="e">
        <f t="shared" si="26"/>
        <v>#N/A</v>
      </c>
      <c r="GE52" s="60" t="e">
        <f ca="1">AVERAGE(OFFSET($GD$3,0,0,'Données projet'!$E$17+1,1))-AVERAGE(OFFSET($H$3,0,0,'Données projet'!$E$17+1,1))</f>
        <v>#N/A</v>
      </c>
      <c r="GF52" s="60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4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309.90769230769229</v>
      </c>
      <c r="L53" s="13">
        <f>VLOOKUP(A53,'Données projet'!$A$35:$I$55,9,0)</f>
        <v>11.552307692307688</v>
      </c>
      <c r="M53" s="13">
        <f t="array" ref="M53">INDEX(L:L,MIN(IF(ISNUMBER(L53:L249),ROW(L53:L249),"")))</f>
        <v>11.552307692307688</v>
      </c>
      <c r="N53" s="14">
        <f>IF('Données projet'!$A$36&gt;35,N52+M53-V52,IF(A53&lt;'Données projet'!$A$36,$K$205^A53,IF(A53='Données projet'!$A$36,'Données projet'!$B$36,N52+M53-V52)))</f>
        <v>309.90769230769229</v>
      </c>
      <c r="O53" s="14">
        <f>N53*VLOOKUP('Données projet'!$B$9,Paramètres!$A$1:$I$89,3,0)*VLOOKUP('Données projet'!$B$9,Paramètres!$A$1:$I$89,5,0)</f>
        <v>145.0368</v>
      </c>
      <c r="P53" s="14">
        <f t="shared" si="33"/>
        <v>37.448481357413236</v>
      </c>
      <c r="Q53" s="22">
        <f t="shared" si="53"/>
        <v>317.82853169749472</v>
      </c>
      <c r="R53" s="60">
        <f t="shared" si="0"/>
        <v>572.94951322696488</v>
      </c>
      <c r="S53" s="60">
        <f ca="1">AVERAGE(OFFSET($R$3,0,0,'Données projet'!$E$9+1,1))-AVERAGE(OFFSET($H$3,0,0,'Données projet'!$E$9+1,1))</f>
        <v>277.7918215389401</v>
      </c>
      <c r="T53" s="60">
        <f t="shared" si="34"/>
        <v>164.65640238394164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199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199</v>
      </c>
      <c r="AJ53" s="14">
        <f>AI53*VLOOKUP('Données projet'!$B$10,Paramètres!$A$1:$I$89,3,0)*VLOOKUP('Données projet'!$B$10,Paramètres!$A$1:$I$89,5,0)</f>
        <v>180.05519999999999</v>
      </c>
      <c r="AK53" s="14">
        <f t="shared" si="35"/>
        <v>45.334466930398364</v>
      </c>
      <c r="AL53" s="22">
        <f t="shared" si="4"/>
        <v>392.55366990377706</v>
      </c>
      <c r="AM53" s="60">
        <f t="shared" si="5"/>
        <v>647.67465143324716</v>
      </c>
      <c r="AN53" s="60">
        <f ca="1">AVERAGE(OFFSET($AM$3,0,0,'Données projet'!$E$10+1,1))-AVERAGE(OFFSET($H$3,0,0,'Données projet'!$E$10+1,1))</f>
        <v>469.67944008675863</v>
      </c>
      <c r="AO53" s="60">
        <f t="shared" si="36"/>
        <v>266.11908070867173</v>
      </c>
      <c r="AP53" s="16">
        <f>IF(ISNA(VLOOKUP(A53,'Données projet'!$A$61:$I$81,3,0)),0,VLOOKUP(A53,'Données projet'!$A$61:$I$81,3,0))</f>
        <v>3</v>
      </c>
      <c r="AQ53" s="16">
        <f>IF(ISNA(VLOOKUP(A53,'Données projet'!$A$61:$I$81,4,0)),0,VLOOKUP(A53,'Données projet'!$A$61:$I$81,4,0))</f>
        <v>42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>
        <f>BD53*VLOOKUP('Données projet'!$B$11,Paramètres!$A$1:$I$89,3,0)*VLOOKUP('Données projet'!$B$11,Paramètres!$A$1:$I$89,5,0)</f>
        <v>0</v>
      </c>
      <c r="BF53" s="14" t="e">
        <f t="shared" si="37"/>
        <v>#NUM!</v>
      </c>
      <c r="BG53" s="22" t="e">
        <f t="shared" si="7"/>
        <v>#NUM!</v>
      </c>
      <c r="BH53" s="60" t="e">
        <f t="shared" si="8"/>
        <v>#NUM!</v>
      </c>
      <c r="BI53" s="60">
        <f ca="1">AVERAGE(OFFSET($BH$3,0,0,'Données projet'!$E$11+1,1))-AVERAGE(OFFSET($H$3,0,0,'Données projet'!$E$11+1,1))</f>
        <v>216.36762889365235</v>
      </c>
      <c r="BJ53" s="60">
        <f t="shared" si="38"/>
        <v>333.29599352215496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9.0854617269288429</v>
      </c>
      <c r="BQ53" s="23">
        <f>EXP(-LN(2)/25)*BQ52+(1-EXP(-LN(2)/25))/(LN(2)/25)*Calculateur!BL53*Calculateur!BN53*VLOOKUP('Données projet'!$B$11,Paramètres!$A$1:$I$89,3,0)*0.475*44/12</f>
        <v>5.5995677003217841</v>
      </c>
      <c r="BR53" s="23">
        <f>EXP(-LN(2)/2)*BR52+(1-EXP(-LN(2)/2))/(LN(2)/2)*BL53*BO53*VLOOKUP('Données projet'!$B$11,Paramètres!$A$1:$I$89,3,0)*0.475*44/12</f>
        <v>2.8558864227664158E-3</v>
      </c>
      <c r="BS53" s="24">
        <f t="shared" si="9"/>
        <v>14.687885313673393</v>
      </c>
      <c r="BT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199</v>
      </c>
      <c r="BW53" s="13">
        <f>VLOOKUP(A53,'Données projet'!$A$113:$I$133,9,0)</f>
        <v>8.1999999999999993</v>
      </c>
      <c r="BX53" s="13">
        <f t="array" ref="BX53">INDEX(BW:BW,MIN(IF(ISNUMBER(BW53:BW249),ROW(BW53:BW249),"")))</f>
        <v>8.1999999999999993</v>
      </c>
      <c r="BY53" s="13">
        <f>IF('Données projet'!$A$114&gt;35,BY52+BX53-CG52,IF(A53&lt;'Données projet'!$A$114,$BV$205^A53,IF(A53='Données projet'!$A$114,'Données projet'!$B$114,BY52+BX53-CG52)))</f>
        <v>199</v>
      </c>
      <c r="BZ53" s="14">
        <f>BY53*VLOOKUP('Données projet'!$B$12,Paramètres!$A$1:$I$89,3,0)*VLOOKUP('Données projet'!$B$12,Paramètres!$A$1:$I$89,5,0)</f>
        <v>192.47280000000001</v>
      </c>
      <c r="CA53" s="14">
        <f t="shared" si="39"/>
        <v>48.086241710923829</v>
      </c>
      <c r="CB53" s="22">
        <f t="shared" si="10"/>
        <v>418.97366431319239</v>
      </c>
      <c r="CC53" s="60">
        <f t="shared" si="11"/>
        <v>674.09464584266243</v>
      </c>
      <c r="CD53" s="60">
        <f ca="1">AVERAGE(OFFSET($CC$3,0,0,'Données projet'!$E$12+1,1))-AVERAGE(OFFSET($H$3,0,0,'Données projet'!$E$12+1,1))</f>
        <v>496.33873798282525</v>
      </c>
      <c r="CE53" s="60">
        <f t="shared" si="40"/>
        <v>280.25465074992246</v>
      </c>
      <c r="CF53" s="16">
        <f>IF(ISNA(VLOOKUP(A53,'Données projet'!$A$113:$I$133,3,0)),0,VLOOKUP(A53,'Données projet'!$A$113:$I$133,3,0))</f>
        <v>3</v>
      </c>
      <c r="CG53" s="16">
        <f>IF(ISNA(VLOOKUP(A53,'Données projet'!$A$113:$I$133,4,0)),0,VLOOKUP(A53,'Données projet'!$A$113:$I$133,4,0))</f>
        <v>42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199</v>
      </c>
      <c r="CR53" s="13">
        <f>VLOOKUP(A53,'Données projet'!$A$139:$I$159,9,0)</f>
        <v>8.1999999999999993</v>
      </c>
      <c r="CS53" s="13">
        <f t="array" ref="CS53">INDEX(CR:CR,MIN(IF(ISNUMBER(CR53:CR249),ROW(CR53:CR249),"")))</f>
        <v>8.1999999999999993</v>
      </c>
      <c r="CT53" s="13">
        <f>IF('Données projet'!$A$140&gt;35,CT52+CS53-DB52,IF(A53&lt;'Données projet'!$A$140,$CQ$205^A53,IF(A53='Données projet'!$A$140,'Données projet'!$B$140,CT52+CS53-DB52)))</f>
        <v>199</v>
      </c>
      <c r="CU53" s="18">
        <f>CT53*VLOOKUP('Données projet'!$B$13,Paramètres!$A$1:$I$89,3,0)*VLOOKUP('Données projet'!$B$13,Paramètres!$A$1:$I$89,5,0)</f>
        <v>214.20360000000002</v>
      </c>
      <c r="CV53" s="14">
        <f t="shared" si="41"/>
        <v>52.853115789602029</v>
      </c>
      <c r="CW53" s="22">
        <f t="shared" si="13"/>
        <v>465.12378000022358</v>
      </c>
      <c r="CX53" s="60">
        <f t="shared" si="14"/>
        <v>720.24476152969373</v>
      </c>
      <c r="CY53" s="60">
        <f ca="1">AVERAGE(OFFSET($CX$3,0,0,'Données projet'!$E$13+1,1))-AVERAGE(OFFSET($H$3,0,0,'Données projet'!$E$13+1,1))</f>
        <v>542.90832990875208</v>
      </c>
      <c r="CZ53" s="60">
        <f t="shared" si="42"/>
        <v>304.94365539329362</v>
      </c>
      <c r="DA53" s="16">
        <f>IF(ISNA(VLOOKUP(A53,'Données projet'!$A$139:$I$159,3,0)),0,VLOOKUP(A53,'Données projet'!$A$139:$I$159,3,0))</f>
        <v>3</v>
      </c>
      <c r="DB53" s="16">
        <f>IF(ISNA(VLOOKUP(A53,'Données projet'!$A$139:$I$159,4,0)),0,VLOOKUP(A53,'Données projet'!$A$139:$I$159,4,0))</f>
        <v>42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0" t="e">
        <f t="shared" si="17"/>
        <v>#N/A</v>
      </c>
      <c r="DT53" s="60" t="e">
        <f ca="1">AVERAGE(OFFSET($DS$3,0,0,'Données projet'!$E$14+1,1))-AVERAGE(OFFSET($H$3,0,0,'Données projet'!$E$14+1,1))</f>
        <v>#N/A</v>
      </c>
      <c r="DU53" s="60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0" t="e">
        <f t="shared" si="20"/>
        <v>#N/A</v>
      </c>
      <c r="EO53" s="60" t="e">
        <f ca="1">AVERAGE(OFFSET($EN$3,0,0,'Données projet'!$E$15+1,1))-AVERAGE(OFFSET($H$3,0,0,'Données projet'!$E$15+1,1))</f>
        <v>#N/A</v>
      </c>
      <c r="EP53" s="60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0" t="e">
        <f t="shared" si="23"/>
        <v>#N/A</v>
      </c>
      <c r="FJ53" s="60" t="e">
        <f ca="1">AVERAGE(OFFSET($FI$3,0,0,'Données projet'!$E$16+1,1))-AVERAGE(OFFSET($H$3,0,0,'Données projet'!$E$16+1,1))</f>
        <v>#N/A</v>
      </c>
      <c r="FK53" s="60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0" t="e">
        <f t="shared" si="26"/>
        <v>#N/A</v>
      </c>
      <c r="GE53" s="60" t="e">
        <f ca="1">AVERAGE(OFFSET($GD$3,0,0,'Données projet'!$E$17+1,1))-AVERAGE(OFFSET($H$3,0,0,'Données projet'!$E$17+1,1))</f>
        <v>#N/A</v>
      </c>
      <c r="GF53" s="60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4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>
        <f>VLOOKUP(A54,'Données projet'!$A$35:$I$55,2,0)</f>
        <v>321.8384615384615</v>
      </c>
      <c r="L54" s="13">
        <f>VLOOKUP(A54,'Données projet'!$A$35:$I$55,9,0)</f>
        <v>11.930769230769215</v>
      </c>
      <c r="M54" s="13">
        <f t="array" ref="M54">INDEX(L:L,MIN(IF(ISNUMBER(L54:L250),ROW(L54:L250),"")))</f>
        <v>11.930769230769215</v>
      </c>
      <c r="N54" s="14">
        <f>IF('Données projet'!$A$36&gt;35,N53+M54-V53,IF(A54&lt;'Données projet'!$A$36,$K$205^A54,IF(A54='Données projet'!$A$36,'Données projet'!$B$36,N53+M54-V53)))</f>
        <v>321.8384615384615</v>
      </c>
      <c r="O54" s="14">
        <f>N54*VLOOKUP('Données projet'!$B$9,Paramètres!$A$1:$I$89,3,0)*VLOOKUP('Données projet'!$B$9,Paramètres!$A$1:$I$89,5,0)</f>
        <v>150.62039999999996</v>
      </c>
      <c r="P54" s="14">
        <f t="shared" si="33"/>
        <v>38.719539861211025</v>
      </c>
      <c r="Q54" s="22">
        <f t="shared" si="53"/>
        <v>329.76706192494242</v>
      </c>
      <c r="R54" s="60">
        <f t="shared" si="0"/>
        <v>585.55094232818919</v>
      </c>
      <c r="S54" s="60">
        <f ca="1">AVERAGE(OFFSET($R$3,0,0,'Données projet'!$E$9+1,1))-AVERAGE(OFFSET($H$3,0,0,'Données projet'!$E$9+1,1))</f>
        <v>277.7918215389401</v>
      </c>
      <c r="T54" s="60">
        <f t="shared" si="34"/>
        <v>164.65640238394164</v>
      </c>
      <c r="U54" s="16">
        <f>IF(ISNA(VLOOKUP(A54,'Données projet'!$A$35:$I$55,3,0)),0,VLOOKUP(A54,'Données projet'!$A$35:$I$55,3,0))</f>
        <v>1</v>
      </c>
      <c r="V54" s="16">
        <f>IF(ISNA(VLOOKUP(A54,'Données projet'!$A$35:$I$55,4,0)),0,VLOOKUP(A54,'Données projet'!$A$35:$I$55,4,0))</f>
        <v>100.30769230769231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165</v>
      </c>
      <c r="AJ54" s="14">
        <f>AI54*VLOOKUP('Données projet'!$B$10,Paramètres!$A$1:$I$89,3,0)*VLOOKUP('Données projet'!$B$10,Paramètres!$A$1:$I$89,5,0)</f>
        <v>149.29199999999997</v>
      </c>
      <c r="AK54" s="14">
        <f t="shared" si="35"/>
        <v>38.417645803815411</v>
      </c>
      <c r="AL54" s="22">
        <f t="shared" si="4"/>
        <v>326.9276331083118</v>
      </c>
      <c r="AM54" s="60">
        <f t="shared" si="5"/>
        <v>582.71151351155868</v>
      </c>
      <c r="AN54" s="60">
        <f ca="1">AVERAGE(OFFSET($AM$3,0,0,'Données projet'!$E$10+1,1))-AVERAGE(OFFSET($H$3,0,0,'Données projet'!$E$10+1,1))</f>
        <v>469.67944008675863</v>
      </c>
      <c r="AO54" s="60">
        <f t="shared" si="36"/>
        <v>266.11908070867173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>
        <f>BD54*VLOOKUP('Données projet'!$B$11,Paramètres!$A$1:$I$89,3,0)*VLOOKUP('Données projet'!$B$11,Paramètres!$A$1:$I$89,5,0)</f>
        <v>0</v>
      </c>
      <c r="BF54" s="14" t="e">
        <f t="shared" si="37"/>
        <v>#NUM!</v>
      </c>
      <c r="BG54" s="22" t="e">
        <f t="shared" si="7"/>
        <v>#NUM!</v>
      </c>
      <c r="BH54" s="60" t="e">
        <f t="shared" si="8"/>
        <v>#NUM!</v>
      </c>
      <c r="BI54" s="60">
        <f ca="1">AVERAGE(OFFSET($BH$3,0,0,'Données projet'!$E$11+1,1))-AVERAGE(OFFSET($H$3,0,0,'Données projet'!$E$11+1,1))</f>
        <v>216.36762889365235</v>
      </c>
      <c r="BJ54" s="60">
        <f t="shared" si="38"/>
        <v>333.29599352215496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8.9073013640482355</v>
      </c>
      <c r="BQ54" s="23">
        <f>EXP(-LN(2)/25)*BQ53+(1-EXP(-LN(2)/25))/(LN(2)/25)*Calculateur!BL54*Calculateur!BN54*VLOOKUP('Données projet'!$B$11,Paramètres!$A$1:$I$89,3,0)*0.475*44/12</f>
        <v>5.4464472270880178</v>
      </c>
      <c r="BR54" s="23">
        <f>EXP(-LN(2)/2)*BR53+(1-EXP(-LN(2)/2))/(LN(2)/2)*BL54*BO54*VLOOKUP('Données projet'!$B$11,Paramètres!$A$1:$I$89,3,0)*0.475*44/12</f>
        <v>2.0194166558367239E-3</v>
      </c>
      <c r="BS54" s="24">
        <f t="shared" si="9"/>
        <v>14.35576800779209</v>
      </c>
      <c r="BT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8</v>
      </c>
      <c r="BY54" s="13">
        <f>IF('Données projet'!$A$114&gt;35,BY53+BX54-CG53,IF(A54&lt;'Données projet'!$A$114,$BV$205^A54,IF(A54='Données projet'!$A$114,'Données projet'!$B$114,BY53+BX54-CG53)))</f>
        <v>165</v>
      </c>
      <c r="BZ54" s="14">
        <f>BY54*VLOOKUP('Données projet'!$B$12,Paramètres!$A$1:$I$89,3,0)*VLOOKUP('Données projet'!$B$12,Paramètres!$A$1:$I$89,5,0)</f>
        <v>159.58799999999999</v>
      </c>
      <c r="CA54" s="14">
        <f t="shared" si="39"/>
        <v>40.74957371668588</v>
      </c>
      <c r="CB54" s="22">
        <f t="shared" si="10"/>
        <v>348.92127422322784</v>
      </c>
      <c r="CC54" s="60">
        <f t="shared" si="11"/>
        <v>604.70515462647472</v>
      </c>
      <c r="CD54" s="60">
        <f ca="1">AVERAGE(OFFSET($CC$3,0,0,'Données projet'!$E$12+1,1))-AVERAGE(OFFSET($H$3,0,0,'Données projet'!$E$12+1,1))</f>
        <v>496.33873798282525</v>
      </c>
      <c r="CE54" s="60">
        <f t="shared" si="40"/>
        <v>280.25465074992246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8</v>
      </c>
      <c r="CT54" s="13">
        <f>IF('Données projet'!$A$140&gt;35,CT53+CS54-DB53,IF(A54&lt;'Données projet'!$A$140,$CQ$205^A54,IF(A54='Données projet'!$A$140,'Données projet'!$B$140,CT53+CS54-DB53)))</f>
        <v>165</v>
      </c>
      <c r="CU54" s="18">
        <f>CT54*VLOOKUP('Données projet'!$B$13,Paramètres!$A$1:$I$89,3,0)*VLOOKUP('Données projet'!$B$13,Paramètres!$A$1:$I$89,5,0)</f>
        <v>177.60599999999999</v>
      </c>
      <c r="CV54" s="14">
        <f t="shared" si="41"/>
        <v>44.789150937858665</v>
      </c>
      <c r="CW54" s="22">
        <f t="shared" si="13"/>
        <v>387.33822121677048</v>
      </c>
      <c r="CX54" s="60">
        <f t="shared" si="14"/>
        <v>643.12210162001725</v>
      </c>
      <c r="CY54" s="60">
        <f ca="1">AVERAGE(OFFSET($CX$3,0,0,'Données projet'!$E$13+1,1))-AVERAGE(OFFSET($H$3,0,0,'Données projet'!$E$13+1,1))</f>
        <v>542.90832990875208</v>
      </c>
      <c r="CZ54" s="60">
        <f t="shared" si="42"/>
        <v>304.94365539329362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0" t="e">
        <f t="shared" si="17"/>
        <v>#N/A</v>
      </c>
      <c r="DT54" s="60" t="e">
        <f ca="1">AVERAGE(OFFSET($DS$3,0,0,'Données projet'!$E$14+1,1))-AVERAGE(OFFSET($H$3,0,0,'Données projet'!$E$14+1,1))</f>
        <v>#N/A</v>
      </c>
      <c r="DU54" s="60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0" t="e">
        <f t="shared" si="20"/>
        <v>#N/A</v>
      </c>
      <c r="EO54" s="60" t="e">
        <f ca="1">AVERAGE(OFFSET($EN$3,0,0,'Données projet'!$E$15+1,1))-AVERAGE(OFFSET($H$3,0,0,'Données projet'!$E$15+1,1))</f>
        <v>#N/A</v>
      </c>
      <c r="EP54" s="60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0" t="e">
        <f t="shared" si="23"/>
        <v>#N/A</v>
      </c>
      <c r="FJ54" s="60" t="e">
        <f ca="1">AVERAGE(OFFSET($FI$3,0,0,'Données projet'!$E$16+1,1))-AVERAGE(OFFSET($H$3,0,0,'Données projet'!$E$16+1,1))</f>
        <v>#N/A</v>
      </c>
      <c r="FK54" s="60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0" t="e">
        <f t="shared" si="26"/>
        <v>#N/A</v>
      </c>
      <c r="GE54" s="60" t="e">
        <f ca="1">AVERAGE(OFFSET($GD$3,0,0,'Données projet'!$E$17+1,1))-AVERAGE(OFFSET($H$3,0,0,'Données projet'!$E$17+1,1))</f>
        <v>#N/A</v>
      </c>
      <c r="GF54" s="60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4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10.486538461538473</v>
      </c>
      <c r="N55" s="14">
        <f>IF('Données projet'!$A$36&gt;35,N54+M55-V54,IF(A55&lt;'Données projet'!$A$36,$K$205^A55,IF(A55='Données projet'!$A$36,'Données projet'!$B$36,N54+M55-V54)))</f>
        <v>232.01730769230767</v>
      </c>
      <c r="O55" s="14">
        <f>N55*VLOOKUP('Données projet'!$B$9,Paramètres!$A$1:$I$89,3,0)*VLOOKUP('Données projet'!$B$9,Paramètres!$A$1:$I$89,5,0)</f>
        <v>108.58409999999999</v>
      </c>
      <c r="P55" s="14">
        <f t="shared" si="33"/>
        <v>28.997136372788482</v>
      </c>
      <c r="Q55" s="22">
        <f t="shared" si="53"/>
        <v>239.62065334927328</v>
      </c>
      <c r="R55" s="60">
        <f t="shared" si="0"/>
        <v>496.05593281285667</v>
      </c>
      <c r="S55" s="60">
        <f ca="1">AVERAGE(OFFSET($R$3,0,0,'Données projet'!$E$9+1,1))-AVERAGE(OFFSET($H$3,0,0,'Données projet'!$E$9+1,1))</f>
        <v>277.7918215389401</v>
      </c>
      <c r="T55" s="60">
        <f t="shared" si="34"/>
        <v>164.65640238394164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173</v>
      </c>
      <c r="AJ55" s="14">
        <f>AI55*VLOOKUP('Données projet'!$B$10,Paramètres!$A$1:$I$89,3,0)*VLOOKUP('Données projet'!$B$10,Paramètres!$A$1:$I$89,5,0)</f>
        <v>156.53039999999999</v>
      </c>
      <c r="AK55" s="14">
        <f t="shared" si="35"/>
        <v>40.058941713182037</v>
      </c>
      <c r="AL55" s="22">
        <f t="shared" si="4"/>
        <v>342.393103483792</v>
      </c>
      <c r="AM55" s="60">
        <f t="shared" si="5"/>
        <v>598.8283829473753</v>
      </c>
      <c r="AN55" s="60">
        <f ca="1">AVERAGE(OFFSET($AM$3,0,0,'Données projet'!$E$10+1,1))-AVERAGE(OFFSET($H$3,0,0,'Données projet'!$E$10+1,1))</f>
        <v>469.67944008675863</v>
      </c>
      <c r="AO55" s="60">
        <f t="shared" si="36"/>
        <v>266.11908070867173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>
        <f>BD55*VLOOKUP('Données projet'!$B$11,Paramètres!$A$1:$I$89,3,0)*VLOOKUP('Données projet'!$B$11,Paramètres!$A$1:$I$89,5,0)</f>
        <v>0</v>
      </c>
      <c r="BF55" s="14" t="e">
        <f t="shared" si="37"/>
        <v>#NUM!</v>
      </c>
      <c r="BG55" s="22" t="e">
        <f t="shared" si="7"/>
        <v>#NUM!</v>
      </c>
      <c r="BH55" s="60" t="e">
        <f t="shared" si="8"/>
        <v>#NUM!</v>
      </c>
      <c r="BI55" s="60">
        <f ca="1">AVERAGE(OFFSET($BH$3,0,0,'Données projet'!$E$11+1,1))-AVERAGE(OFFSET($H$3,0,0,'Données projet'!$E$11+1,1))</f>
        <v>216.36762889365235</v>
      </c>
      <c r="BJ55" s="60">
        <f t="shared" si="38"/>
        <v>333.29599352215496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8.7326346172166254</v>
      </c>
      <c r="BQ55" s="23">
        <f>EXP(-LN(2)/25)*BQ54+(1-EXP(-LN(2)/25))/(LN(2)/25)*Calculateur!BL55*Calculateur!BN55*VLOOKUP('Données projet'!$B$11,Paramètres!$A$1:$I$89,3,0)*0.475*44/12</f>
        <v>5.2975138412470839</v>
      </c>
      <c r="BR55" s="23">
        <f>EXP(-LN(2)/2)*BR54+(1-EXP(-LN(2)/2))/(LN(2)/2)*BL55*BO55*VLOOKUP('Données projet'!$B$11,Paramètres!$A$1:$I$89,3,0)*0.475*44/12</f>
        <v>1.4279432113832079E-3</v>
      </c>
      <c r="BS55" s="24">
        <f t="shared" si="9"/>
        <v>14.031576401675093</v>
      </c>
      <c r="BT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8</v>
      </c>
      <c r="BY55" s="13">
        <f>IF('Données projet'!$A$114&gt;35,BY54+BX55-CG54,IF(A55&lt;'Données projet'!$A$114,$BV$205^A55,IF(A55='Données projet'!$A$114,'Données projet'!$B$114,BY54+BX55-CG54)))</f>
        <v>173</v>
      </c>
      <c r="BZ55" s="14">
        <f>BY55*VLOOKUP('Données projet'!$B$12,Paramètres!$A$1:$I$89,3,0)*VLOOKUP('Données projet'!$B$12,Paramètres!$A$1:$I$89,5,0)</f>
        <v>167.32560000000001</v>
      </c>
      <c r="CA55" s="14">
        <f t="shared" si="39"/>
        <v>42.490495297127609</v>
      </c>
      <c r="CB55" s="22">
        <f t="shared" si="10"/>
        <v>365.42969930916388</v>
      </c>
      <c r="CC55" s="60">
        <f t="shared" si="11"/>
        <v>621.86497877274724</v>
      </c>
      <c r="CD55" s="60">
        <f ca="1">AVERAGE(OFFSET($CC$3,0,0,'Données projet'!$E$12+1,1))-AVERAGE(OFFSET($H$3,0,0,'Données projet'!$E$12+1,1))</f>
        <v>496.33873798282525</v>
      </c>
      <c r="CE55" s="60">
        <f t="shared" si="40"/>
        <v>280.25465074992246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8</v>
      </c>
      <c r="CT55" s="13">
        <f>IF('Données projet'!$A$140&gt;35,CT54+CS55-DB54,IF(A55&lt;'Données projet'!$A$140,$CQ$205^A55,IF(A55='Données projet'!$A$140,'Données projet'!$B$140,CT54+CS55-DB54)))</f>
        <v>173</v>
      </c>
      <c r="CU55" s="18">
        <f>CT55*VLOOKUP('Données projet'!$B$13,Paramètres!$A$1:$I$89,3,0)*VLOOKUP('Données projet'!$B$13,Paramètres!$A$1:$I$89,5,0)</f>
        <v>186.21719999999999</v>
      </c>
      <c r="CV55" s="14">
        <f t="shared" si="41"/>
        <v>46.702653149673253</v>
      </c>
      <c r="CW55" s="22">
        <f t="shared" si="13"/>
        <v>405.66874423568089</v>
      </c>
      <c r="CX55" s="60">
        <f t="shared" si="14"/>
        <v>662.10402369926419</v>
      </c>
      <c r="CY55" s="60">
        <f ca="1">AVERAGE(OFFSET($CX$3,0,0,'Données projet'!$E$13+1,1))-AVERAGE(OFFSET($H$3,0,0,'Données projet'!$E$13+1,1))</f>
        <v>542.90832990875208</v>
      </c>
      <c r="CZ55" s="60">
        <f t="shared" si="42"/>
        <v>304.94365539329362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0" t="e">
        <f t="shared" si="17"/>
        <v>#N/A</v>
      </c>
      <c r="DT55" s="60" t="e">
        <f ca="1">AVERAGE(OFFSET($DS$3,0,0,'Données projet'!$E$14+1,1))-AVERAGE(OFFSET($H$3,0,0,'Données projet'!$E$14+1,1))</f>
        <v>#N/A</v>
      </c>
      <c r="DU55" s="60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0" t="e">
        <f t="shared" si="20"/>
        <v>#N/A</v>
      </c>
      <c r="EO55" s="60" t="e">
        <f ca="1">AVERAGE(OFFSET($EN$3,0,0,'Données projet'!$E$15+1,1))-AVERAGE(OFFSET($H$3,0,0,'Données projet'!$E$15+1,1))</f>
        <v>#N/A</v>
      </c>
      <c r="EP55" s="60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0" t="e">
        <f t="shared" si="23"/>
        <v>#N/A</v>
      </c>
      <c r="FJ55" s="60" t="e">
        <f ca="1">AVERAGE(OFFSET($FI$3,0,0,'Données projet'!$E$16+1,1))-AVERAGE(OFFSET($H$3,0,0,'Données projet'!$E$16+1,1))</f>
        <v>#N/A</v>
      </c>
      <c r="FK55" s="60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0" t="e">
        <f t="shared" si="26"/>
        <v>#N/A</v>
      </c>
      <c r="GE55" s="60" t="e">
        <f ca="1">AVERAGE(OFFSET($GD$3,0,0,'Données projet'!$E$17+1,1))-AVERAGE(OFFSET($H$3,0,0,'Données projet'!$E$17+1,1))</f>
        <v>#N/A</v>
      </c>
      <c r="GF55" s="60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4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10.486538461538473</v>
      </c>
      <c r="N56" s="14">
        <f>IF('Données projet'!$A$36&gt;35,N55+M56-V55,IF(A56&lt;'Données projet'!$A$36,$K$205^A56,IF(A56='Données projet'!$A$36,'Données projet'!$B$36,N55+M56-V55)))</f>
        <v>242.50384615384615</v>
      </c>
      <c r="O56" s="14">
        <f>N56*VLOOKUP('Données projet'!$B$9,Paramètres!$A$1:$I$89,3,0)*VLOOKUP('Données projet'!$B$9,Paramètres!$A$1:$I$89,5,0)</f>
        <v>113.4918</v>
      </c>
      <c r="P56" s="14">
        <f t="shared" si="33"/>
        <v>30.152177633560324</v>
      </c>
      <c r="Q56" s="22">
        <f t="shared" si="53"/>
        <v>250.17992771178422</v>
      </c>
      <c r="R56" s="60">
        <f t="shared" si="0"/>
        <v>507.25530591831745</v>
      </c>
      <c r="S56" s="60">
        <f ca="1">AVERAGE(OFFSET($R$3,0,0,'Données projet'!$E$9+1,1))-AVERAGE(OFFSET($H$3,0,0,'Données projet'!$E$9+1,1))</f>
        <v>277.7918215389401</v>
      </c>
      <c r="T56" s="60">
        <f t="shared" si="34"/>
        <v>164.65640238394164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181</v>
      </c>
      <c r="AJ56" s="14">
        <f>AI56*VLOOKUP('Données projet'!$B$10,Paramètres!$A$1:$I$89,3,0)*VLOOKUP('Données projet'!$B$10,Paramètres!$A$1:$I$89,5,0)</f>
        <v>163.7688</v>
      </c>
      <c r="AK56" s="14">
        <f t="shared" si="35"/>
        <v>41.691423503509803</v>
      </c>
      <c r="AL56" s="22">
        <f t="shared" si="4"/>
        <v>357.84322260194625</v>
      </c>
      <c r="AM56" s="60">
        <f t="shared" si="5"/>
        <v>614.91860080847948</v>
      </c>
      <c r="AN56" s="60">
        <f ca="1">AVERAGE(OFFSET($AM$3,0,0,'Données projet'!$E$10+1,1))-AVERAGE(OFFSET($H$3,0,0,'Données projet'!$E$10+1,1))</f>
        <v>469.67944008675863</v>
      </c>
      <c r="AO56" s="60">
        <f t="shared" si="36"/>
        <v>266.11908070867173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>
        <f>BD56*VLOOKUP('Données projet'!$B$11,Paramètres!$A$1:$I$89,3,0)*VLOOKUP('Données projet'!$B$11,Paramètres!$A$1:$I$89,5,0)</f>
        <v>0</v>
      </c>
      <c r="BF56" s="14" t="e">
        <f t="shared" si="37"/>
        <v>#NUM!</v>
      </c>
      <c r="BG56" s="22" t="e">
        <f t="shared" si="7"/>
        <v>#NUM!</v>
      </c>
      <c r="BH56" s="60" t="e">
        <f t="shared" si="8"/>
        <v>#NUM!</v>
      </c>
      <c r="BI56" s="60">
        <f ca="1">AVERAGE(OFFSET($BH$3,0,0,'Données projet'!$E$11+1,1))-AVERAGE(OFFSET($H$3,0,0,'Données projet'!$E$11+1,1))</f>
        <v>216.36762889365235</v>
      </c>
      <c r="BJ56" s="60">
        <f t="shared" si="38"/>
        <v>333.29599352215496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8.5613929787541867</v>
      </c>
      <c r="BQ56" s="23">
        <f>EXP(-LN(2)/25)*BQ55+(1-EXP(-LN(2)/25))/(LN(2)/25)*Calculateur!BL56*Calculateur!BN56*VLOOKUP('Données projet'!$B$11,Paramètres!$A$1:$I$89,3,0)*0.475*44/12</f>
        <v>5.152653046674037</v>
      </c>
      <c r="BR56" s="23">
        <f>EXP(-LN(2)/2)*BR55+(1-EXP(-LN(2)/2))/(LN(2)/2)*BL56*BO56*VLOOKUP('Données projet'!$B$11,Paramètres!$A$1:$I$89,3,0)*0.475*44/12</f>
        <v>1.009708327918362E-3</v>
      </c>
      <c r="BS56" s="24">
        <f t="shared" si="9"/>
        <v>13.715055733756143</v>
      </c>
      <c r="BT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8</v>
      </c>
      <c r="BY56" s="13">
        <f>IF('Données projet'!$A$114&gt;35,BY55+BX56-CG55,IF(A56&lt;'Données projet'!$A$114,$BV$205^A56,IF(A56='Données projet'!$A$114,'Données projet'!$B$114,BY55+BX56-CG55)))</f>
        <v>181</v>
      </c>
      <c r="BZ56" s="14">
        <f>BY56*VLOOKUP('Données projet'!$B$12,Paramètres!$A$1:$I$89,3,0)*VLOOKUP('Données projet'!$B$12,Paramètres!$A$1:$I$89,5,0)</f>
        <v>175.06319999999999</v>
      </c>
      <c r="CA56" s="14">
        <f t="shared" si="39"/>
        <v>44.22206774682472</v>
      </c>
      <c r="CB56" s="22">
        <f t="shared" si="10"/>
        <v>381.9218413257197</v>
      </c>
      <c r="CC56" s="60">
        <f t="shared" si="11"/>
        <v>638.99721953225298</v>
      </c>
      <c r="CD56" s="60">
        <f ca="1">AVERAGE(OFFSET($CC$3,0,0,'Données projet'!$E$12+1,1))-AVERAGE(OFFSET($H$3,0,0,'Données projet'!$E$12+1,1))</f>
        <v>496.33873798282525</v>
      </c>
      <c r="CE56" s="60">
        <f t="shared" si="40"/>
        <v>280.25465074992246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8</v>
      </c>
      <c r="CT56" s="13">
        <f>IF('Données projet'!$A$140&gt;35,CT55+CS56-DB55,IF(A56&lt;'Données projet'!$A$140,$CQ$205^A56,IF(A56='Données projet'!$A$140,'Données projet'!$B$140,CT55+CS56-DB55)))</f>
        <v>181</v>
      </c>
      <c r="CU56" s="18">
        <f>CT56*VLOOKUP('Données projet'!$B$13,Paramètres!$A$1:$I$89,3,0)*VLOOKUP('Données projet'!$B$13,Paramètres!$A$1:$I$89,5,0)</f>
        <v>194.82839999999999</v>
      </c>
      <c r="CV56" s="14">
        <f t="shared" si="41"/>
        <v>48.605879434898533</v>
      </c>
      <c r="CW56" s="22">
        <f t="shared" si="13"/>
        <v>423.98137001578152</v>
      </c>
      <c r="CX56" s="60">
        <f t="shared" si="14"/>
        <v>681.05674822231481</v>
      </c>
      <c r="CY56" s="60">
        <f ca="1">AVERAGE(OFFSET($CX$3,0,0,'Données projet'!$E$13+1,1))-AVERAGE(OFFSET($H$3,0,0,'Données projet'!$E$13+1,1))</f>
        <v>542.90832990875208</v>
      </c>
      <c r="CZ56" s="60">
        <f t="shared" si="42"/>
        <v>304.94365539329362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0" t="e">
        <f t="shared" si="17"/>
        <v>#N/A</v>
      </c>
      <c r="DT56" s="60" t="e">
        <f ca="1">AVERAGE(OFFSET($DS$3,0,0,'Données projet'!$E$14+1,1))-AVERAGE(OFFSET($H$3,0,0,'Données projet'!$E$14+1,1))</f>
        <v>#N/A</v>
      </c>
      <c r="DU56" s="60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0" t="e">
        <f t="shared" si="20"/>
        <v>#N/A</v>
      </c>
      <c r="EO56" s="60" t="e">
        <f ca="1">AVERAGE(OFFSET($EN$3,0,0,'Données projet'!$E$15+1,1))-AVERAGE(OFFSET($H$3,0,0,'Données projet'!$E$15+1,1))</f>
        <v>#N/A</v>
      </c>
      <c r="EP56" s="60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0" t="e">
        <f t="shared" si="23"/>
        <v>#N/A</v>
      </c>
      <c r="FJ56" s="60" t="e">
        <f ca="1">AVERAGE(OFFSET($FI$3,0,0,'Données projet'!$E$16+1,1))-AVERAGE(OFFSET($H$3,0,0,'Données projet'!$E$16+1,1))</f>
        <v>#N/A</v>
      </c>
      <c r="FK56" s="60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0" t="e">
        <f t="shared" si="26"/>
        <v>#N/A</v>
      </c>
      <c r="GE56" s="60" t="e">
        <f ca="1">AVERAGE(OFFSET($GD$3,0,0,'Données projet'!$E$17+1,1))-AVERAGE(OFFSET($H$3,0,0,'Données projet'!$E$17+1,1))</f>
        <v>#N/A</v>
      </c>
      <c r="GF56" s="60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4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10.486538461538473</v>
      </c>
      <c r="N57" s="14">
        <f>IF('Données projet'!$A$36&gt;35,N56+M57-V56,IF(A57&lt;'Données projet'!$A$36,$K$205^A57,IF(A57='Données projet'!$A$36,'Données projet'!$B$36,N56+M57-V56)))</f>
        <v>252.99038461538464</v>
      </c>
      <c r="O57" s="14">
        <f>N57*VLOOKUP('Données projet'!$B$9,Paramètres!$A$1:$I$89,3,0)*VLOOKUP('Données projet'!$B$9,Paramètres!$A$1:$I$89,5,0)</f>
        <v>118.3995</v>
      </c>
      <c r="P57" s="14">
        <f t="shared" si="33"/>
        <v>31.301417740061346</v>
      </c>
      <c r="Q57" s="22">
        <f t="shared" si="53"/>
        <v>260.7290983972735</v>
      </c>
      <c r="R57" s="60">
        <f t="shared" si="0"/>
        <v>518.43347106461283</v>
      </c>
      <c r="S57" s="60">
        <f ca="1">AVERAGE(OFFSET($R$3,0,0,'Données projet'!$E$9+1,1))-AVERAGE(OFFSET($H$3,0,0,'Données projet'!$E$9+1,1))</f>
        <v>277.7918215389401</v>
      </c>
      <c r="T57" s="60">
        <f t="shared" si="34"/>
        <v>164.65640238394164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189</v>
      </c>
      <c r="AJ57" s="14">
        <f>AI57*VLOOKUP('Données projet'!$B$10,Paramètres!$A$1:$I$89,3,0)*VLOOKUP('Données projet'!$B$10,Paramètres!$A$1:$I$89,5,0)</f>
        <v>171.00719999999998</v>
      </c>
      <c r="AK57" s="14">
        <f t="shared" si="35"/>
        <v>43.315525267338089</v>
      </c>
      <c r="AL57" s="22">
        <f t="shared" si="4"/>
        <v>373.27874650728046</v>
      </c>
      <c r="AM57" s="60">
        <f t="shared" si="5"/>
        <v>630.98311917461979</v>
      </c>
      <c r="AN57" s="60">
        <f ca="1">AVERAGE(OFFSET($AM$3,0,0,'Données projet'!$E$10+1,1))-AVERAGE(OFFSET($H$3,0,0,'Données projet'!$E$10+1,1))</f>
        <v>469.67944008675863</v>
      </c>
      <c r="AO57" s="60">
        <f t="shared" si="36"/>
        <v>266.11908070867173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>
        <f>BD57*VLOOKUP('Données projet'!$B$11,Paramètres!$A$1:$I$89,3,0)*VLOOKUP('Données projet'!$B$11,Paramètres!$A$1:$I$89,5,0)</f>
        <v>0</v>
      </c>
      <c r="BF57" s="14" t="e">
        <f t="shared" si="37"/>
        <v>#NUM!</v>
      </c>
      <c r="BG57" s="22" t="e">
        <f t="shared" si="7"/>
        <v>#NUM!</v>
      </c>
      <c r="BH57" s="60" t="e">
        <f t="shared" si="8"/>
        <v>#NUM!</v>
      </c>
      <c r="BI57" s="60">
        <f ca="1">AVERAGE(OFFSET($BH$3,0,0,'Données projet'!$E$11+1,1))-AVERAGE(OFFSET($H$3,0,0,'Données projet'!$E$11+1,1))</f>
        <v>216.36762889365235</v>
      </c>
      <c r="BJ57" s="60">
        <f t="shared" si="38"/>
        <v>333.29599352215496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8.3935092843749111</v>
      </c>
      <c r="BQ57" s="23">
        <f>EXP(-LN(2)/25)*BQ56+(1-EXP(-LN(2)/25))/(LN(2)/25)*Calculateur!BL57*Calculateur!BN57*VLOOKUP('Données projet'!$B$11,Paramètres!$A$1:$I$89,3,0)*0.475*44/12</f>
        <v>5.0117534781464883</v>
      </c>
      <c r="BR57" s="23">
        <f>EXP(-LN(2)/2)*BR56+(1-EXP(-LN(2)/2))/(LN(2)/2)*BL57*BO57*VLOOKUP('Données projet'!$B$11,Paramètres!$A$1:$I$89,3,0)*0.475*44/12</f>
        <v>7.1397160569160395E-4</v>
      </c>
      <c r="BS57" s="24">
        <f t="shared" si="9"/>
        <v>13.405976734127091</v>
      </c>
      <c r="BT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8</v>
      </c>
      <c r="BY57" s="13">
        <f>IF('Données projet'!$A$114&gt;35,BY56+BX57-CG56,IF(A57&lt;'Données projet'!$A$114,$BV$205^A57,IF(A57='Données projet'!$A$114,'Données projet'!$B$114,BY56+BX57-CG56)))</f>
        <v>189</v>
      </c>
      <c r="BZ57" s="14">
        <f>BY57*VLOOKUP('Données projet'!$B$12,Paramètres!$A$1:$I$89,3,0)*VLOOKUP('Données projet'!$B$12,Paramètres!$A$1:$I$89,5,0)</f>
        <v>182.80079999999998</v>
      </c>
      <c r="CA57" s="14">
        <f t="shared" si="39"/>
        <v>45.944751507471658</v>
      </c>
      <c r="CB57" s="22">
        <f t="shared" si="10"/>
        <v>398.39850220884642</v>
      </c>
      <c r="CC57" s="60">
        <f t="shared" si="11"/>
        <v>656.10287487618575</v>
      </c>
      <c r="CD57" s="60">
        <f ca="1">AVERAGE(OFFSET($CC$3,0,0,'Données projet'!$E$12+1,1))-AVERAGE(OFFSET($H$3,0,0,'Données projet'!$E$12+1,1))</f>
        <v>496.33873798282525</v>
      </c>
      <c r="CE57" s="60">
        <f t="shared" si="40"/>
        <v>280.25465074992246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8</v>
      </c>
      <c r="CT57" s="13">
        <f>IF('Données projet'!$A$140&gt;35,CT56+CS57-DB56,IF(A57&lt;'Données projet'!$A$140,$CQ$205^A57,IF(A57='Données projet'!$A$140,'Données projet'!$B$140,CT56+CS57-DB56)))</f>
        <v>189</v>
      </c>
      <c r="CU57" s="18">
        <f>CT57*VLOOKUP('Données projet'!$B$13,Paramètres!$A$1:$I$89,3,0)*VLOOKUP('Données projet'!$B$13,Paramètres!$A$1:$I$89,5,0)</f>
        <v>203.43960000000001</v>
      </c>
      <c r="CV57" s="14">
        <f t="shared" si="41"/>
        <v>50.499335879627459</v>
      </c>
      <c r="CW57" s="22">
        <f t="shared" si="13"/>
        <v>442.27697999035109</v>
      </c>
      <c r="CX57" s="60">
        <f t="shared" si="14"/>
        <v>699.98135265769042</v>
      </c>
      <c r="CY57" s="60">
        <f ca="1">AVERAGE(OFFSET($CX$3,0,0,'Données projet'!$E$13+1,1))-AVERAGE(OFFSET($H$3,0,0,'Données projet'!$E$13+1,1))</f>
        <v>542.90832990875208</v>
      </c>
      <c r="CZ57" s="60">
        <f t="shared" si="42"/>
        <v>304.94365539329362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0" t="e">
        <f t="shared" si="17"/>
        <v>#N/A</v>
      </c>
      <c r="DT57" s="60" t="e">
        <f ca="1">AVERAGE(OFFSET($DS$3,0,0,'Données projet'!$E$14+1,1))-AVERAGE(OFFSET($H$3,0,0,'Données projet'!$E$14+1,1))</f>
        <v>#N/A</v>
      </c>
      <c r="DU57" s="60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0" t="e">
        <f t="shared" si="20"/>
        <v>#N/A</v>
      </c>
      <c r="EO57" s="60" t="e">
        <f ca="1">AVERAGE(OFFSET($EN$3,0,0,'Données projet'!$E$15+1,1))-AVERAGE(OFFSET($H$3,0,0,'Données projet'!$E$15+1,1))</f>
        <v>#N/A</v>
      </c>
      <c r="EP57" s="60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0" t="e">
        <f t="shared" si="23"/>
        <v>#N/A</v>
      </c>
      <c r="FJ57" s="60" t="e">
        <f ca="1">AVERAGE(OFFSET($FI$3,0,0,'Données projet'!$E$16+1,1))-AVERAGE(OFFSET($H$3,0,0,'Données projet'!$E$16+1,1))</f>
        <v>#N/A</v>
      </c>
      <c r="FK57" s="60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0" t="e">
        <f t="shared" si="26"/>
        <v>#N/A</v>
      </c>
      <c r="GE57" s="60" t="e">
        <f ca="1">AVERAGE(OFFSET($GD$3,0,0,'Données projet'!$E$17+1,1))-AVERAGE(OFFSET($H$3,0,0,'Données projet'!$E$17+1,1))</f>
        <v>#N/A</v>
      </c>
      <c r="GF57" s="60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4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263.47692307692307</v>
      </c>
      <c r="L58" s="13">
        <f>VLOOKUP(A58,'Données projet'!$A$35:$I$55,9,0)</f>
        <v>10.486538461538473</v>
      </c>
      <c r="M58" s="13">
        <f t="array" ref="M58">INDEX(L:L,MIN(IF(ISNUMBER(L58:L254),ROW(L58:L254),"")))</f>
        <v>10.486538461538473</v>
      </c>
      <c r="N58" s="14">
        <f>IF('Données projet'!$A$36&gt;35,N57+M58-V57,IF(A58&lt;'Données projet'!$A$36,$K$205^A58,IF(A58='Données projet'!$A$36,'Données projet'!$B$36,N57+M58-V57)))</f>
        <v>263.47692307692313</v>
      </c>
      <c r="O58" s="14">
        <f>N58*VLOOKUP('Données projet'!$B$9,Paramètres!$A$1:$I$89,3,0)*VLOOKUP('Données projet'!$B$9,Paramètres!$A$1:$I$89,5,0)</f>
        <v>123.30720000000002</v>
      </c>
      <c r="P58" s="14">
        <f t="shared" si="33"/>
        <v>32.445124651567795</v>
      </c>
      <c r="Q58" s="22">
        <f t="shared" si="53"/>
        <v>271.26863210148059</v>
      </c>
      <c r="R58" s="60">
        <f t="shared" si="0"/>
        <v>529.59108758195202</v>
      </c>
      <c r="S58" s="60">
        <f ca="1">AVERAGE(OFFSET($R$3,0,0,'Données projet'!$E$9+1,1))-AVERAGE(OFFSET($H$3,0,0,'Données projet'!$E$9+1,1))</f>
        <v>277.7918215389401</v>
      </c>
      <c r="T58" s="60">
        <f t="shared" si="34"/>
        <v>164.65640238394164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197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197</v>
      </c>
      <c r="AJ58" s="14">
        <f>AI58*VLOOKUP('Données projet'!$B$10,Paramètres!$A$1:$I$89,3,0)*VLOOKUP('Données projet'!$B$10,Paramètres!$A$1:$I$89,5,0)</f>
        <v>178.2456</v>
      </c>
      <c r="AK58" s="14">
        <f t="shared" si="35"/>
        <v>44.931642269910427</v>
      </c>
      <c r="AL58" s="22">
        <f t="shared" si="4"/>
        <v>388.70036362009404</v>
      </c>
      <c r="AM58" s="60">
        <f t="shared" si="5"/>
        <v>647.02281910056536</v>
      </c>
      <c r="AN58" s="60">
        <f ca="1">AVERAGE(OFFSET($AM$3,0,0,'Données projet'!$E$10+1,1))-AVERAGE(OFFSET($H$3,0,0,'Données projet'!$E$10+1,1))</f>
        <v>469.67944008675863</v>
      </c>
      <c r="AO58" s="60">
        <f t="shared" si="36"/>
        <v>266.11908070867173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>
        <f>BD58*VLOOKUP('Données projet'!$B$11,Paramètres!$A$1:$I$89,3,0)*VLOOKUP('Données projet'!$B$11,Paramètres!$A$1:$I$89,5,0)</f>
        <v>0</v>
      </c>
      <c r="BF58" s="14" t="e">
        <f t="shared" si="37"/>
        <v>#NUM!</v>
      </c>
      <c r="BG58" s="22" t="e">
        <f t="shared" si="7"/>
        <v>#NUM!</v>
      </c>
      <c r="BH58" s="60" t="e">
        <f t="shared" si="8"/>
        <v>#NUM!</v>
      </c>
      <c r="BI58" s="60">
        <f ca="1">AVERAGE(OFFSET($BH$3,0,0,'Données projet'!$E$11+1,1))-AVERAGE(OFFSET($H$3,0,0,'Données projet'!$E$11+1,1))</f>
        <v>216.36762889365235</v>
      </c>
      <c r="BJ58" s="60">
        <f t="shared" si="38"/>
        <v>333.29599352215496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8.2289176868434701</v>
      </c>
      <c r="BQ58" s="23">
        <f>EXP(-LN(2)/25)*BQ57+(1-EXP(-LN(2)/25))/(LN(2)/25)*Calculateur!BL58*Calculateur!BN58*VLOOKUP('Données projet'!$B$11,Paramètres!$A$1:$I$89,3,0)*0.475*44/12</f>
        <v>4.8747068157299118</v>
      </c>
      <c r="BR58" s="23">
        <f>EXP(-LN(2)/2)*BR57+(1-EXP(-LN(2)/2))/(LN(2)/2)*BL58*BO58*VLOOKUP('Données projet'!$B$11,Paramètres!$A$1:$I$89,3,0)*0.475*44/12</f>
        <v>5.0485416395918098E-4</v>
      </c>
      <c r="BS58" s="24">
        <f t="shared" si="9"/>
        <v>13.10412935673734</v>
      </c>
      <c r="BT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197</v>
      </c>
      <c r="BW58" s="13">
        <f>VLOOKUP(A58,'Données projet'!$A$113:$I$133,9,0)</f>
        <v>8</v>
      </c>
      <c r="BX58" s="13">
        <f t="array" ref="BX58">INDEX(BW:BW,MIN(IF(ISNUMBER(BW58:BW254),ROW(BW58:BW254),"")))</f>
        <v>8</v>
      </c>
      <c r="BY58" s="13">
        <f>IF('Données projet'!$A$114&gt;35,BY57+BX58-CG57,IF(A58&lt;'Données projet'!$A$114,$BV$205^A58,IF(A58='Données projet'!$A$114,'Données projet'!$B$114,BY57+BX58-CG57)))</f>
        <v>197</v>
      </c>
      <c r="BZ58" s="14">
        <f>BY58*VLOOKUP('Données projet'!$B$12,Paramètres!$A$1:$I$89,3,0)*VLOOKUP('Données projet'!$B$12,Paramètres!$A$1:$I$89,5,0)</f>
        <v>190.5384</v>
      </c>
      <c r="CA58" s="14">
        <f t="shared" si="39"/>
        <v>47.658965836673829</v>
      </c>
      <c r="CB58" s="22">
        <f t="shared" si="10"/>
        <v>414.86041216554025</v>
      </c>
      <c r="CC58" s="60">
        <f t="shared" si="11"/>
        <v>673.18286764601157</v>
      </c>
      <c r="CD58" s="60">
        <f ca="1">AVERAGE(OFFSET($CC$3,0,0,'Données projet'!$E$12+1,1))-AVERAGE(OFFSET($H$3,0,0,'Données projet'!$E$12+1,1))</f>
        <v>496.33873798282525</v>
      </c>
      <c r="CE58" s="60">
        <f t="shared" si="40"/>
        <v>280.25465074992246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197</v>
      </c>
      <c r="CR58" s="13">
        <f>VLOOKUP(A58,'Données projet'!$A$139:$I$159,9,0)</f>
        <v>8</v>
      </c>
      <c r="CS58" s="13">
        <f t="array" ref="CS58">INDEX(CR:CR,MIN(IF(ISNUMBER(CR58:CR254),ROW(CR58:CR254),"")))</f>
        <v>8</v>
      </c>
      <c r="CT58" s="13">
        <f>IF('Données projet'!$A$140&gt;35,CT57+CS58-DB57,IF(A58&lt;'Données projet'!$A$140,$CQ$205^A58,IF(A58='Données projet'!$A$140,'Données projet'!$B$140,CT57+CS58-DB57)))</f>
        <v>197</v>
      </c>
      <c r="CU58" s="18">
        <f>CT58*VLOOKUP('Données projet'!$B$13,Paramètres!$A$1:$I$89,3,0)*VLOOKUP('Données projet'!$B$13,Paramètres!$A$1:$I$89,5,0)</f>
        <v>212.05079999999998</v>
      </c>
      <c r="CV58" s="14">
        <f t="shared" si="41"/>
        <v>52.383483303212302</v>
      </c>
      <c r="CW58" s="22">
        <f t="shared" si="13"/>
        <v>460.55637675309475</v>
      </c>
      <c r="CX58" s="60">
        <f t="shared" si="14"/>
        <v>718.87883223356607</v>
      </c>
      <c r="CY58" s="60">
        <f ca="1">AVERAGE(OFFSET($CX$3,0,0,'Données projet'!$E$13+1,1))-AVERAGE(OFFSET($H$3,0,0,'Données projet'!$E$13+1,1))</f>
        <v>542.90832990875208</v>
      </c>
      <c r="CZ58" s="60">
        <f t="shared" si="42"/>
        <v>304.94365539329362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0" t="e">
        <f t="shared" si="17"/>
        <v>#N/A</v>
      </c>
      <c r="DT58" s="60" t="e">
        <f ca="1">AVERAGE(OFFSET($DS$3,0,0,'Données projet'!$E$14+1,1))-AVERAGE(OFFSET($H$3,0,0,'Données projet'!$E$14+1,1))</f>
        <v>#N/A</v>
      </c>
      <c r="DU58" s="60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0" t="e">
        <f t="shared" si="20"/>
        <v>#N/A</v>
      </c>
      <c r="EO58" s="60" t="e">
        <f ca="1">AVERAGE(OFFSET($EN$3,0,0,'Données projet'!$E$15+1,1))-AVERAGE(OFFSET($H$3,0,0,'Données projet'!$E$15+1,1))</f>
        <v>#N/A</v>
      </c>
      <c r="EP58" s="60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0" t="e">
        <f t="shared" si="23"/>
        <v>#N/A</v>
      </c>
      <c r="FJ58" s="60" t="e">
        <f ca="1">AVERAGE(OFFSET($FI$3,0,0,'Données projet'!$E$16+1,1))-AVERAGE(OFFSET($H$3,0,0,'Données projet'!$E$16+1,1))</f>
        <v>#N/A</v>
      </c>
      <c r="FK58" s="60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0" t="e">
        <f t="shared" si="26"/>
        <v>#N/A</v>
      </c>
      <c r="GE58" s="60" t="e">
        <f ca="1">AVERAGE(OFFSET($GD$3,0,0,'Données projet'!$E$17+1,1))-AVERAGE(OFFSET($H$3,0,0,'Données projet'!$E$17+1,1))</f>
        <v>#N/A</v>
      </c>
      <c r="GF58" s="60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4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10.784615384615382</v>
      </c>
      <c r="N59" s="14">
        <f>IF('Données projet'!$A$36&gt;35,N58+M59-V58,IF(A59&lt;'Données projet'!$A$36,$K$205^A59,IF(A59='Données projet'!$A$36,'Données projet'!$B$36,N58+M59-V58)))</f>
        <v>274.26153846153852</v>
      </c>
      <c r="O59" s="14">
        <f>N59*VLOOKUP('Données projet'!$B$9,Paramètres!$A$1:$I$89,3,0)*VLOOKUP('Données projet'!$B$9,Paramètres!$A$1:$I$89,5,0)</f>
        <v>128.35440000000003</v>
      </c>
      <c r="P59" s="14">
        <f t="shared" si="33"/>
        <v>33.615828021214249</v>
      </c>
      <c r="Q59" s="22">
        <f t="shared" si="53"/>
        <v>282.09814713694817</v>
      </c>
      <c r="R59" s="60">
        <f t="shared" si="0"/>
        <v>541.02796307556991</v>
      </c>
      <c r="S59" s="60">
        <f ca="1">AVERAGE(OFFSET($R$3,0,0,'Données projet'!$E$9+1,1))-AVERAGE(OFFSET($H$3,0,0,'Données projet'!$E$9+1,1))</f>
        <v>277.7918215389401</v>
      </c>
      <c r="T59" s="60">
        <f t="shared" si="34"/>
        <v>164.65640238394164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204.6</v>
      </c>
      <c r="AJ59" s="14">
        <f>AI59*VLOOKUP('Données projet'!$B$10,Paramètres!$A$1:$I$89,3,0)*VLOOKUP('Données projet'!$B$10,Paramètres!$A$1:$I$89,5,0)</f>
        <v>185.12207999999998</v>
      </c>
      <c r="AK59" s="14">
        <f t="shared" si="35"/>
        <v>46.459887003478677</v>
      </c>
      <c r="AL59" s="22">
        <f t="shared" si="4"/>
        <v>403.33859253105862</v>
      </c>
      <c r="AM59" s="60">
        <f t="shared" si="5"/>
        <v>662.26840846968037</v>
      </c>
      <c r="AN59" s="60">
        <f ca="1">AVERAGE(OFFSET($AM$3,0,0,'Données projet'!$E$10+1,1))-AVERAGE(OFFSET($H$3,0,0,'Données projet'!$E$10+1,1))</f>
        <v>469.67944008675863</v>
      </c>
      <c r="AO59" s="60">
        <f t="shared" si="36"/>
        <v>266.11908070867173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>
        <f>BD59*VLOOKUP('Données projet'!$B$11,Paramètres!$A$1:$I$89,3,0)*VLOOKUP('Données projet'!$B$11,Paramètres!$A$1:$I$89,5,0)</f>
        <v>0</v>
      </c>
      <c r="BF59" s="14" t="e">
        <f t="shared" si="37"/>
        <v>#NUM!</v>
      </c>
      <c r="BG59" s="22" t="e">
        <f t="shared" si="7"/>
        <v>#NUM!</v>
      </c>
      <c r="BH59" s="60" t="e">
        <f t="shared" si="8"/>
        <v>#NUM!</v>
      </c>
      <c r="BI59" s="60">
        <f ca="1">AVERAGE(OFFSET($BH$3,0,0,'Données projet'!$E$11+1,1))-AVERAGE(OFFSET($H$3,0,0,'Données projet'!$E$11+1,1))</f>
        <v>216.36762889365235</v>
      </c>
      <c r="BJ59" s="60">
        <f t="shared" si="38"/>
        <v>333.29599352215496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8.0675536301486588</v>
      </c>
      <c r="BQ59" s="23">
        <f>EXP(-LN(2)/25)*BQ58+(1-EXP(-LN(2)/25))/(LN(2)/25)*Calculateur!BL59*Calculateur!BN59*VLOOKUP('Données projet'!$B$11,Paramètres!$A$1:$I$89,3,0)*0.475*44/12</f>
        <v>4.7414077015040874</v>
      </c>
      <c r="BR59" s="23">
        <f>EXP(-LN(2)/2)*BR58+(1-EXP(-LN(2)/2))/(LN(2)/2)*BL59*BO59*VLOOKUP('Données projet'!$B$11,Paramètres!$A$1:$I$89,3,0)*0.475*44/12</f>
        <v>3.5698580284580198E-4</v>
      </c>
      <c r="BS59" s="24">
        <f t="shared" si="9"/>
        <v>12.809318317455592</v>
      </c>
      <c r="BT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7.6</v>
      </c>
      <c r="BY59" s="13">
        <f>IF('Données projet'!$A$114&gt;35,BY58+BX59-CG58,IF(A59&lt;'Données projet'!$A$114,$BV$205^A59,IF(A59='Données projet'!$A$114,'Données projet'!$B$114,BY58+BX59-CG58)))</f>
        <v>204.6</v>
      </c>
      <c r="BZ59" s="14">
        <f>BY59*VLOOKUP('Données projet'!$B$12,Paramètres!$A$1:$I$89,3,0)*VLOOKUP('Données projet'!$B$12,Paramètres!$A$1:$I$89,5,0)</f>
        <v>197.88911999999999</v>
      </c>
      <c r="CA59" s="14">
        <f t="shared" si="39"/>
        <v>49.279974103179534</v>
      </c>
      <c r="CB59" s="22">
        <f t="shared" si="10"/>
        <v>430.48617222970438</v>
      </c>
      <c r="CC59" s="60">
        <f t="shared" si="11"/>
        <v>689.41598816832607</v>
      </c>
      <c r="CD59" s="60">
        <f ca="1">AVERAGE(OFFSET($CC$3,0,0,'Données projet'!$E$12+1,1))-AVERAGE(OFFSET($H$3,0,0,'Données projet'!$E$12+1,1))</f>
        <v>496.33873798282525</v>
      </c>
      <c r="CE59" s="60">
        <f t="shared" si="40"/>
        <v>280.25465074992246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7.6</v>
      </c>
      <c r="CT59" s="13">
        <f>IF('Données projet'!$A$140&gt;35,CT58+CS59-DB58,IF(A59&lt;'Données projet'!$A$140,$CQ$205^A59,IF(A59='Données projet'!$A$140,'Données projet'!$B$140,CT58+CS59-DB58)))</f>
        <v>204.6</v>
      </c>
      <c r="CU59" s="18">
        <f>CT59*VLOOKUP('Données projet'!$B$13,Paramètres!$A$1:$I$89,3,0)*VLOOKUP('Données projet'!$B$13,Paramètres!$A$1:$I$89,5,0)</f>
        <v>220.23143999999996</v>
      </c>
      <c r="CV59" s="14">
        <f t="shared" si="41"/>
        <v>54.165184982469711</v>
      </c>
      <c r="CW59" s="22">
        <f t="shared" si="13"/>
        <v>477.9074551778013</v>
      </c>
      <c r="CX59" s="60">
        <f t="shared" si="14"/>
        <v>736.83727111642304</v>
      </c>
      <c r="CY59" s="60">
        <f ca="1">AVERAGE(OFFSET($CX$3,0,0,'Données projet'!$E$13+1,1))-AVERAGE(OFFSET($H$3,0,0,'Données projet'!$E$13+1,1))</f>
        <v>542.90832990875208</v>
      </c>
      <c r="CZ59" s="60">
        <f t="shared" si="42"/>
        <v>304.94365539329362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0" t="e">
        <f t="shared" si="17"/>
        <v>#N/A</v>
      </c>
      <c r="DT59" s="60" t="e">
        <f ca="1">AVERAGE(OFFSET($DS$3,0,0,'Données projet'!$E$14+1,1))-AVERAGE(OFFSET($H$3,0,0,'Données projet'!$E$14+1,1))</f>
        <v>#N/A</v>
      </c>
      <c r="DU59" s="60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0" t="e">
        <f t="shared" si="20"/>
        <v>#N/A</v>
      </c>
      <c r="EO59" s="60" t="e">
        <f ca="1">AVERAGE(OFFSET($EN$3,0,0,'Données projet'!$E$15+1,1))-AVERAGE(OFFSET($H$3,0,0,'Données projet'!$E$15+1,1))</f>
        <v>#N/A</v>
      </c>
      <c r="EP59" s="60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0" t="e">
        <f t="shared" si="23"/>
        <v>#N/A</v>
      </c>
      <c r="FJ59" s="60" t="e">
        <f ca="1">AVERAGE(OFFSET($FI$3,0,0,'Données projet'!$E$16+1,1))-AVERAGE(OFFSET($H$3,0,0,'Données projet'!$E$16+1,1))</f>
        <v>#N/A</v>
      </c>
      <c r="FK59" s="60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0" t="e">
        <f t="shared" si="26"/>
        <v>#N/A</v>
      </c>
      <c r="GE59" s="60" t="e">
        <f ca="1">AVERAGE(OFFSET($GD$3,0,0,'Données projet'!$E$17+1,1))-AVERAGE(OFFSET($H$3,0,0,'Données projet'!$E$17+1,1))</f>
        <v>#N/A</v>
      </c>
      <c r="GF59" s="60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4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10.784615384615382</v>
      </c>
      <c r="N60" s="14">
        <f>IF('Données projet'!$A$36&gt;35,N59+M60-V59,IF(A60&lt;'Données projet'!$A$36,$K$205^A60,IF(A60='Données projet'!$A$36,'Données projet'!$B$36,N59+M60-V59)))</f>
        <v>285.04615384615391</v>
      </c>
      <c r="O60" s="14">
        <f>N60*VLOOKUP('Données projet'!$B$9,Paramètres!$A$1:$I$89,3,0)*VLOOKUP('Données projet'!$B$9,Paramètres!$A$1:$I$89,5,0)</f>
        <v>133.40160000000003</v>
      </c>
      <c r="P60" s="14">
        <f t="shared" si="33"/>
        <v>34.781183724598222</v>
      </c>
      <c r="Q60" s="22">
        <f t="shared" si="53"/>
        <v>292.91834832034198</v>
      </c>
      <c r="R60" s="60">
        <f t="shared" si="0"/>
        <v>552.44498837101969</v>
      </c>
      <c r="S60" s="60">
        <f ca="1">AVERAGE(OFFSET($R$3,0,0,'Données projet'!$E$9+1,1))-AVERAGE(OFFSET($H$3,0,0,'Données projet'!$E$9+1,1))</f>
        <v>277.7918215389401</v>
      </c>
      <c r="T60" s="60">
        <f t="shared" si="34"/>
        <v>164.65640238394164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212.2</v>
      </c>
      <c r="AJ60" s="14">
        <f>AI60*VLOOKUP('Données projet'!$B$10,Paramètres!$A$1:$I$89,3,0)*VLOOKUP('Données projet'!$B$10,Paramètres!$A$1:$I$89,5,0)</f>
        <v>191.99855999999997</v>
      </c>
      <c r="AK60" s="14">
        <f t="shared" si="35"/>
        <v>47.981536645873334</v>
      </c>
      <c r="AL60" s="22">
        <f t="shared" si="4"/>
        <v>417.96533499156266</v>
      </c>
      <c r="AM60" s="60">
        <f t="shared" si="5"/>
        <v>677.49197504224037</v>
      </c>
      <c r="AN60" s="60">
        <f ca="1">AVERAGE(OFFSET($AM$3,0,0,'Données projet'!$E$10+1,1))-AVERAGE(OFFSET($H$3,0,0,'Données projet'!$E$10+1,1))</f>
        <v>469.67944008675863</v>
      </c>
      <c r="AO60" s="60">
        <f t="shared" si="36"/>
        <v>266.11908070867173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>
        <f>BD60*VLOOKUP('Données projet'!$B$11,Paramètres!$A$1:$I$89,3,0)*VLOOKUP('Données projet'!$B$11,Paramètres!$A$1:$I$89,5,0)</f>
        <v>0</v>
      </c>
      <c r="BF60" s="14" t="e">
        <f t="shared" si="37"/>
        <v>#NUM!</v>
      </c>
      <c r="BG60" s="22" t="e">
        <f t="shared" si="7"/>
        <v>#NUM!</v>
      </c>
      <c r="BH60" s="60" t="e">
        <f t="shared" si="8"/>
        <v>#NUM!</v>
      </c>
      <c r="BI60" s="60">
        <f ca="1">AVERAGE(OFFSET($BH$3,0,0,'Données projet'!$E$11+1,1))-AVERAGE(OFFSET($H$3,0,0,'Données projet'!$E$11+1,1))</f>
        <v>216.36762889365235</v>
      </c>
      <c r="BJ60" s="60">
        <f t="shared" si="38"/>
        <v>333.29599352215496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7.9093538241832775</v>
      </c>
      <c r="BQ60" s="23">
        <f>EXP(-LN(2)/25)*BQ59+(1-EXP(-LN(2)/25))/(LN(2)/25)*Calculateur!BL60*Calculateur!BN60*VLOOKUP('Données projet'!$B$11,Paramètres!$A$1:$I$89,3,0)*0.475*44/12</f>
        <v>4.6117536585666636</v>
      </c>
      <c r="BR60" s="23">
        <f>EXP(-LN(2)/2)*BR59+(1-EXP(-LN(2)/2))/(LN(2)/2)*BL60*BO60*VLOOKUP('Données projet'!$B$11,Paramètres!$A$1:$I$89,3,0)*0.475*44/12</f>
        <v>2.5242708197959049E-4</v>
      </c>
      <c r="BS60" s="24">
        <f t="shared" si="9"/>
        <v>12.52135990983192</v>
      </c>
      <c r="BT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7.6</v>
      </c>
      <c r="BY60" s="13">
        <f>IF('Données projet'!$A$114&gt;35,BY59+BX60-CG59,IF(A60&lt;'Données projet'!$A$114,$BV$205^A60,IF(A60='Données projet'!$A$114,'Données projet'!$B$114,BY59+BX60-CG59)))</f>
        <v>212.2</v>
      </c>
      <c r="BZ60" s="14">
        <f>BY60*VLOOKUP('Données projet'!$B$12,Paramètres!$A$1:$I$89,3,0)*VLOOKUP('Données projet'!$B$12,Paramètres!$A$1:$I$89,5,0)</f>
        <v>205.23983999999999</v>
      </c>
      <c r="CA60" s="14">
        <f t="shared" si="39"/>
        <v>50.893986960458122</v>
      </c>
      <c r="CB60" s="22">
        <f t="shared" si="10"/>
        <v>446.0997486227979</v>
      </c>
      <c r="CC60" s="60">
        <f t="shared" si="11"/>
        <v>705.62638867347562</v>
      </c>
      <c r="CD60" s="60">
        <f ca="1">AVERAGE(OFFSET($CC$3,0,0,'Données projet'!$E$12+1,1))-AVERAGE(OFFSET($H$3,0,0,'Données projet'!$E$12+1,1))</f>
        <v>496.33873798282525</v>
      </c>
      <c r="CE60" s="60">
        <f t="shared" si="40"/>
        <v>280.25465074992246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7.6</v>
      </c>
      <c r="CT60" s="13">
        <f>IF('Données projet'!$A$140&gt;35,CT59+CS60-DB59,IF(A60&lt;'Données projet'!$A$140,$CQ$205^A60,IF(A60='Données projet'!$A$140,'Données projet'!$B$140,CT59+CS60-DB59)))</f>
        <v>212.2</v>
      </c>
      <c r="CU60" s="18">
        <f>CT60*VLOOKUP('Données projet'!$B$13,Paramètres!$A$1:$I$89,3,0)*VLOOKUP('Données projet'!$B$13,Paramètres!$A$1:$I$89,5,0)</f>
        <v>228.41207999999997</v>
      </c>
      <c r="CV60" s="14">
        <f t="shared" si="41"/>
        <v>55.939197785226767</v>
      </c>
      <c r="CW60" s="22">
        <f t="shared" si="13"/>
        <v>495.24514214260324</v>
      </c>
      <c r="CX60" s="60">
        <f t="shared" si="14"/>
        <v>754.77178219328096</v>
      </c>
      <c r="CY60" s="60">
        <f ca="1">AVERAGE(OFFSET($CX$3,0,0,'Données projet'!$E$13+1,1))-AVERAGE(OFFSET($H$3,0,0,'Données projet'!$E$13+1,1))</f>
        <v>542.90832990875208</v>
      </c>
      <c r="CZ60" s="60">
        <f t="shared" si="42"/>
        <v>304.94365539329362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0" t="e">
        <f t="shared" si="17"/>
        <v>#N/A</v>
      </c>
      <c r="DT60" s="60" t="e">
        <f ca="1">AVERAGE(OFFSET($DS$3,0,0,'Données projet'!$E$14+1,1))-AVERAGE(OFFSET($H$3,0,0,'Données projet'!$E$14+1,1))</f>
        <v>#N/A</v>
      </c>
      <c r="DU60" s="60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0" t="e">
        <f t="shared" si="20"/>
        <v>#N/A</v>
      </c>
      <c r="EO60" s="60" t="e">
        <f ca="1">AVERAGE(OFFSET($EN$3,0,0,'Données projet'!$E$15+1,1))-AVERAGE(OFFSET($H$3,0,0,'Données projet'!$E$15+1,1))</f>
        <v>#N/A</v>
      </c>
      <c r="EP60" s="60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0" t="e">
        <f t="shared" si="23"/>
        <v>#N/A</v>
      </c>
      <c r="FJ60" s="60" t="e">
        <f ca="1">AVERAGE(OFFSET($FI$3,0,0,'Données projet'!$E$16+1,1))-AVERAGE(OFFSET($H$3,0,0,'Données projet'!$E$16+1,1))</f>
        <v>#N/A</v>
      </c>
      <c r="FK60" s="60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0" t="e">
        <f t="shared" si="26"/>
        <v>#N/A</v>
      </c>
      <c r="GE60" s="60" t="e">
        <f ca="1">AVERAGE(OFFSET($GD$3,0,0,'Données projet'!$E$17+1,1))-AVERAGE(OFFSET($H$3,0,0,'Données projet'!$E$17+1,1))</f>
        <v>#N/A</v>
      </c>
      <c r="GF60" s="60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4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10.784615384615382</v>
      </c>
      <c r="N61" s="14">
        <f>IF('Données projet'!$A$36&gt;35,N60+M61-V60,IF(A61&lt;'Données projet'!$A$36,$K$205^A61,IF(A61='Données projet'!$A$36,'Données projet'!$B$36,N60+M61-V60)))</f>
        <v>295.83076923076931</v>
      </c>
      <c r="O61" s="14">
        <f>N61*VLOOKUP('Données projet'!$B$9,Paramètres!$A$1:$I$89,3,0)*VLOOKUP('Données projet'!$B$9,Paramètres!$A$1:$I$89,5,0)</f>
        <v>138.44880000000003</v>
      </c>
      <c r="P61" s="14">
        <f t="shared" si="33"/>
        <v>35.941417252409821</v>
      </c>
      <c r="Q61" s="22">
        <f t="shared" si="53"/>
        <v>303.72962838128052</v>
      </c>
      <c r="R61" s="60">
        <f t="shared" si="0"/>
        <v>563.842738979969</v>
      </c>
      <c r="S61" s="60">
        <f ca="1">AVERAGE(OFFSET($R$3,0,0,'Données projet'!$E$9+1,1))-AVERAGE(OFFSET($H$3,0,0,'Données projet'!$E$9+1,1))</f>
        <v>277.7918215389401</v>
      </c>
      <c r="T61" s="60">
        <f t="shared" si="34"/>
        <v>164.65640238394164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219.79999999999998</v>
      </c>
      <c r="AJ61" s="14">
        <f>AI61*VLOOKUP('Données projet'!$B$10,Paramètres!$A$1:$I$89,3,0)*VLOOKUP('Données projet'!$B$10,Paramètres!$A$1:$I$89,5,0)</f>
        <v>198.87503999999998</v>
      </c>
      <c r="AK61" s="14">
        <f t="shared" si="35"/>
        <v>49.496854461868558</v>
      </c>
      <c r="AL61" s="22">
        <f t="shared" si="4"/>
        <v>432.58104952108766</v>
      </c>
      <c r="AM61" s="60">
        <f t="shared" si="5"/>
        <v>692.69416011977614</v>
      </c>
      <c r="AN61" s="60">
        <f ca="1">AVERAGE(OFFSET($AM$3,0,0,'Données projet'!$E$10+1,1))-AVERAGE(OFFSET($H$3,0,0,'Données projet'!$E$10+1,1))</f>
        <v>469.67944008675863</v>
      </c>
      <c r="AO61" s="60">
        <f t="shared" si="36"/>
        <v>266.11908070867173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>
        <f>BD61*VLOOKUP('Données projet'!$B$11,Paramètres!$A$1:$I$89,3,0)*VLOOKUP('Données projet'!$B$11,Paramètres!$A$1:$I$89,5,0)</f>
        <v>0</v>
      </c>
      <c r="BF61" s="14" t="e">
        <f t="shared" si="37"/>
        <v>#NUM!</v>
      </c>
      <c r="BG61" s="22" t="e">
        <f t="shared" si="7"/>
        <v>#NUM!</v>
      </c>
      <c r="BH61" s="60" t="e">
        <f t="shared" si="8"/>
        <v>#NUM!</v>
      </c>
      <c r="BI61" s="60">
        <f ca="1">AVERAGE(OFFSET($BH$3,0,0,'Données projet'!$E$11+1,1))-AVERAGE(OFFSET($H$3,0,0,'Données projet'!$E$11+1,1))</f>
        <v>216.36762889365235</v>
      </c>
      <c r="BJ61" s="60">
        <f t="shared" si="38"/>
        <v>333.29599352215496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7.7542562199205234</v>
      </c>
      <c r="BQ61" s="23">
        <f>EXP(-LN(2)/25)*BQ60+(1-EXP(-LN(2)/25))/(LN(2)/25)*Calculateur!BL61*Calculateur!BN61*VLOOKUP('Données projet'!$B$11,Paramètres!$A$1:$I$89,3,0)*0.475*44/12</f>
        <v>4.4856450122515739</v>
      </c>
      <c r="BR61" s="23">
        <f>EXP(-LN(2)/2)*BR60+(1-EXP(-LN(2)/2))/(LN(2)/2)*BL61*BO61*VLOOKUP('Données projet'!$B$11,Paramètres!$A$1:$I$89,3,0)*0.475*44/12</f>
        <v>1.7849290142290099E-4</v>
      </c>
      <c r="BS61" s="24">
        <f t="shared" si="9"/>
        <v>12.240079725073521</v>
      </c>
      <c r="BT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7.6</v>
      </c>
      <c r="BY61" s="13">
        <f>IF('Données projet'!$A$114&gt;35,BY60+BX61-CG60,IF(A61&lt;'Données projet'!$A$114,$BV$205^A61,IF(A61='Données projet'!$A$114,'Données projet'!$B$114,BY60+BX61-CG60)))</f>
        <v>219.79999999999998</v>
      </c>
      <c r="BZ61" s="14">
        <f>BY61*VLOOKUP('Données projet'!$B$12,Paramètres!$A$1:$I$89,3,0)*VLOOKUP('Données projet'!$B$12,Paramètres!$A$1:$I$89,5,0)</f>
        <v>212.59055999999998</v>
      </c>
      <c r="CA61" s="14">
        <f t="shared" si="39"/>
        <v>52.501283653296404</v>
      </c>
      <c r="CB61" s="22">
        <f t="shared" si="10"/>
        <v>461.70162769615786</v>
      </c>
      <c r="CC61" s="60">
        <f t="shared" si="11"/>
        <v>721.81473829484628</v>
      </c>
      <c r="CD61" s="60">
        <f ca="1">AVERAGE(OFFSET($CC$3,0,0,'Données projet'!$E$12+1,1))-AVERAGE(OFFSET($H$3,0,0,'Données projet'!$E$12+1,1))</f>
        <v>496.33873798282525</v>
      </c>
      <c r="CE61" s="60">
        <f t="shared" si="40"/>
        <v>280.25465074992246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7.6</v>
      </c>
      <c r="CT61" s="13">
        <f>IF('Données projet'!$A$140&gt;35,CT60+CS61-DB60,IF(A61&lt;'Données projet'!$A$140,$CQ$205^A61,IF(A61='Données projet'!$A$140,'Données projet'!$B$140,CT60+CS61-DB60)))</f>
        <v>219.79999999999998</v>
      </c>
      <c r="CU61" s="18">
        <f>CT61*VLOOKUP('Données projet'!$B$13,Paramètres!$A$1:$I$89,3,0)*VLOOKUP('Données projet'!$B$13,Paramètres!$A$1:$I$89,5,0)</f>
        <v>236.59271999999999</v>
      </c>
      <c r="CV61" s="14">
        <f t="shared" si="41"/>
        <v>57.705828638299394</v>
      </c>
      <c r="CW61" s="22">
        <f t="shared" si="13"/>
        <v>512.56997221170479</v>
      </c>
      <c r="CX61" s="60">
        <f t="shared" si="14"/>
        <v>772.68308281039322</v>
      </c>
      <c r="CY61" s="60">
        <f ca="1">AVERAGE(OFFSET($CX$3,0,0,'Données projet'!$E$13+1,1))-AVERAGE(OFFSET($H$3,0,0,'Données projet'!$E$13+1,1))</f>
        <v>542.90832990875208</v>
      </c>
      <c r="CZ61" s="60">
        <f t="shared" si="42"/>
        <v>304.94365539329362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0" t="e">
        <f t="shared" si="17"/>
        <v>#N/A</v>
      </c>
      <c r="DT61" s="60" t="e">
        <f ca="1">AVERAGE(OFFSET($DS$3,0,0,'Données projet'!$E$14+1,1))-AVERAGE(OFFSET($H$3,0,0,'Données projet'!$E$14+1,1))</f>
        <v>#N/A</v>
      </c>
      <c r="DU61" s="60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0" t="e">
        <f t="shared" si="20"/>
        <v>#N/A</v>
      </c>
      <c r="EO61" s="60" t="e">
        <f ca="1">AVERAGE(OFFSET($EN$3,0,0,'Données projet'!$E$15+1,1))-AVERAGE(OFFSET($H$3,0,0,'Données projet'!$E$15+1,1))</f>
        <v>#N/A</v>
      </c>
      <c r="EP61" s="60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0" t="e">
        <f t="shared" si="23"/>
        <v>#N/A</v>
      </c>
      <c r="FJ61" s="60" t="e">
        <f ca="1">AVERAGE(OFFSET($FI$3,0,0,'Données projet'!$E$16+1,1))-AVERAGE(OFFSET($H$3,0,0,'Données projet'!$E$16+1,1))</f>
        <v>#N/A</v>
      </c>
      <c r="FK61" s="60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0" t="e">
        <f t="shared" si="26"/>
        <v>#N/A</v>
      </c>
      <c r="GE61" s="60" t="e">
        <f ca="1">AVERAGE(OFFSET($GD$3,0,0,'Données projet'!$E$17+1,1))-AVERAGE(OFFSET($H$3,0,0,'Données projet'!$E$17+1,1))</f>
        <v>#N/A</v>
      </c>
      <c r="GF61" s="60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4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10.784615384615382</v>
      </c>
      <c r="N62" s="14">
        <f>IF('Données projet'!$A$36&gt;35,N61+M62-V61,IF(A62&lt;'Données projet'!$A$36,$K$205^A62,IF(A62='Données projet'!$A$36,'Données projet'!$B$36,N61+M62-V61)))</f>
        <v>306.6153846153847</v>
      </c>
      <c r="O62" s="14">
        <f>N62*VLOOKUP('Données projet'!$B$9,Paramètres!$A$1:$I$89,3,0)*VLOOKUP('Données projet'!$B$9,Paramètres!$A$1:$I$89,5,0)</f>
        <v>143.49600000000004</v>
      </c>
      <c r="P62" s="14">
        <f t="shared" si="33"/>
        <v>37.096736722926138</v>
      </c>
      <c r="Q62" s="22">
        <f t="shared" si="53"/>
        <v>314.53234979242978</v>
      </c>
      <c r="R62" s="60">
        <f t="shared" si="0"/>
        <v>575.22175698627257</v>
      </c>
      <c r="S62" s="60">
        <f ca="1">AVERAGE(OFFSET($R$3,0,0,'Données projet'!$E$9+1,1))-AVERAGE(OFFSET($H$3,0,0,'Données projet'!$E$9+1,1))</f>
        <v>277.7918215389401</v>
      </c>
      <c r="T62" s="60">
        <f t="shared" si="34"/>
        <v>164.65640238394164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227.39999999999998</v>
      </c>
      <c r="AJ62" s="14">
        <f>AI62*VLOOKUP('Données projet'!$B$10,Paramètres!$A$1:$I$89,3,0)*VLOOKUP('Données projet'!$B$10,Paramètres!$A$1:$I$89,5,0)</f>
        <v>205.75151999999994</v>
      </c>
      <c r="AK62" s="14">
        <f t="shared" si="35"/>
        <v>51.006084477955554</v>
      </c>
      <c r="AL62" s="22">
        <f t="shared" si="4"/>
        <v>447.18616113243911</v>
      </c>
      <c r="AM62" s="60">
        <f t="shared" si="5"/>
        <v>707.87556832628184</v>
      </c>
      <c r="AN62" s="60">
        <f ca="1">AVERAGE(OFFSET($AM$3,0,0,'Données projet'!$E$10+1,1))-AVERAGE(OFFSET($H$3,0,0,'Données projet'!$E$10+1,1))</f>
        <v>469.67944008675863</v>
      </c>
      <c r="AO62" s="60">
        <f t="shared" si="36"/>
        <v>266.11908070867173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>
        <f>BD62*VLOOKUP('Données projet'!$B$11,Paramètres!$A$1:$I$89,3,0)*VLOOKUP('Données projet'!$B$11,Paramètres!$A$1:$I$89,5,0)</f>
        <v>0</v>
      </c>
      <c r="BF62" s="14" t="e">
        <f t="shared" si="37"/>
        <v>#NUM!</v>
      </c>
      <c r="BG62" s="22" t="e">
        <f t="shared" si="7"/>
        <v>#NUM!</v>
      </c>
      <c r="BH62" s="60" t="e">
        <f t="shared" si="8"/>
        <v>#NUM!</v>
      </c>
      <c r="BI62" s="60">
        <f ca="1">AVERAGE(OFFSET($BH$3,0,0,'Données projet'!$E$11+1,1))-AVERAGE(OFFSET($H$3,0,0,'Données projet'!$E$11+1,1))</f>
        <v>216.36762889365235</v>
      </c>
      <c r="BJ62" s="60">
        <f t="shared" si="38"/>
        <v>333.29599352215496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7.6021999850771635</v>
      </c>
      <c r="BQ62" s="23">
        <f>EXP(-LN(2)/25)*BQ61+(1-EXP(-LN(2)/25))/(LN(2)/25)*Calculateur!BL62*Calculateur!BN62*VLOOKUP('Données projet'!$B$11,Paramètres!$A$1:$I$89,3,0)*0.475*44/12</f>
        <v>4.3629848135017353</v>
      </c>
      <c r="BR62" s="23">
        <f>EXP(-LN(2)/2)*BR61+(1-EXP(-LN(2)/2))/(LN(2)/2)*BL62*BO62*VLOOKUP('Données projet'!$B$11,Paramètres!$A$1:$I$89,3,0)*0.475*44/12</f>
        <v>1.2621354098979524E-4</v>
      </c>
      <c r="BS62" s="24">
        <f t="shared" si="9"/>
        <v>11.965311012119889</v>
      </c>
      <c r="BT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7.6</v>
      </c>
      <c r="BY62" s="13">
        <f>IF('Données projet'!$A$114&gt;35,BY61+BX62-CG61,IF(A62&lt;'Données projet'!$A$114,$BV$205^A62,IF(A62='Données projet'!$A$114,'Données projet'!$B$114,BY61+BX62-CG61)))</f>
        <v>227.39999999999998</v>
      </c>
      <c r="BZ62" s="14">
        <f>BY62*VLOOKUP('Données projet'!$B$12,Paramètres!$A$1:$I$89,3,0)*VLOOKUP('Données projet'!$B$12,Paramètres!$A$1:$I$89,5,0)</f>
        <v>219.94127999999995</v>
      </c>
      <c r="CA62" s="14">
        <f t="shared" si="39"/>
        <v>54.102123020446285</v>
      </c>
      <c r="CB62" s="22">
        <f t="shared" si="10"/>
        <v>477.29226026061059</v>
      </c>
      <c r="CC62" s="60">
        <f t="shared" si="11"/>
        <v>737.98166745445337</v>
      </c>
      <c r="CD62" s="60">
        <f ca="1">AVERAGE(OFFSET($CC$3,0,0,'Données projet'!$E$12+1,1))-AVERAGE(OFFSET($H$3,0,0,'Données projet'!$E$12+1,1))</f>
        <v>496.33873798282525</v>
      </c>
      <c r="CE62" s="60">
        <f t="shared" si="40"/>
        <v>280.25465074992246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7.6</v>
      </c>
      <c r="CT62" s="13">
        <f>IF('Données projet'!$A$140&gt;35,CT61+CS62-DB61,IF(A62&lt;'Données projet'!$A$140,$CQ$205^A62,IF(A62='Données projet'!$A$140,'Données projet'!$B$140,CT61+CS62-DB61)))</f>
        <v>227.39999999999998</v>
      </c>
      <c r="CU62" s="18">
        <f>CT62*VLOOKUP('Données projet'!$B$13,Paramètres!$A$1:$I$89,3,0)*VLOOKUP('Données projet'!$B$13,Paramètres!$A$1:$I$89,5,0)</f>
        <v>244.77335999999997</v>
      </c>
      <c r="CV62" s="14">
        <f t="shared" si="41"/>
        <v>59.465362039582196</v>
      </c>
      <c r="CW62" s="22">
        <f t="shared" si="13"/>
        <v>529.88244088560566</v>
      </c>
      <c r="CX62" s="60">
        <f t="shared" si="14"/>
        <v>790.5718480794485</v>
      </c>
      <c r="CY62" s="60">
        <f ca="1">AVERAGE(OFFSET($CX$3,0,0,'Données projet'!$E$13+1,1))-AVERAGE(OFFSET($H$3,0,0,'Données projet'!$E$13+1,1))</f>
        <v>542.90832990875208</v>
      </c>
      <c r="CZ62" s="60">
        <f t="shared" si="42"/>
        <v>304.94365539329362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0" t="e">
        <f t="shared" si="17"/>
        <v>#N/A</v>
      </c>
      <c r="DT62" s="60" t="e">
        <f ca="1">AVERAGE(OFFSET($DS$3,0,0,'Données projet'!$E$14+1,1))-AVERAGE(OFFSET($H$3,0,0,'Données projet'!$E$14+1,1))</f>
        <v>#N/A</v>
      </c>
      <c r="DU62" s="60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0" t="e">
        <f t="shared" si="20"/>
        <v>#N/A</v>
      </c>
      <c r="EO62" s="60" t="e">
        <f ca="1">AVERAGE(OFFSET($EN$3,0,0,'Données projet'!$E$15+1,1))-AVERAGE(OFFSET($H$3,0,0,'Données projet'!$E$15+1,1))</f>
        <v>#N/A</v>
      </c>
      <c r="EP62" s="60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0" t="e">
        <f t="shared" si="23"/>
        <v>#N/A</v>
      </c>
      <c r="FJ62" s="60" t="e">
        <f ca="1">AVERAGE(OFFSET($FI$3,0,0,'Données projet'!$E$16+1,1))-AVERAGE(OFFSET($H$3,0,0,'Données projet'!$E$16+1,1))</f>
        <v>#N/A</v>
      </c>
      <c r="FK62" s="60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0" t="e">
        <f t="shared" si="26"/>
        <v>#N/A</v>
      </c>
      <c r="GE62" s="60" t="e">
        <f ca="1">AVERAGE(OFFSET($GD$3,0,0,'Données projet'!$E$17+1,1))-AVERAGE(OFFSET($H$3,0,0,'Données projet'!$E$17+1,1))</f>
        <v>#N/A</v>
      </c>
      <c r="GF62" s="60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4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317.39999999999998</v>
      </c>
      <c r="L63" s="13">
        <f>VLOOKUP(A63,'Données projet'!$A$35:$I$55,9,0)</f>
        <v>10.784615384615382</v>
      </c>
      <c r="M63" s="13">
        <f t="array" ref="M63">INDEX(L:L,MIN(IF(ISNUMBER(L63:L259),ROW(L63:L259),"")))</f>
        <v>10.784615384615382</v>
      </c>
      <c r="N63" s="14">
        <f>IF('Données projet'!$A$36&gt;35,N62+M63-V62,IF(A63&lt;'Données projet'!$A$36,$K$205^A63,IF(A63='Données projet'!$A$36,'Données projet'!$B$36,N62+M63-V62)))</f>
        <v>317.40000000000009</v>
      </c>
      <c r="O63" s="14">
        <f>N63*VLOOKUP('Données projet'!$B$9,Paramètres!$A$1:$I$89,3,0)*VLOOKUP('Données projet'!$B$9,Paramètres!$A$1:$I$89,5,0)</f>
        <v>148.54320000000004</v>
      </c>
      <c r="P63" s="14">
        <f t="shared" si="33"/>
        <v>38.247334783976747</v>
      </c>
      <c r="Q63" s="22">
        <f t="shared" si="53"/>
        <v>325.32684808209291</v>
      </c>
      <c r="R63" s="60">
        <f t="shared" si="0"/>
        <v>586.58255441357039</v>
      </c>
      <c r="S63" s="60">
        <f ca="1">AVERAGE(OFFSET($R$3,0,0,'Données projet'!$E$9+1,1))-AVERAGE(OFFSET($H$3,0,0,'Données projet'!$E$9+1,1))</f>
        <v>277.7918215389401</v>
      </c>
      <c r="T63" s="60">
        <f t="shared" si="34"/>
        <v>164.65640238394164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235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234.99999999999997</v>
      </c>
      <c r="AJ63" s="14">
        <f>AI63*VLOOKUP('Données projet'!$B$10,Paramètres!$A$1:$I$89,3,0)*VLOOKUP('Données projet'!$B$10,Paramètres!$A$1:$I$89,5,0)</f>
        <v>212.62799999999999</v>
      </c>
      <c r="AK63" s="14">
        <f t="shared" si="35"/>
        <v>52.509453483719035</v>
      </c>
      <c r="AL63" s="22">
        <f t="shared" si="4"/>
        <v>461.78106481747727</v>
      </c>
      <c r="AM63" s="60">
        <f t="shared" si="5"/>
        <v>723.03677114895481</v>
      </c>
      <c r="AN63" s="60">
        <f ca="1">AVERAGE(OFFSET($AM$3,0,0,'Données projet'!$E$10+1,1))-AVERAGE(OFFSET($H$3,0,0,'Données projet'!$E$10+1,1))</f>
        <v>469.67944008675863</v>
      </c>
      <c r="AO63" s="60">
        <f t="shared" si="36"/>
        <v>266.11908070867173</v>
      </c>
      <c r="AP63" s="16">
        <f>IF(ISNA(VLOOKUP(A63,'Données projet'!$A$61:$I$81,3,0)),0,VLOOKUP(A63,'Données projet'!$A$61:$I$81,3,0))</f>
        <v>4</v>
      </c>
      <c r="AQ63" s="16">
        <f>IF(ISNA(VLOOKUP(A63,'Données projet'!$A$61:$I$81,4,0)),0,VLOOKUP(A63,'Données projet'!$A$61:$I$81,4,0))</f>
        <v>42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>
        <f>BD63*VLOOKUP('Données projet'!$B$11,Paramètres!$A$1:$I$89,3,0)*VLOOKUP('Données projet'!$B$11,Paramètres!$A$1:$I$89,5,0)</f>
        <v>0</v>
      </c>
      <c r="BF63" s="14" t="e">
        <f t="shared" si="37"/>
        <v>#NUM!</v>
      </c>
      <c r="BG63" s="22" t="e">
        <f t="shared" si="7"/>
        <v>#NUM!</v>
      </c>
      <c r="BH63" s="60" t="e">
        <f t="shared" si="8"/>
        <v>#NUM!</v>
      </c>
      <c r="BI63" s="60">
        <f ca="1">AVERAGE(OFFSET($BH$3,0,0,'Données projet'!$E$11+1,1))-AVERAGE(OFFSET($H$3,0,0,'Données projet'!$E$11+1,1))</f>
        <v>216.36762889365235</v>
      </c>
      <c r="BJ63" s="60">
        <f t="shared" si="38"/>
        <v>333.29599352215496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7.4531254802539371</v>
      </c>
      <c r="BQ63" s="23">
        <f>EXP(-LN(2)/25)*BQ62+(1-EXP(-LN(2)/25))/(LN(2)/25)*Calculateur!BL63*Calculateur!BN63*VLOOKUP('Données projet'!$B$11,Paramètres!$A$1:$I$89,3,0)*0.475*44/12</f>
        <v>4.2436787643371305</v>
      </c>
      <c r="BR63" s="23">
        <f>EXP(-LN(2)/2)*BR62+(1-EXP(-LN(2)/2))/(LN(2)/2)*BL63*BO63*VLOOKUP('Données projet'!$B$11,Paramètres!$A$1:$I$89,3,0)*0.475*44/12</f>
        <v>8.9246450711450494E-5</v>
      </c>
      <c r="BS63" s="24">
        <f t="shared" si="9"/>
        <v>11.696893491041779</v>
      </c>
      <c r="BT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235</v>
      </c>
      <c r="BW63" s="13">
        <f>VLOOKUP(A63,'Données projet'!$A$113:$I$133,9,0)</f>
        <v>7.6</v>
      </c>
      <c r="BX63" s="13">
        <f t="array" ref="BX63">INDEX(BW:BW,MIN(IF(ISNUMBER(BW63:BW259),ROW(BW63:BW259),"")))</f>
        <v>7.6</v>
      </c>
      <c r="BY63" s="13">
        <f>IF('Données projet'!$A$114&gt;35,BY62+BX63-CG62,IF(A63&lt;'Données projet'!$A$114,$BV$205^A63,IF(A63='Données projet'!$A$114,'Données projet'!$B$114,BY62+BX63-CG62)))</f>
        <v>234.99999999999997</v>
      </c>
      <c r="BZ63" s="14">
        <f>BY63*VLOOKUP('Données projet'!$B$12,Paramètres!$A$1:$I$89,3,0)*VLOOKUP('Données projet'!$B$12,Paramètres!$A$1:$I$89,5,0)</f>
        <v>227.292</v>
      </c>
      <c r="CA63" s="14">
        <f t="shared" si="39"/>
        <v>55.6967456174837</v>
      </c>
      <c r="CB63" s="22">
        <f t="shared" si="10"/>
        <v>492.87206528378402</v>
      </c>
      <c r="CC63" s="60">
        <f t="shared" si="11"/>
        <v>754.12777161526151</v>
      </c>
      <c r="CD63" s="60">
        <f ca="1">AVERAGE(OFFSET($CC$3,0,0,'Données projet'!$E$12+1,1))-AVERAGE(OFFSET($H$3,0,0,'Données projet'!$E$12+1,1))</f>
        <v>496.33873798282525</v>
      </c>
      <c r="CE63" s="60">
        <f t="shared" si="40"/>
        <v>280.25465074992246</v>
      </c>
      <c r="CF63" s="16">
        <f>IF(ISNA(VLOOKUP(A63,'Données projet'!$A$113:$I$133,3,0)),0,VLOOKUP(A63,'Données projet'!$A$113:$I$133,3,0))</f>
        <v>4</v>
      </c>
      <c r="CG63" s="16">
        <f>IF(ISNA(VLOOKUP(A63,'Données projet'!$A$113:$I$133,4,0)),0,VLOOKUP(A63,'Données projet'!$A$113:$I$133,4,0))</f>
        <v>42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235</v>
      </c>
      <c r="CR63" s="13">
        <f>VLOOKUP(A63,'Données projet'!$A$139:$I$159,9,0)</f>
        <v>7.6</v>
      </c>
      <c r="CS63" s="13">
        <f t="array" ref="CS63">INDEX(CR:CR,MIN(IF(ISNUMBER(CR63:CR259),ROW(CR63:CR259),"")))</f>
        <v>7.6</v>
      </c>
      <c r="CT63" s="13">
        <f>IF('Données projet'!$A$140&gt;35,CT62+CS63-DB62,IF(A63&lt;'Données projet'!$A$140,$CQ$205^A63,IF(A63='Données projet'!$A$140,'Données projet'!$B$140,CT62+CS63-DB62)))</f>
        <v>234.99999999999997</v>
      </c>
      <c r="CU63" s="18">
        <f>CT63*VLOOKUP('Données projet'!$B$13,Paramètres!$A$1:$I$89,3,0)*VLOOKUP('Données projet'!$B$13,Paramètres!$A$1:$I$89,5,0)</f>
        <v>252.95399999999998</v>
      </c>
      <c r="CV63" s="14">
        <f t="shared" si="41"/>
        <v>61.218062391350081</v>
      </c>
      <c r="CW63" s="22">
        <f t="shared" si="13"/>
        <v>547.18300866493462</v>
      </c>
      <c r="CX63" s="60">
        <f t="shared" si="14"/>
        <v>808.43871499641205</v>
      </c>
      <c r="CY63" s="60">
        <f ca="1">AVERAGE(OFFSET($CX$3,0,0,'Données projet'!$E$13+1,1))-AVERAGE(OFFSET($H$3,0,0,'Données projet'!$E$13+1,1))</f>
        <v>542.90832990875208</v>
      </c>
      <c r="CZ63" s="60">
        <f t="shared" si="42"/>
        <v>304.94365539329362</v>
      </c>
      <c r="DA63" s="16">
        <f>IF(ISNA(VLOOKUP(A63,'Données projet'!$A$139:$I$159,3,0)),0,VLOOKUP(A63,'Données projet'!$A$139:$I$159,3,0))</f>
        <v>4</v>
      </c>
      <c r="DB63" s="16">
        <f>IF(ISNA(VLOOKUP(A63,'Données projet'!$A$139:$I$159,4,0)),0,VLOOKUP(A63,'Données projet'!$A$139:$I$159,4,0))</f>
        <v>42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0" t="e">
        <f t="shared" si="17"/>
        <v>#N/A</v>
      </c>
      <c r="DT63" s="60" t="e">
        <f ca="1">AVERAGE(OFFSET($DS$3,0,0,'Données projet'!$E$14+1,1))-AVERAGE(OFFSET($H$3,0,0,'Données projet'!$E$14+1,1))</f>
        <v>#N/A</v>
      </c>
      <c r="DU63" s="60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0" t="e">
        <f t="shared" si="20"/>
        <v>#N/A</v>
      </c>
      <c r="EO63" s="60" t="e">
        <f ca="1">AVERAGE(OFFSET($EN$3,0,0,'Données projet'!$E$15+1,1))-AVERAGE(OFFSET($H$3,0,0,'Données projet'!$E$15+1,1))</f>
        <v>#N/A</v>
      </c>
      <c r="EP63" s="60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0" t="e">
        <f t="shared" si="23"/>
        <v>#N/A</v>
      </c>
      <c r="FJ63" s="60" t="e">
        <f ca="1">AVERAGE(OFFSET($FI$3,0,0,'Données projet'!$E$16+1,1))-AVERAGE(OFFSET($H$3,0,0,'Données projet'!$E$16+1,1))</f>
        <v>#N/A</v>
      </c>
      <c r="FK63" s="60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0" t="e">
        <f t="shared" si="26"/>
        <v>#N/A</v>
      </c>
      <c r="GE63" s="60" t="e">
        <f ca="1">AVERAGE(OFFSET($GD$3,0,0,'Données projet'!$E$17+1,1))-AVERAGE(OFFSET($H$3,0,0,'Données projet'!$E$17+1,1))</f>
        <v>#N/A</v>
      </c>
      <c r="GF63" s="60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4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11.097435897435901</v>
      </c>
      <c r="N64" s="14">
        <f>IF('Données projet'!$A$36&gt;35,N63+M64-V63,IF(A64&lt;'Données projet'!$A$36,$K$205^A64,IF(A64='Données projet'!$A$36,'Données projet'!$B$36,N63+M64-V63)))</f>
        <v>328.49743589743599</v>
      </c>
      <c r="O64" s="14">
        <f>N64*VLOOKUP('Données projet'!$B$9,Paramètres!$A$1:$I$89,3,0)*VLOOKUP('Données projet'!$B$9,Paramètres!$A$1:$I$89,5,0)</f>
        <v>153.73680000000004</v>
      </c>
      <c r="P64" s="14">
        <f t="shared" si="33"/>
        <v>39.426566857509222</v>
      </c>
      <c r="Q64" s="22">
        <f t="shared" si="53"/>
        <v>336.42619727682859</v>
      </c>
      <c r="R64" s="60">
        <f t="shared" si="0"/>
        <v>598.23837872195793</v>
      </c>
      <c r="S64" s="60">
        <f ca="1">AVERAGE(OFFSET($R$3,0,0,'Données projet'!$E$9+1,1))-AVERAGE(OFFSET($H$3,0,0,'Données projet'!$E$9+1,1))</f>
        <v>277.7918215389401</v>
      </c>
      <c r="T64" s="60">
        <f t="shared" si="34"/>
        <v>164.65640238394164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200.19999999999996</v>
      </c>
      <c r="AJ64" s="14">
        <f>AI64*VLOOKUP('Données projet'!$B$10,Paramètres!$A$1:$I$89,3,0)*VLOOKUP('Données projet'!$B$10,Paramètres!$A$1:$I$89,5,0)</f>
        <v>181.14095999999995</v>
      </c>
      <c r="AK64" s="14">
        <f t="shared" si="35"/>
        <v>45.575935320610945</v>
      </c>
      <c r="AL64" s="22">
        <f t="shared" si="4"/>
        <v>394.86525935006392</v>
      </c>
      <c r="AM64" s="60">
        <f t="shared" si="5"/>
        <v>656.67744079519321</v>
      </c>
      <c r="AN64" s="60">
        <f ca="1">AVERAGE(OFFSET($AM$3,0,0,'Données projet'!$E$10+1,1))-AVERAGE(OFFSET($H$3,0,0,'Données projet'!$E$10+1,1))</f>
        <v>469.67944008675863</v>
      </c>
      <c r="AO64" s="60">
        <f t="shared" si="36"/>
        <v>266.11908070867173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>
        <f>BD64*VLOOKUP('Données projet'!$B$11,Paramètres!$A$1:$I$89,3,0)*VLOOKUP('Données projet'!$B$11,Paramètres!$A$1:$I$89,5,0)</f>
        <v>0</v>
      </c>
      <c r="BF64" s="14" t="e">
        <f t="shared" si="37"/>
        <v>#NUM!</v>
      </c>
      <c r="BG64" s="22" t="e">
        <f t="shared" si="7"/>
        <v>#NUM!</v>
      </c>
      <c r="BH64" s="60" t="e">
        <f t="shared" si="8"/>
        <v>#NUM!</v>
      </c>
      <c r="BI64" s="60">
        <f ca="1">AVERAGE(OFFSET($BH$3,0,0,'Données projet'!$E$11+1,1))-AVERAGE(OFFSET($H$3,0,0,'Données projet'!$E$11+1,1))</f>
        <v>216.36762889365235</v>
      </c>
      <c r="BJ64" s="60">
        <f t="shared" si="38"/>
        <v>333.29599352215496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7.3069742355438239</v>
      </c>
      <c r="BQ64" s="23">
        <f>EXP(-LN(2)/25)*BQ63+(1-EXP(-LN(2)/25))/(LN(2)/25)*Calculateur!BL64*Calculateur!BN64*VLOOKUP('Données projet'!$B$11,Paramètres!$A$1:$I$89,3,0)*0.475*44/12</f>
        <v>4.1276351453609648</v>
      </c>
      <c r="BR64" s="23">
        <f>EXP(-LN(2)/2)*BR63+(1-EXP(-LN(2)/2))/(LN(2)/2)*BL64*BO64*VLOOKUP('Données projet'!$B$11,Paramètres!$A$1:$I$89,3,0)*0.475*44/12</f>
        <v>6.3106770494897622E-5</v>
      </c>
      <c r="BS64" s="24">
        <f t="shared" si="9"/>
        <v>11.434672487675284</v>
      </c>
      <c r="BT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7.2</v>
      </c>
      <c r="BY64" s="13">
        <f>IF('Données projet'!$A$114&gt;35,BY63+BX64-CG63,IF(A64&lt;'Données projet'!$A$114,$BV$205^A64,IF(A64='Données projet'!$A$114,'Données projet'!$B$114,BY63+BX64-CG63)))</f>
        <v>200.19999999999996</v>
      </c>
      <c r="BZ64" s="14">
        <f>BY64*VLOOKUP('Données projet'!$B$12,Paramètres!$A$1:$I$89,3,0)*VLOOKUP('Données projet'!$B$12,Paramètres!$A$1:$I$89,5,0)</f>
        <v>193.63343999999998</v>
      </c>
      <c r="CA64" s="14">
        <f t="shared" si="39"/>
        <v>48.342367086681229</v>
      </c>
      <c r="CB64" s="22">
        <f t="shared" si="10"/>
        <v>421.44119734263637</v>
      </c>
      <c r="CC64" s="60">
        <f t="shared" si="11"/>
        <v>683.25337878776577</v>
      </c>
      <c r="CD64" s="60">
        <f ca="1">AVERAGE(OFFSET($CC$3,0,0,'Données projet'!$E$12+1,1))-AVERAGE(OFFSET($H$3,0,0,'Données projet'!$E$12+1,1))</f>
        <v>496.33873798282525</v>
      </c>
      <c r="CE64" s="60">
        <f t="shared" si="40"/>
        <v>280.25465074992246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7.2</v>
      </c>
      <c r="CT64" s="13">
        <f>IF('Données projet'!$A$140&gt;35,CT63+CS64-DB63,IF(A64&lt;'Données projet'!$A$140,$CQ$205^A64,IF(A64='Données projet'!$A$140,'Données projet'!$B$140,CT63+CS64-DB63)))</f>
        <v>200.19999999999996</v>
      </c>
      <c r="CU64" s="18">
        <f>CT64*VLOOKUP('Données projet'!$B$13,Paramètres!$A$1:$I$89,3,0)*VLOOKUP('Données projet'!$B$13,Paramètres!$A$1:$I$89,5,0)</f>
        <v>215.49527999999992</v>
      </c>
      <c r="CV64" s="14">
        <f t="shared" si="41"/>
        <v>53.134631326269272</v>
      </c>
      <c r="CW64" s="22">
        <f t="shared" si="13"/>
        <v>467.86376222658549</v>
      </c>
      <c r="CX64" s="60">
        <f t="shared" si="14"/>
        <v>729.67594367171478</v>
      </c>
      <c r="CY64" s="60">
        <f ca="1">AVERAGE(OFFSET($CX$3,0,0,'Données projet'!$E$13+1,1))-AVERAGE(OFFSET($H$3,0,0,'Données projet'!$E$13+1,1))</f>
        <v>542.90832990875208</v>
      </c>
      <c r="CZ64" s="60">
        <f t="shared" si="42"/>
        <v>304.94365539329362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0" t="e">
        <f t="shared" si="17"/>
        <v>#N/A</v>
      </c>
      <c r="DT64" s="60" t="e">
        <f ca="1">AVERAGE(OFFSET($DS$3,0,0,'Données projet'!$E$14+1,1))-AVERAGE(OFFSET($H$3,0,0,'Données projet'!$E$14+1,1))</f>
        <v>#N/A</v>
      </c>
      <c r="DU64" s="60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0" t="e">
        <f t="shared" si="20"/>
        <v>#N/A</v>
      </c>
      <c r="EO64" s="60" t="e">
        <f ca="1">AVERAGE(OFFSET($EN$3,0,0,'Données projet'!$E$15+1,1))-AVERAGE(OFFSET($H$3,0,0,'Données projet'!$E$15+1,1))</f>
        <v>#N/A</v>
      </c>
      <c r="EP64" s="60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0" t="e">
        <f t="shared" si="23"/>
        <v>#N/A</v>
      </c>
      <c r="FJ64" s="60" t="e">
        <f ca="1">AVERAGE(OFFSET($FI$3,0,0,'Données projet'!$E$16+1,1))-AVERAGE(OFFSET($H$3,0,0,'Données projet'!$E$16+1,1))</f>
        <v>#N/A</v>
      </c>
      <c r="FK64" s="60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0" t="e">
        <f t="shared" si="26"/>
        <v>#N/A</v>
      </c>
      <c r="GE64" s="60" t="e">
        <f ca="1">AVERAGE(OFFSET($GD$3,0,0,'Données projet'!$E$17+1,1))-AVERAGE(OFFSET($H$3,0,0,'Données projet'!$E$17+1,1))</f>
        <v>#N/A</v>
      </c>
      <c r="GF64" s="60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4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11.097435897435901</v>
      </c>
      <c r="N65" s="14">
        <f>IF('Données projet'!$A$36&gt;35,N64+M65-V64,IF(A65&lt;'Données projet'!$A$36,$K$205^A65,IF(A65='Données projet'!$A$36,'Données projet'!$B$36,N64+M65-V64)))</f>
        <v>339.59487179487189</v>
      </c>
      <c r="O65" s="14">
        <f>N65*VLOOKUP('Données projet'!$B$9,Paramètres!$A$1:$I$89,3,0)*VLOOKUP('Données projet'!$B$9,Paramètres!$A$1:$I$89,5,0)</f>
        <v>158.93040000000005</v>
      </c>
      <c r="P65" s="14">
        <f t="shared" si="33"/>
        <v>40.60117004384621</v>
      </c>
      <c r="Q65" s="22">
        <f t="shared" si="53"/>
        <v>347.51748449303227</v>
      </c>
      <c r="R65" s="60">
        <f t="shared" si="0"/>
        <v>609.87648745268359</v>
      </c>
      <c r="S65" s="60">
        <f ca="1">AVERAGE(OFFSET($R$3,0,0,'Données projet'!$E$9+1,1))-AVERAGE(OFFSET($H$3,0,0,'Données projet'!$E$9+1,1))</f>
        <v>277.7918215389401</v>
      </c>
      <c r="T65" s="60">
        <f t="shared" si="34"/>
        <v>164.65640238394164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207.39999999999995</v>
      </c>
      <c r="AJ65" s="14">
        <f>AI65*VLOOKUP('Données projet'!$B$10,Paramètres!$A$1:$I$89,3,0)*VLOOKUP('Données projet'!$B$10,Paramètres!$A$1:$I$89,5,0)</f>
        <v>187.65551999999994</v>
      </c>
      <c r="AK65" s="14">
        <f t="shared" si="35"/>
        <v>47.021247649900147</v>
      </c>
      <c r="AL65" s="22">
        <f t="shared" si="4"/>
        <v>408.72870365690932</v>
      </c>
      <c r="AM65" s="60">
        <f t="shared" si="5"/>
        <v>671.08770661656058</v>
      </c>
      <c r="AN65" s="60">
        <f ca="1">AVERAGE(OFFSET($AM$3,0,0,'Données projet'!$E$10+1,1))-AVERAGE(OFFSET($H$3,0,0,'Données projet'!$E$10+1,1))</f>
        <v>469.67944008675863</v>
      </c>
      <c r="AO65" s="60">
        <f t="shared" si="36"/>
        <v>266.11908070867173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>
        <f>BD65*VLOOKUP('Données projet'!$B$11,Paramètres!$A$1:$I$89,3,0)*VLOOKUP('Données projet'!$B$11,Paramètres!$A$1:$I$89,5,0)</f>
        <v>0</v>
      </c>
      <c r="BF65" s="14" t="e">
        <f t="shared" si="37"/>
        <v>#NUM!</v>
      </c>
      <c r="BG65" s="22" t="e">
        <f t="shared" si="7"/>
        <v>#NUM!</v>
      </c>
      <c r="BH65" s="60" t="e">
        <f t="shared" si="8"/>
        <v>#NUM!</v>
      </c>
      <c r="BI65" s="60">
        <f ca="1">AVERAGE(OFFSET($BH$3,0,0,'Données projet'!$E$11+1,1))-AVERAGE(OFFSET($H$3,0,0,'Données projet'!$E$11+1,1))</f>
        <v>216.36762889365235</v>
      </c>
      <c r="BJ65" s="60">
        <f t="shared" si="38"/>
        <v>333.29599352215496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7.1636889275990194</v>
      </c>
      <c r="BQ65" s="23">
        <f>EXP(-LN(2)/25)*BQ64+(1-EXP(-LN(2)/25))/(LN(2)/25)*Calculateur!BL65*Calculateur!BN65*VLOOKUP('Données projet'!$B$11,Paramètres!$A$1:$I$89,3,0)*0.475*44/12</f>
        <v>4.0147647452481703</v>
      </c>
      <c r="BR65" s="23">
        <f>EXP(-LN(2)/2)*BR64+(1-EXP(-LN(2)/2))/(LN(2)/2)*BL65*BO65*VLOOKUP('Données projet'!$B$11,Paramètres!$A$1:$I$89,3,0)*0.475*44/12</f>
        <v>4.4623225355725247E-5</v>
      </c>
      <c r="BS65" s="24">
        <f t="shared" si="9"/>
        <v>11.178498296072547</v>
      </c>
      <c r="BT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7.2</v>
      </c>
      <c r="BY65" s="13">
        <f>IF('Données projet'!$A$114&gt;35,BY64+BX65-CG64,IF(A65&lt;'Données projet'!$A$114,$BV$205^A65,IF(A65='Données projet'!$A$114,'Données projet'!$B$114,BY64+BX65-CG64)))</f>
        <v>207.39999999999995</v>
      </c>
      <c r="BZ65" s="14">
        <f>BY65*VLOOKUP('Données projet'!$B$12,Paramètres!$A$1:$I$89,3,0)*VLOOKUP('Données projet'!$B$12,Paramètres!$A$1:$I$89,5,0)</f>
        <v>200.59727999999996</v>
      </c>
      <c r="CA65" s="14">
        <f t="shared" si="39"/>
        <v>49.875409002022977</v>
      </c>
      <c r="CB65" s="22">
        <f t="shared" si="10"/>
        <v>436.23993334518991</v>
      </c>
      <c r="CC65" s="60">
        <f t="shared" si="11"/>
        <v>698.59893630484123</v>
      </c>
      <c r="CD65" s="60">
        <f ca="1">AVERAGE(OFFSET($CC$3,0,0,'Données projet'!$E$12+1,1))-AVERAGE(OFFSET($H$3,0,0,'Données projet'!$E$12+1,1))</f>
        <v>496.33873798282525</v>
      </c>
      <c r="CE65" s="60">
        <f t="shared" si="40"/>
        <v>280.25465074992246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7.2</v>
      </c>
      <c r="CT65" s="13">
        <f>IF('Données projet'!$A$140&gt;35,CT64+CS65-DB64,IF(A65&lt;'Données projet'!$A$140,$CQ$205^A65,IF(A65='Données projet'!$A$140,'Données projet'!$B$140,CT64+CS65-DB64)))</f>
        <v>207.39999999999995</v>
      </c>
      <c r="CU65" s="18">
        <f>CT65*VLOOKUP('Données projet'!$B$13,Paramètres!$A$1:$I$89,3,0)*VLOOKUP('Données projet'!$B$13,Paramètres!$A$1:$I$89,5,0)</f>
        <v>223.24535999999995</v>
      </c>
      <c r="CV65" s="14">
        <f t="shared" si="41"/>
        <v>54.819646394591118</v>
      </c>
      <c r="CW65" s="22">
        <f t="shared" si="13"/>
        <v>484.29655280391279</v>
      </c>
      <c r="CX65" s="60">
        <f t="shared" si="14"/>
        <v>746.65555576356405</v>
      </c>
      <c r="CY65" s="60">
        <f ca="1">AVERAGE(OFFSET($CX$3,0,0,'Données projet'!$E$13+1,1))-AVERAGE(OFFSET($H$3,0,0,'Données projet'!$E$13+1,1))</f>
        <v>542.90832990875208</v>
      </c>
      <c r="CZ65" s="60">
        <f t="shared" si="42"/>
        <v>304.94365539329362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0" t="e">
        <f t="shared" si="17"/>
        <v>#N/A</v>
      </c>
      <c r="DT65" s="60" t="e">
        <f ca="1">AVERAGE(OFFSET($DS$3,0,0,'Données projet'!$E$14+1,1))-AVERAGE(OFFSET($H$3,0,0,'Données projet'!$E$14+1,1))</f>
        <v>#N/A</v>
      </c>
      <c r="DU65" s="60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0" t="e">
        <f t="shared" si="20"/>
        <v>#N/A</v>
      </c>
      <c r="EO65" s="60" t="e">
        <f ca="1">AVERAGE(OFFSET($EN$3,0,0,'Données projet'!$E$15+1,1))-AVERAGE(OFFSET($H$3,0,0,'Données projet'!$E$15+1,1))</f>
        <v>#N/A</v>
      </c>
      <c r="EP65" s="60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0" t="e">
        <f t="shared" si="23"/>
        <v>#N/A</v>
      </c>
      <c r="FJ65" s="60" t="e">
        <f ca="1">AVERAGE(OFFSET($FI$3,0,0,'Données projet'!$E$16+1,1))-AVERAGE(OFFSET($H$3,0,0,'Données projet'!$E$16+1,1))</f>
        <v>#N/A</v>
      </c>
      <c r="FK65" s="60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0" t="e">
        <f t="shared" si="26"/>
        <v>#N/A</v>
      </c>
      <c r="GE65" s="60" t="e">
        <f ca="1">AVERAGE(OFFSET($GD$3,0,0,'Données projet'!$E$17+1,1))-AVERAGE(OFFSET($H$3,0,0,'Données projet'!$E$17+1,1))</f>
        <v>#N/A</v>
      </c>
      <c r="GF65" s="60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4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>
        <f>VLOOKUP(A66,'Données projet'!$A$35:$I$55,2,0)</f>
        <v>350.69230769230768</v>
      </c>
      <c r="L66" s="13">
        <f>VLOOKUP(A66,'Données projet'!$A$35:$I$55,9,0)</f>
        <v>11.097435897435901</v>
      </c>
      <c r="M66" s="13">
        <f t="array" ref="M66">INDEX(L:L,MIN(IF(ISNUMBER(L66:L262),ROW(L66:L262),"")))</f>
        <v>11.097435897435901</v>
      </c>
      <c r="N66" s="14">
        <f>IF('Données projet'!$A$36&gt;35,N65+M66-V65,IF(A66&lt;'Données projet'!$A$36,$K$205^A66,IF(A66='Données projet'!$A$36,'Données projet'!$B$36,N65+M66-V65)))</f>
        <v>350.69230769230779</v>
      </c>
      <c r="O66" s="14">
        <f>N66*VLOOKUP('Données projet'!$B$9,Paramètres!$A$1:$I$89,3,0)*VLOOKUP('Données projet'!$B$9,Paramètres!$A$1:$I$89,5,0)</f>
        <v>164.12400000000005</v>
      </c>
      <c r="P66" s="14">
        <f t="shared" si="33"/>
        <v>41.771312955270567</v>
      </c>
      <c r="Q66" s="22">
        <f t="shared" si="53"/>
        <v>358.60100339709629</v>
      </c>
      <c r="R66" s="60">
        <f t="shared" si="0"/>
        <v>621.49734174050241</v>
      </c>
      <c r="S66" s="60">
        <f ca="1">AVERAGE(OFFSET($R$3,0,0,'Données projet'!$E$9+1,1))-AVERAGE(OFFSET($H$3,0,0,'Données projet'!$E$9+1,1))</f>
        <v>277.7918215389401</v>
      </c>
      <c r="T66" s="60">
        <f t="shared" si="34"/>
        <v>164.65640238394164</v>
      </c>
      <c r="U66" s="16">
        <f>IF(ISNA(VLOOKUP(A66,'Données projet'!$A$35:$I$55,3,0)),0,VLOOKUP(A66,'Données projet'!$A$35:$I$55,3,0))</f>
        <v>2</v>
      </c>
      <c r="V66" s="16">
        <f>IF(ISNA(VLOOKUP(A66,'Données projet'!$A$35:$I$55,4,0)),0,VLOOKUP(A66,'Données projet'!$A$35:$I$55,4,0))</f>
        <v>108.0923076923077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214.59999999999994</v>
      </c>
      <c r="AJ66" s="14">
        <f>AI66*VLOOKUP('Données projet'!$B$10,Paramètres!$A$1:$I$89,3,0)*VLOOKUP('Données projet'!$B$10,Paramètres!$A$1:$I$89,5,0)</f>
        <v>194.17007999999996</v>
      </c>
      <c r="AK66" s="14">
        <f t="shared" si="35"/>
        <v>48.460730182351035</v>
      </c>
      <c r="AL66" s="22">
        <f t="shared" si="4"/>
        <v>422.5819944009279</v>
      </c>
      <c r="AM66" s="60">
        <f t="shared" si="5"/>
        <v>685.47833274433401</v>
      </c>
      <c r="AN66" s="60">
        <f ca="1">AVERAGE(OFFSET($AM$3,0,0,'Données projet'!$E$10+1,1))-AVERAGE(OFFSET($H$3,0,0,'Données projet'!$E$10+1,1))</f>
        <v>469.67944008675863</v>
      </c>
      <c r="AO66" s="60">
        <f t="shared" si="36"/>
        <v>266.11908070867173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>
        <f>BD66*VLOOKUP('Données projet'!$B$11,Paramètres!$A$1:$I$89,3,0)*VLOOKUP('Données projet'!$B$11,Paramètres!$A$1:$I$89,5,0)</f>
        <v>0</v>
      </c>
      <c r="BF66" s="14" t="e">
        <f t="shared" si="37"/>
        <v>#NUM!</v>
      </c>
      <c r="BG66" s="22" t="e">
        <f t="shared" si="7"/>
        <v>#NUM!</v>
      </c>
      <c r="BH66" s="60" t="e">
        <f t="shared" si="8"/>
        <v>#NUM!</v>
      </c>
      <c r="BI66" s="60">
        <f ca="1">AVERAGE(OFFSET($BH$3,0,0,'Données projet'!$E$11+1,1))-AVERAGE(OFFSET($H$3,0,0,'Données projet'!$E$11+1,1))</f>
        <v>216.36762889365235</v>
      </c>
      <c r="BJ66" s="60">
        <f t="shared" si="38"/>
        <v>333.29599352215496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7.0232133571476041</v>
      </c>
      <c r="BQ66" s="23">
        <f>EXP(-LN(2)/25)*BQ65+(1-EXP(-LN(2)/25))/(LN(2)/25)*Calculateur!BL66*Calculateur!BN66*VLOOKUP('Données projet'!$B$11,Paramètres!$A$1:$I$89,3,0)*0.475*44/12</f>
        <v>3.904980792162057</v>
      </c>
      <c r="BR66" s="23">
        <f>EXP(-LN(2)/2)*BR65+(1-EXP(-LN(2)/2))/(LN(2)/2)*BL66*BO66*VLOOKUP('Données projet'!$B$11,Paramètres!$A$1:$I$89,3,0)*0.475*44/12</f>
        <v>3.1553385247448811E-5</v>
      </c>
      <c r="BS66" s="24">
        <f t="shared" si="9"/>
        <v>10.928225702694908</v>
      </c>
      <c r="BT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7.2</v>
      </c>
      <c r="BY66" s="13">
        <f>IF('Données projet'!$A$114&gt;35,BY65+BX66-CG65,IF(A66&lt;'Données projet'!$A$114,$BV$205^A66,IF(A66='Données projet'!$A$114,'Données projet'!$B$114,BY65+BX66-CG65)))</f>
        <v>214.59999999999994</v>
      </c>
      <c r="BZ66" s="14">
        <f>BY66*VLOOKUP('Données projet'!$B$12,Paramètres!$A$1:$I$89,3,0)*VLOOKUP('Données projet'!$B$12,Paramètres!$A$1:$I$89,5,0)</f>
        <v>207.56111999999996</v>
      </c>
      <c r="CA66" s="14">
        <f t="shared" si="39"/>
        <v>51.40226725537714</v>
      </c>
      <c r="CB66" s="22">
        <f t="shared" si="10"/>
        <v>451.02789946978169</v>
      </c>
      <c r="CC66" s="60">
        <f t="shared" si="11"/>
        <v>713.9242378131878</v>
      </c>
      <c r="CD66" s="60">
        <f ca="1">AVERAGE(OFFSET($CC$3,0,0,'Données projet'!$E$12+1,1))-AVERAGE(OFFSET($H$3,0,0,'Données projet'!$E$12+1,1))</f>
        <v>496.33873798282525</v>
      </c>
      <c r="CE66" s="60">
        <f t="shared" si="40"/>
        <v>280.25465074992246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7.2</v>
      </c>
      <c r="CT66" s="13">
        <f>IF('Données projet'!$A$140&gt;35,CT65+CS66-DB65,IF(A66&lt;'Données projet'!$A$140,$CQ$205^A66,IF(A66='Données projet'!$A$140,'Données projet'!$B$140,CT65+CS66-DB65)))</f>
        <v>214.59999999999994</v>
      </c>
      <c r="CU66" s="18">
        <f>CT66*VLOOKUP('Données projet'!$B$13,Paramètres!$A$1:$I$89,3,0)*VLOOKUP('Données projet'!$B$13,Paramètres!$A$1:$I$89,5,0)</f>
        <v>230.99543999999995</v>
      </c>
      <c r="CV66" s="14">
        <f t="shared" si="41"/>
        <v>56.497864803589785</v>
      </c>
      <c r="CW66" s="22">
        <f t="shared" si="13"/>
        <v>500.71750586625211</v>
      </c>
      <c r="CX66" s="60">
        <f t="shared" si="14"/>
        <v>763.61384420965828</v>
      </c>
      <c r="CY66" s="60">
        <f ca="1">AVERAGE(OFFSET($CX$3,0,0,'Données projet'!$E$13+1,1))-AVERAGE(OFFSET($H$3,0,0,'Données projet'!$E$13+1,1))</f>
        <v>542.90832990875208</v>
      </c>
      <c r="CZ66" s="60">
        <f t="shared" si="42"/>
        <v>304.94365539329362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0" t="e">
        <f t="shared" si="17"/>
        <v>#N/A</v>
      </c>
      <c r="DT66" s="60" t="e">
        <f ca="1">AVERAGE(OFFSET($DS$3,0,0,'Données projet'!$E$14+1,1))-AVERAGE(OFFSET($H$3,0,0,'Données projet'!$E$14+1,1))</f>
        <v>#N/A</v>
      </c>
      <c r="DU66" s="60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0" t="e">
        <f t="shared" si="20"/>
        <v>#N/A</v>
      </c>
      <c r="EO66" s="60" t="e">
        <f ca="1">AVERAGE(OFFSET($EN$3,0,0,'Données projet'!$E$15+1,1))-AVERAGE(OFFSET($H$3,0,0,'Données projet'!$E$15+1,1))</f>
        <v>#N/A</v>
      </c>
      <c r="EP66" s="60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0" t="e">
        <f t="shared" si="23"/>
        <v>#N/A</v>
      </c>
      <c r="FJ66" s="60" t="e">
        <f ca="1">AVERAGE(OFFSET($FI$3,0,0,'Données projet'!$E$16+1,1))-AVERAGE(OFFSET($H$3,0,0,'Données projet'!$E$16+1,1))</f>
        <v>#N/A</v>
      </c>
      <c r="FK66" s="60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0" t="e">
        <f t="shared" si="26"/>
        <v>#N/A</v>
      </c>
      <c r="GE66" s="60" t="e">
        <f ca="1">AVERAGE(OFFSET($GD$3,0,0,'Données projet'!$E$17+1,1))-AVERAGE(OFFSET($H$3,0,0,'Données projet'!$E$17+1,1))</f>
        <v>#N/A</v>
      </c>
      <c r="GF66" s="60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4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9.6538461538461604</v>
      </c>
      <c r="N67" s="14">
        <f>IF('Données projet'!$A$36&gt;35,N66+M67-V66,IF(A67&lt;'Données projet'!$A$36,$K$205^A67,IF(A67='Données projet'!$A$36,'Données projet'!$B$36,N66+M67-V66)))</f>
        <v>252.25384615384621</v>
      </c>
      <c r="O67" s="14">
        <f>N67*VLOOKUP('Données projet'!$B$9,Paramètres!$A$1:$I$89,3,0)*VLOOKUP('Données projet'!$B$9,Paramètres!$A$1:$I$89,5,0)</f>
        <v>118.05480000000003</v>
      </c>
      <c r="P67" s="14">
        <f t="shared" si="33"/>
        <v>31.220882716329786</v>
      </c>
      <c r="Q67" s="22">
        <f t="shared" ref="Q67:Q98" si="54">(O67+P67)*0.475*44/12</f>
        <v>259.98848073094109</v>
      </c>
      <c r="R67" s="60">
        <f t="shared" ref="R67:R130" si="55">Q67+(I67+J67)*44/12</f>
        <v>523.41283289049579</v>
      </c>
      <c r="S67" s="60">
        <f ca="1">AVERAGE(OFFSET($R$3,0,0,'Données projet'!$E$9+1,1))-AVERAGE(OFFSET($H$3,0,0,'Données projet'!$E$9+1,1))</f>
        <v>277.7918215389401</v>
      </c>
      <c r="T67" s="60">
        <f t="shared" si="34"/>
        <v>164.65640238394164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221.79999999999993</v>
      </c>
      <c r="AJ67" s="14">
        <f>AI67*VLOOKUP('Données projet'!$B$10,Paramètres!$A$1:$I$89,3,0)*VLOOKUP('Données projet'!$B$10,Paramètres!$A$1:$I$89,5,0)</f>
        <v>200.68463999999992</v>
      </c>
      <c r="AK67" s="14">
        <f t="shared" si="35"/>
        <v>49.894600936700193</v>
      </c>
      <c r="AL67" s="22">
        <f t="shared" si="4"/>
        <v>436.42551129808606</v>
      </c>
      <c r="AM67" s="60">
        <f t="shared" si="5"/>
        <v>699.84986345764082</v>
      </c>
      <c r="AN67" s="60">
        <f ca="1">AVERAGE(OFFSET($AM$3,0,0,'Données projet'!$E$10+1,1))-AVERAGE(OFFSET($H$3,0,0,'Données projet'!$E$10+1,1))</f>
        <v>469.67944008675863</v>
      </c>
      <c r="AO67" s="60">
        <f t="shared" si="36"/>
        <v>266.11908070867173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>
        <f>BD67*VLOOKUP('Données projet'!$B$11,Paramètres!$A$1:$I$89,3,0)*VLOOKUP('Données projet'!$B$11,Paramètres!$A$1:$I$89,5,0)</f>
        <v>0</v>
      </c>
      <c r="BF67" s="14" t="e">
        <f t="shared" si="37"/>
        <v>#NUM!</v>
      </c>
      <c r="BG67" s="22" t="e">
        <f t="shared" si="7"/>
        <v>#NUM!</v>
      </c>
      <c r="BH67" s="60" t="e">
        <f t="shared" si="8"/>
        <v>#NUM!</v>
      </c>
      <c r="BI67" s="60">
        <f ca="1">AVERAGE(OFFSET($BH$3,0,0,'Données projet'!$E$11+1,1))-AVERAGE(OFFSET($H$3,0,0,'Données projet'!$E$11+1,1))</f>
        <v>216.36762889365235</v>
      </c>
      <c r="BJ67" s="60">
        <f t="shared" si="38"/>
        <v>333.29599352215496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6.8854924269511031</v>
      </c>
      <c r="BQ67" s="23">
        <f>EXP(-LN(2)/25)*BQ66+(1-EXP(-LN(2)/25))/(LN(2)/25)*Calculateur!BL67*Calculateur!BN67*VLOOKUP('Données projet'!$B$11,Paramètres!$A$1:$I$89,3,0)*0.475*44/12</f>
        <v>3.7981988870463708</v>
      </c>
      <c r="BR67" s="23">
        <f>EXP(-LN(2)/2)*BR66+(1-EXP(-LN(2)/2))/(LN(2)/2)*BL67*BO67*VLOOKUP('Données projet'!$B$11,Paramètres!$A$1:$I$89,3,0)*0.475*44/12</f>
        <v>2.2311612677862624E-5</v>
      </c>
      <c r="BS67" s="24">
        <f t="shared" si="9"/>
        <v>10.683713625610153</v>
      </c>
      <c r="BT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7.2</v>
      </c>
      <c r="BY67" s="13">
        <f>IF('Données projet'!$A$114&gt;35,BY66+BX67-CG66,IF(A67&lt;'Données projet'!$A$114,$BV$205^A67,IF(A67='Données projet'!$A$114,'Données projet'!$B$114,BY66+BX67-CG66)))</f>
        <v>221.79999999999993</v>
      </c>
      <c r="BZ67" s="14">
        <f>BY67*VLOOKUP('Données projet'!$B$12,Paramètres!$A$1:$I$89,3,0)*VLOOKUP('Données projet'!$B$12,Paramètres!$A$1:$I$89,5,0)</f>
        <v>214.52495999999994</v>
      </c>
      <c r="CA67" s="14">
        <f t="shared" si="39"/>
        <v>52.923173099085716</v>
      </c>
      <c r="CB67" s="22">
        <f t="shared" si="10"/>
        <v>465.80549848090754</v>
      </c>
      <c r="CC67" s="60">
        <f t="shared" si="11"/>
        <v>729.22985064046225</v>
      </c>
      <c r="CD67" s="60">
        <f ca="1">AVERAGE(OFFSET($CC$3,0,0,'Données projet'!$E$12+1,1))-AVERAGE(OFFSET($H$3,0,0,'Données projet'!$E$12+1,1))</f>
        <v>496.33873798282525</v>
      </c>
      <c r="CE67" s="60">
        <f t="shared" si="40"/>
        <v>280.25465074992246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7.2</v>
      </c>
      <c r="CT67" s="13">
        <f>IF('Données projet'!$A$140&gt;35,CT66+CS67-DB66,IF(A67&lt;'Données projet'!$A$140,$CQ$205^A67,IF(A67='Données projet'!$A$140,'Données projet'!$B$140,CT66+CS67-DB66)))</f>
        <v>221.79999999999993</v>
      </c>
      <c r="CU67" s="18">
        <f>CT67*VLOOKUP('Données projet'!$B$13,Paramètres!$A$1:$I$89,3,0)*VLOOKUP('Données projet'!$B$13,Paramètres!$A$1:$I$89,5,0)</f>
        <v>238.74551999999991</v>
      </c>
      <c r="CV67" s="14">
        <f t="shared" si="41"/>
        <v>58.169540730060781</v>
      </c>
      <c r="CW67" s="22">
        <f t="shared" si="13"/>
        <v>517.12706410485578</v>
      </c>
      <c r="CX67" s="60">
        <f t="shared" si="14"/>
        <v>780.55141626441059</v>
      </c>
      <c r="CY67" s="60">
        <f ca="1">AVERAGE(OFFSET($CX$3,0,0,'Données projet'!$E$13+1,1))-AVERAGE(OFFSET($H$3,0,0,'Données projet'!$E$13+1,1))</f>
        <v>542.90832990875208</v>
      </c>
      <c r="CZ67" s="60">
        <f t="shared" si="42"/>
        <v>304.94365539329362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0" t="e">
        <f t="shared" si="17"/>
        <v>#N/A</v>
      </c>
      <c r="DT67" s="60" t="e">
        <f ca="1">AVERAGE(OFFSET($DS$3,0,0,'Données projet'!$E$14+1,1))-AVERAGE(OFFSET($H$3,0,0,'Données projet'!$E$14+1,1))</f>
        <v>#N/A</v>
      </c>
      <c r="DU67" s="60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0" t="e">
        <f t="shared" si="20"/>
        <v>#N/A</v>
      </c>
      <c r="EO67" s="60" t="e">
        <f ca="1">AVERAGE(OFFSET($EN$3,0,0,'Données projet'!$E$15+1,1))-AVERAGE(OFFSET($H$3,0,0,'Données projet'!$E$15+1,1))</f>
        <v>#N/A</v>
      </c>
      <c r="EP67" s="60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0" t="e">
        <f t="shared" si="23"/>
        <v>#N/A</v>
      </c>
      <c r="FJ67" s="60" t="e">
        <f ca="1">AVERAGE(OFFSET($FI$3,0,0,'Données projet'!$E$16+1,1))-AVERAGE(OFFSET($H$3,0,0,'Données projet'!$E$16+1,1))</f>
        <v>#N/A</v>
      </c>
      <c r="FK67" s="60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0" t="e">
        <f t="shared" si="26"/>
        <v>#N/A</v>
      </c>
      <c r="GE67" s="60" t="e">
        <f ca="1">AVERAGE(OFFSET($GD$3,0,0,'Données projet'!$E$17+1,1))-AVERAGE(OFFSET($H$3,0,0,'Données projet'!$E$17+1,1))</f>
        <v>#N/A</v>
      </c>
      <c r="GF67" s="60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4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261.90769230769229</v>
      </c>
      <c r="L68" s="13">
        <f>VLOOKUP(A68,'Données projet'!$A$35:$I$55,9,0)</f>
        <v>9.6538461538461604</v>
      </c>
      <c r="M68" s="13">
        <f t="array" ref="M68">INDEX(L:L,MIN(IF(ISNUMBER(L68:L264),ROW(L68:L264),"")))</f>
        <v>9.6538461538461604</v>
      </c>
      <c r="N68" s="14">
        <f>IF('Données projet'!$A$36&gt;35,N67+M68-V67,IF(A68&lt;'Données projet'!$A$36,$K$205^A68,IF(A68='Données projet'!$A$36,'Données projet'!$B$36,N67+M68-V67)))</f>
        <v>261.9076923076924</v>
      </c>
      <c r="O68" s="14">
        <f>N68*VLOOKUP('Données projet'!$B$9,Paramètres!$A$1:$I$89,3,0)*VLOOKUP('Données projet'!$B$9,Paramètres!$A$1:$I$89,5,0)</f>
        <v>122.57280000000004</v>
      </c>
      <c r="P68" s="14">
        <f t="shared" si="33"/>
        <v>32.274319787267089</v>
      </c>
      <c r="Q68" s="22">
        <f t="shared" si="54"/>
        <v>269.69206696282356</v>
      </c>
      <c r="R68" s="60">
        <f t="shared" si="55"/>
        <v>533.6352730792787</v>
      </c>
      <c r="S68" s="60">
        <f ca="1">AVERAGE(OFFSET($R$3,0,0,'Données projet'!$E$9+1,1))-AVERAGE(OFFSET($H$3,0,0,'Données projet'!$E$9+1,1))</f>
        <v>277.7918215389401</v>
      </c>
      <c r="T68" s="60">
        <f t="shared" si="34"/>
        <v>164.65640238394164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228.99999999999991</v>
      </c>
      <c r="AJ68" s="14">
        <f>AI68*VLOOKUP('Données projet'!$B$10,Paramètres!$A$1:$I$89,3,0)*VLOOKUP('Données projet'!$B$10,Paramètres!$A$1:$I$89,5,0)</f>
        <v>207.19919999999991</v>
      </c>
      <c r="AK68" s="14">
        <f t="shared" si="35"/>
        <v>51.3230629736655</v>
      </c>
      <c r="AL68" s="22">
        <f t="shared" ref="AL68:AL131" si="58">(AJ68+AK68)*0.475*44/12</f>
        <v>450.25960801246725</v>
      </c>
      <c r="AM68" s="60">
        <f t="shared" ref="AM68:AM131" si="59">AL68+(AD68+AE68)*44/12</f>
        <v>714.20281412892245</v>
      </c>
      <c r="AN68" s="60">
        <f ca="1">AVERAGE(OFFSET($AM$3,0,0,'Données projet'!$E$10+1,1))-AVERAGE(OFFSET($H$3,0,0,'Données projet'!$E$10+1,1))</f>
        <v>469.67944008675863</v>
      </c>
      <c r="AO68" s="60">
        <f t="shared" si="36"/>
        <v>266.11908070867173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>
        <f>BD68*VLOOKUP('Données projet'!$B$11,Paramètres!$A$1:$I$89,3,0)*VLOOKUP('Données projet'!$B$11,Paramètres!$A$1:$I$89,5,0)</f>
        <v>0</v>
      </c>
      <c r="BF68" s="14" t="e">
        <f t="shared" si="37"/>
        <v>#NUM!</v>
      </c>
      <c r="BG68" s="22" t="e">
        <f t="shared" ref="BG68:BG131" si="61">(BE68+BF68)*0.475*44/12</f>
        <v>#NUM!</v>
      </c>
      <c r="BH68" s="60" t="e">
        <f t="shared" ref="BH68:BH131" si="62">BG68+(AY68+AZ68)*44/12</f>
        <v>#NUM!</v>
      </c>
      <c r="BI68" s="60">
        <f ca="1">AVERAGE(OFFSET($BH$3,0,0,'Données projet'!$E$11+1,1))-AVERAGE(OFFSET($H$3,0,0,'Données projet'!$E$11+1,1))</f>
        <v>216.36762889365235</v>
      </c>
      <c r="BJ68" s="60">
        <f t="shared" si="38"/>
        <v>333.29599352215496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6.7504721201942832</v>
      </c>
      <c r="BQ68" s="23">
        <f>EXP(-LN(2)/25)*BQ67+(1-EXP(-LN(2)/25))/(LN(2)/25)*Calculateur!BL68*Calculateur!BN68*VLOOKUP('Données projet'!$B$11,Paramètres!$A$1:$I$89,3,0)*0.475*44/12</f>
        <v>3.6943369387414893</v>
      </c>
      <c r="BR68" s="23">
        <f>EXP(-LN(2)/2)*BR67+(1-EXP(-LN(2)/2))/(LN(2)/2)*BL68*BO68*VLOOKUP('Données projet'!$B$11,Paramètres!$A$1:$I$89,3,0)*0.475*44/12</f>
        <v>1.5776692623724406E-5</v>
      </c>
      <c r="BS68" s="24">
        <f t="shared" ref="BS68:BS131" si="63">SUM(BP68:BR68)</f>
        <v>10.444824835628397</v>
      </c>
      <c r="BT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229</v>
      </c>
      <c r="BW68" s="13">
        <f>VLOOKUP(A68,'Données projet'!$A$113:$I$133,9,0)</f>
        <v>7.2</v>
      </c>
      <c r="BX68" s="13">
        <f t="array" ref="BX68">INDEX(BW:BW,MIN(IF(ISNUMBER(BW68:BW264),ROW(BW68:BW264),"")))</f>
        <v>7.2</v>
      </c>
      <c r="BY68" s="13">
        <f>IF('Données projet'!$A$114&gt;35,BY67+BX68-CG67,IF(A68&lt;'Données projet'!$A$114,$BV$205^A68,IF(A68='Données projet'!$A$114,'Données projet'!$B$114,BY67+BX68-CG67)))</f>
        <v>228.99999999999991</v>
      </c>
      <c r="BZ68" s="14">
        <f>BY68*VLOOKUP('Données projet'!$B$12,Paramètres!$A$1:$I$89,3,0)*VLOOKUP('Données projet'!$B$12,Paramètres!$A$1:$I$89,5,0)</f>
        <v>221.48879999999991</v>
      </c>
      <c r="CA68" s="14">
        <f t="shared" si="39"/>
        <v>54.43834191952984</v>
      </c>
      <c r="CB68" s="22">
        <f t="shared" ref="CB68:CB131" si="64">(BZ68+CA68)*0.475*44/12</f>
        <v>480.57310550984766</v>
      </c>
      <c r="CC68" s="60">
        <f t="shared" ref="CC68:CC131" si="65">CB68+(BT68+BU68)*44/12</f>
        <v>744.51631162630292</v>
      </c>
      <c r="CD68" s="60">
        <f ca="1">AVERAGE(OFFSET($CC$3,0,0,'Données projet'!$E$12+1,1))-AVERAGE(OFFSET($H$3,0,0,'Données projet'!$E$12+1,1))</f>
        <v>496.33873798282525</v>
      </c>
      <c r="CE68" s="60">
        <f t="shared" si="40"/>
        <v>280.25465074992246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229</v>
      </c>
      <c r="CR68" s="13">
        <f>VLOOKUP(A68,'Données projet'!$A$139:$I$159,9,0)</f>
        <v>7.2</v>
      </c>
      <c r="CS68" s="13">
        <f t="array" ref="CS68">INDEX(CR:CR,MIN(IF(ISNUMBER(CR68:CR264),ROW(CR68:CR264),"")))</f>
        <v>7.2</v>
      </c>
      <c r="CT68" s="13">
        <f>IF('Données projet'!$A$140&gt;35,CT67+CS68-DB67,IF(A68&lt;'Données projet'!$A$140,$CQ$205^A68,IF(A68='Données projet'!$A$140,'Données projet'!$B$140,CT67+CS68-DB67)))</f>
        <v>228.99999999999991</v>
      </c>
      <c r="CU68" s="18">
        <f>CT68*VLOOKUP('Données projet'!$B$13,Paramètres!$A$1:$I$89,3,0)*VLOOKUP('Données projet'!$B$13,Paramètres!$A$1:$I$89,5,0)</f>
        <v>246.49559999999991</v>
      </c>
      <c r="CV68" s="14">
        <f t="shared" si="41"/>
        <v>59.834910912017278</v>
      </c>
      <c r="CW68" s="22">
        <f t="shared" ref="CW68:CW131" si="67">(CU68+CV68)*0.475*44/12</f>
        <v>533.52563983842992</v>
      </c>
      <c r="CX68" s="60">
        <f t="shared" ref="CX68:CX131" si="68">CW68+(CO68+CP68)*44/12</f>
        <v>797.46884595488518</v>
      </c>
      <c r="CY68" s="60">
        <f ca="1">AVERAGE(OFFSET($CX$3,0,0,'Données projet'!$E$13+1,1))-AVERAGE(OFFSET($H$3,0,0,'Données projet'!$E$13+1,1))</f>
        <v>542.90832990875208</v>
      </c>
      <c r="CZ68" s="60">
        <f t="shared" si="42"/>
        <v>304.94365539329362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0" t="e">
        <f t="shared" ref="DS68:DS131" si="71">DR68+(DJ68+DK68)*44/12</f>
        <v>#N/A</v>
      </c>
      <c r="DT68" s="60" t="e">
        <f ca="1">AVERAGE(OFFSET($DS$3,0,0,'Données projet'!$E$14+1,1))-AVERAGE(OFFSET($H$3,0,0,'Données projet'!$E$14+1,1))</f>
        <v>#N/A</v>
      </c>
      <c r="DU68" s="60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0" t="e">
        <f t="shared" ref="EN68:EN131" si="74">EM68+(EE68+EF68)*44/12</f>
        <v>#N/A</v>
      </c>
      <c r="EO68" s="60" t="e">
        <f ca="1">AVERAGE(OFFSET($EN$3,0,0,'Données projet'!$E$15+1,1))-AVERAGE(OFFSET($H$3,0,0,'Données projet'!$E$15+1,1))</f>
        <v>#N/A</v>
      </c>
      <c r="EP68" s="60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0" t="e">
        <f t="shared" ref="FI68:FI131" si="77">FH68+(EZ68+FA68)*44/12</f>
        <v>#N/A</v>
      </c>
      <c r="FJ68" s="60" t="e">
        <f ca="1">AVERAGE(OFFSET($FI$3,0,0,'Données projet'!$E$16+1,1))-AVERAGE(OFFSET($H$3,0,0,'Données projet'!$E$16+1,1))</f>
        <v>#N/A</v>
      </c>
      <c r="FK68" s="60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0" t="e">
        <f t="shared" ref="GD68:GD131" si="80">GC68+(FU68+FV68)*44/12</f>
        <v>#N/A</v>
      </c>
      <c r="GE68" s="60" t="e">
        <f ca="1">AVERAGE(OFFSET($GD$3,0,0,'Données projet'!$E$17+1,1))-AVERAGE(OFFSET($H$3,0,0,'Données projet'!$E$17+1,1))</f>
        <v>#N/A</v>
      </c>
      <c r="GF68" s="60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4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9.7400000000000091</v>
      </c>
      <c r="N69" s="14">
        <f>IF('Données projet'!$A$36&gt;35,N68+M69-V68,IF(A69&lt;'Données projet'!$A$36,$K$205^A69,IF(A69='Données projet'!$A$36,'Données projet'!$B$36,N68+M69-V68)))</f>
        <v>271.64769230769241</v>
      </c>
      <c r="O69" s="14">
        <f>N69*VLOOKUP('Données projet'!$B$9,Paramètres!$A$1:$I$89,3,0)*VLOOKUP('Données projet'!$B$9,Paramètres!$A$1:$I$89,5,0)</f>
        <v>127.13112000000005</v>
      </c>
      <c r="P69" s="14">
        <f t="shared" ref="P69:P132" si="87">EXP(-1.0587+0.8836*LN(O69)+0.284)</f>
        <v>33.332586891285729</v>
      </c>
      <c r="Q69" s="22">
        <f t="shared" si="54"/>
        <v>279.47428950232273</v>
      </c>
      <c r="R69" s="60">
        <f t="shared" si="55"/>
        <v>543.92734861950976</v>
      </c>
      <c r="S69" s="60">
        <f ca="1">AVERAGE(OFFSET($R$3,0,0,'Données projet'!$E$9+1,1))-AVERAGE(OFFSET($H$3,0,0,'Données projet'!$E$9+1,1))</f>
        <v>277.7918215389401</v>
      </c>
      <c r="T69" s="60">
        <f t="shared" ref="T69:T132" si="88">$T$3</f>
        <v>164.65640238394164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235.79999999999993</v>
      </c>
      <c r="AJ69" s="14">
        <f>AI69*VLOOKUP('Données projet'!$B$10,Paramètres!$A$1:$I$89,3,0)*VLOOKUP('Données projet'!$B$10,Paramètres!$A$1:$I$89,5,0)</f>
        <v>213.35183999999992</v>
      </c>
      <c r="AK69" s="14">
        <f t="shared" ref="AK69:AK132" si="89">EXP(-1.0587+0.8836*LN(AJ69)+0.284)</f>
        <v>52.667370665417188</v>
      </c>
      <c r="AL69" s="22">
        <f t="shared" si="58"/>
        <v>463.31679190893482</v>
      </c>
      <c r="AM69" s="60">
        <f t="shared" si="59"/>
        <v>727.76985102612184</v>
      </c>
      <c r="AN69" s="60">
        <f ca="1">AVERAGE(OFFSET($AM$3,0,0,'Données projet'!$E$10+1,1))-AVERAGE(OFFSET($H$3,0,0,'Données projet'!$E$10+1,1))</f>
        <v>469.67944008675863</v>
      </c>
      <c r="AO69" s="60">
        <f t="shared" ref="AO69:AO132" si="90">$AO$3</f>
        <v>266.11908070867173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>
        <f>BD69*VLOOKUP('Données projet'!$B$11,Paramètres!$A$1:$I$89,3,0)*VLOOKUP('Données projet'!$B$11,Paramètres!$A$1:$I$89,5,0)</f>
        <v>0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0" t="e">
        <f t="shared" si="62"/>
        <v>#NUM!</v>
      </c>
      <c r="BI69" s="60">
        <f ca="1">AVERAGE(OFFSET($BH$3,0,0,'Données projet'!$E$11+1,1))-AVERAGE(OFFSET($H$3,0,0,'Données projet'!$E$11+1,1))</f>
        <v>216.36762889365235</v>
      </c>
      <c r="BJ69" s="60">
        <f t="shared" ref="BJ69:BJ132" si="92">$BJ$3</f>
        <v>333.29599352215496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6.6180994792987091</v>
      </c>
      <c r="BQ69" s="23">
        <f>EXP(-LN(2)/25)*BQ68+(1-EXP(-LN(2)/25))/(LN(2)/25)*Calculateur!BL69*Calculateur!BN69*VLOOKUP('Données projet'!$B$11,Paramètres!$A$1:$I$89,3,0)*0.475*44/12</f>
        <v>3.5933151008748672</v>
      </c>
      <c r="BR69" s="23">
        <f>EXP(-LN(2)/2)*BR68+(1-EXP(-LN(2)/2))/(LN(2)/2)*BL69*BO69*VLOOKUP('Données projet'!$B$11,Paramètres!$A$1:$I$89,3,0)*0.475*44/12</f>
        <v>1.1155806338931312E-5</v>
      </c>
      <c r="BS69" s="24">
        <f t="shared" si="63"/>
        <v>10.211425735979915</v>
      </c>
      <c r="BT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6.8</v>
      </c>
      <c r="BY69" s="13">
        <f>IF('Données projet'!$A$114&gt;35,BY68+BX69-CG68,IF(A69&lt;'Données projet'!$A$114,$BV$205^A69,IF(A69='Données projet'!$A$114,'Données projet'!$B$114,BY68+BX69-CG68)))</f>
        <v>235.79999999999993</v>
      </c>
      <c r="BZ69" s="14">
        <f>BY69*VLOOKUP('Données projet'!$B$12,Paramètres!$A$1:$I$89,3,0)*VLOOKUP('Données projet'!$B$12,Paramètres!$A$1:$I$89,5,0)</f>
        <v>228.06575999999993</v>
      </c>
      <c r="CA69" s="14">
        <f t="shared" ref="CA69:CA132" si="93">EXP(-1.0587+0.8836*LN(BZ69)+0.284)</f>
        <v>55.864248276798108</v>
      </c>
      <c r="CB69" s="22">
        <f t="shared" si="64"/>
        <v>494.51143108208981</v>
      </c>
      <c r="CC69" s="60">
        <f t="shared" si="65"/>
        <v>758.96449019927695</v>
      </c>
      <c r="CD69" s="60">
        <f ca="1">AVERAGE(OFFSET($CC$3,0,0,'Données projet'!$E$12+1,1))-AVERAGE(OFFSET($H$3,0,0,'Données projet'!$E$12+1,1))</f>
        <v>496.33873798282525</v>
      </c>
      <c r="CE69" s="60">
        <f t="shared" ref="CE69:CE132" si="94">$CE$3</f>
        <v>280.25465074992246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6.8</v>
      </c>
      <c r="CT69" s="13">
        <f>IF('Données projet'!$A$140&gt;35,CT68+CS69-DB68,IF(A69&lt;'Données projet'!$A$140,$CQ$205^A69,IF(A69='Données projet'!$A$140,'Données projet'!$B$140,CT68+CS69-DB68)))</f>
        <v>235.79999999999993</v>
      </c>
      <c r="CU69" s="18">
        <f>CT69*VLOOKUP('Données projet'!$B$13,Paramètres!$A$1:$I$89,3,0)*VLOOKUP('Données projet'!$B$13,Paramètres!$A$1:$I$89,5,0)</f>
        <v>253.81511999999992</v>
      </c>
      <c r="CV69" s="14">
        <f t="shared" ref="CV69:CV132" si="95">EXP(-1.0587+0.8836*LN(CU69)+0.284)</f>
        <v>61.402169885153235</v>
      </c>
      <c r="CW69" s="22">
        <f t="shared" si="67"/>
        <v>549.00344654997514</v>
      </c>
      <c r="CX69" s="60">
        <f t="shared" si="68"/>
        <v>813.45650566716222</v>
      </c>
      <c r="CY69" s="60">
        <f ca="1">AVERAGE(OFFSET($CX$3,0,0,'Données projet'!$E$13+1,1))-AVERAGE(OFFSET($H$3,0,0,'Données projet'!$E$13+1,1))</f>
        <v>542.90832990875208</v>
      </c>
      <c r="CZ69" s="60">
        <f t="shared" ref="CZ69:CZ132" si="96">$CZ$3</f>
        <v>304.94365539329362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0" t="e">
        <f t="shared" si="71"/>
        <v>#N/A</v>
      </c>
      <c r="DT69" s="60" t="e">
        <f ca="1">AVERAGE(OFFSET($DS$3,0,0,'Données projet'!$E$14+1,1))-AVERAGE(OFFSET($H$3,0,0,'Données projet'!$E$14+1,1))</f>
        <v>#N/A</v>
      </c>
      <c r="DU69" s="60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0" t="e">
        <f t="shared" si="74"/>
        <v>#N/A</v>
      </c>
      <c r="EO69" s="60" t="e">
        <f ca="1">AVERAGE(OFFSET($EN$3,0,0,'Données projet'!$E$15+1,1))-AVERAGE(OFFSET($H$3,0,0,'Données projet'!$E$15+1,1))</f>
        <v>#N/A</v>
      </c>
      <c r="EP69" s="60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0" t="e">
        <f t="shared" si="77"/>
        <v>#N/A</v>
      </c>
      <c r="FJ69" s="60" t="e">
        <f ca="1">AVERAGE(OFFSET($FI$3,0,0,'Données projet'!$E$16+1,1))-AVERAGE(OFFSET($H$3,0,0,'Données projet'!$E$16+1,1))</f>
        <v>#N/A</v>
      </c>
      <c r="FK69" s="60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0" t="e">
        <f t="shared" si="80"/>
        <v>#N/A</v>
      </c>
      <c r="GE69" s="60" t="e">
        <f ca="1">AVERAGE(OFFSET($GD$3,0,0,'Données projet'!$E$17+1,1))-AVERAGE(OFFSET($H$3,0,0,'Données projet'!$E$17+1,1))</f>
        <v>#N/A</v>
      </c>
      <c r="GF69" s="60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4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9.7400000000000091</v>
      </c>
      <c r="N70" s="14">
        <f>IF('Données projet'!$A$36&gt;35,N69+M70-V69,IF(A70&lt;'Données projet'!$A$36,$K$205^A70,IF(A70='Données projet'!$A$36,'Données projet'!$B$36,N69+M70-V69)))</f>
        <v>281.38769230769242</v>
      </c>
      <c r="O70" s="14">
        <f>N70*VLOOKUP('Données projet'!$B$9,Paramètres!$A$1:$I$89,3,0)*VLOOKUP('Données projet'!$B$9,Paramètres!$A$1:$I$89,5,0)</f>
        <v>131.68944000000005</v>
      </c>
      <c r="P70" s="14">
        <f t="shared" si="87"/>
        <v>34.386445467742071</v>
      </c>
      <c r="Q70" s="22">
        <f t="shared" si="54"/>
        <v>289.2488338563175</v>
      </c>
      <c r="R70" s="60">
        <f t="shared" si="55"/>
        <v>554.20290116453441</v>
      </c>
      <c r="S70" s="60">
        <f ca="1">AVERAGE(OFFSET($R$3,0,0,'Données projet'!$E$9+1,1))-AVERAGE(OFFSET($H$3,0,0,'Données projet'!$E$9+1,1))</f>
        <v>277.7918215389401</v>
      </c>
      <c r="T70" s="60">
        <f t="shared" si="88"/>
        <v>164.65640238394164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242.59999999999994</v>
      </c>
      <c r="AJ70" s="14">
        <f>AI70*VLOOKUP('Données projet'!$B$10,Paramètres!$A$1:$I$89,3,0)*VLOOKUP('Données projet'!$B$10,Paramètres!$A$1:$I$89,5,0)</f>
        <v>219.50447999999992</v>
      </c>
      <c r="AK70" s="14">
        <f t="shared" si="89"/>
        <v>54.007172767040167</v>
      </c>
      <c r="AL70" s="22">
        <f t="shared" si="58"/>
        <v>476.36612856926143</v>
      </c>
      <c r="AM70" s="60">
        <f t="shared" si="59"/>
        <v>741.32019587747834</v>
      </c>
      <c r="AN70" s="60">
        <f ca="1">AVERAGE(OFFSET($AM$3,0,0,'Données projet'!$E$10+1,1))-AVERAGE(OFFSET($H$3,0,0,'Données projet'!$E$10+1,1))</f>
        <v>469.67944008675863</v>
      </c>
      <c r="AO70" s="60">
        <f t="shared" si="90"/>
        <v>266.11908070867173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>
        <f>BD70*VLOOKUP('Données projet'!$B$11,Paramètres!$A$1:$I$89,3,0)*VLOOKUP('Données projet'!$B$11,Paramètres!$A$1:$I$89,5,0)</f>
        <v>0</v>
      </c>
      <c r="BF70" s="14" t="e">
        <f t="shared" si="91"/>
        <v>#NUM!</v>
      </c>
      <c r="BG70" s="22" t="e">
        <f t="shared" si="61"/>
        <v>#NUM!</v>
      </c>
      <c r="BH70" s="60" t="e">
        <f t="shared" si="62"/>
        <v>#NUM!</v>
      </c>
      <c r="BI70" s="60">
        <f ca="1">AVERAGE(OFFSET($BH$3,0,0,'Données projet'!$E$11+1,1))-AVERAGE(OFFSET($H$3,0,0,'Données projet'!$E$11+1,1))</f>
        <v>216.36762889365235</v>
      </c>
      <c r="BJ70" s="60">
        <f t="shared" si="92"/>
        <v>333.29599352215496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6.4883225851517583</v>
      </c>
      <c r="BQ70" s="23">
        <f>EXP(-LN(2)/25)*BQ69+(1-EXP(-LN(2)/25))/(LN(2)/25)*Calculateur!BL70*Calculateur!BN70*VLOOKUP('Données projet'!$B$11,Paramètres!$A$1:$I$89,3,0)*0.475*44/12</f>
        <v>3.4950557104772155</v>
      </c>
      <c r="BR70" s="23">
        <f>EXP(-LN(2)/2)*BR69+(1-EXP(-LN(2)/2))/(LN(2)/2)*BL70*BO70*VLOOKUP('Données projet'!$B$11,Paramètres!$A$1:$I$89,3,0)*0.475*44/12</f>
        <v>7.8883463118622028E-6</v>
      </c>
      <c r="BS70" s="24">
        <f t="shared" si="63"/>
        <v>9.983386183975286</v>
      </c>
      <c r="BT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6.8</v>
      </c>
      <c r="BY70" s="13">
        <f>IF('Données projet'!$A$114&gt;35,BY69+BX70-CG69,IF(A70&lt;'Données projet'!$A$114,$BV$205^A70,IF(A70='Données projet'!$A$114,'Données projet'!$B$114,BY69+BX70-CG69)))</f>
        <v>242.59999999999994</v>
      </c>
      <c r="BZ70" s="14">
        <f>BY70*VLOOKUP('Données projet'!$B$12,Paramètres!$A$1:$I$89,3,0)*VLOOKUP('Données projet'!$B$12,Paramètres!$A$1:$I$89,5,0)</f>
        <v>234.64271999999994</v>
      </c>
      <c r="CA70" s="14">
        <f t="shared" si="93"/>
        <v>57.285375557336316</v>
      </c>
      <c r="CB70" s="22">
        <f t="shared" si="64"/>
        <v>508.44143309569387</v>
      </c>
      <c r="CC70" s="60">
        <f t="shared" si="65"/>
        <v>773.39550040391077</v>
      </c>
      <c r="CD70" s="60">
        <f ca="1">AVERAGE(OFFSET($CC$3,0,0,'Données projet'!$E$12+1,1))-AVERAGE(OFFSET($H$3,0,0,'Données projet'!$E$12+1,1))</f>
        <v>496.33873798282525</v>
      </c>
      <c r="CE70" s="60">
        <f t="shared" si="94"/>
        <v>280.25465074992246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6.8</v>
      </c>
      <c r="CT70" s="13">
        <f>IF('Données projet'!$A$140&gt;35,CT69+CS70-DB69,IF(A70&lt;'Données projet'!$A$140,$CQ$205^A70,IF(A70='Données projet'!$A$140,'Données projet'!$B$140,CT69+CS70-DB69)))</f>
        <v>242.59999999999994</v>
      </c>
      <c r="CU70" s="18">
        <f>CT70*VLOOKUP('Données projet'!$B$13,Paramètres!$A$1:$I$89,3,0)*VLOOKUP('Données projet'!$B$13,Paramètres!$A$1:$I$89,5,0)</f>
        <v>261.13463999999993</v>
      </c>
      <c r="CV70" s="14">
        <f t="shared" si="95"/>
        <v>62.964176023241265</v>
      </c>
      <c r="CW70" s="22">
        <f t="shared" si="67"/>
        <v>564.47210457381163</v>
      </c>
      <c r="CX70" s="60">
        <f t="shared" si="68"/>
        <v>829.42617188202848</v>
      </c>
      <c r="CY70" s="60">
        <f ca="1">AVERAGE(OFFSET($CX$3,0,0,'Données projet'!$E$13+1,1))-AVERAGE(OFFSET($H$3,0,0,'Données projet'!$E$13+1,1))</f>
        <v>542.90832990875208</v>
      </c>
      <c r="CZ70" s="60">
        <f t="shared" si="96"/>
        <v>304.94365539329362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0" t="e">
        <f t="shared" si="71"/>
        <v>#N/A</v>
      </c>
      <c r="DT70" s="60" t="e">
        <f ca="1">AVERAGE(OFFSET($DS$3,0,0,'Données projet'!$E$14+1,1))-AVERAGE(OFFSET($H$3,0,0,'Données projet'!$E$14+1,1))</f>
        <v>#N/A</v>
      </c>
      <c r="DU70" s="60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0" t="e">
        <f t="shared" si="74"/>
        <v>#N/A</v>
      </c>
      <c r="EO70" s="60" t="e">
        <f ca="1">AVERAGE(OFFSET($EN$3,0,0,'Données projet'!$E$15+1,1))-AVERAGE(OFFSET($H$3,0,0,'Données projet'!$E$15+1,1))</f>
        <v>#N/A</v>
      </c>
      <c r="EP70" s="60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0" t="e">
        <f t="shared" si="77"/>
        <v>#N/A</v>
      </c>
      <c r="FJ70" s="60" t="e">
        <f ca="1">AVERAGE(OFFSET($FI$3,0,0,'Données projet'!$E$16+1,1))-AVERAGE(OFFSET($H$3,0,0,'Données projet'!$E$16+1,1))</f>
        <v>#N/A</v>
      </c>
      <c r="FK70" s="60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0" t="e">
        <f t="shared" si="80"/>
        <v>#N/A</v>
      </c>
      <c r="GE70" s="60" t="e">
        <f ca="1">AVERAGE(OFFSET($GD$3,0,0,'Données projet'!$E$17+1,1))-AVERAGE(OFFSET($H$3,0,0,'Données projet'!$E$17+1,1))</f>
        <v>#N/A</v>
      </c>
      <c r="GF70" s="60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4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9.7400000000000091</v>
      </c>
      <c r="N71" s="14">
        <f>IF('Données projet'!$A$36&gt;35,N70+M71-V70,IF(A71&lt;'Données projet'!$A$36,$K$205^A71,IF(A71='Données projet'!$A$36,'Données projet'!$B$36,N70+M71-V70)))</f>
        <v>291.12769230769243</v>
      </c>
      <c r="O71" s="14">
        <f>N71*VLOOKUP('Données projet'!$B$9,Paramètres!$A$1:$I$89,3,0)*VLOOKUP('Données projet'!$B$9,Paramètres!$A$1:$I$89,5,0)</f>
        <v>136.24776000000006</v>
      </c>
      <c r="P71" s="14">
        <f t="shared" si="87"/>
        <v>35.436065602778946</v>
      </c>
      <c r="Q71" s="22">
        <f t="shared" si="54"/>
        <v>299.0159962581734</v>
      </c>
      <c r="R71" s="60">
        <f t="shared" si="55"/>
        <v>564.46238038539218</v>
      </c>
      <c r="S71" s="60">
        <f ca="1">AVERAGE(OFFSET($R$3,0,0,'Données projet'!$E$9+1,1))-AVERAGE(OFFSET($H$3,0,0,'Données projet'!$E$9+1,1))</f>
        <v>277.7918215389401</v>
      </c>
      <c r="T71" s="60">
        <f t="shared" si="88"/>
        <v>164.65640238394164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249.39999999999995</v>
      </c>
      <c r="AJ71" s="14">
        <f>AI71*VLOOKUP('Données projet'!$B$10,Paramètres!$A$1:$I$89,3,0)*VLOOKUP('Données projet'!$B$10,Paramètres!$A$1:$I$89,5,0)</f>
        <v>225.65711999999994</v>
      </c>
      <c r="AK71" s="14">
        <f t="shared" si="89"/>
        <v>55.342610076561513</v>
      </c>
      <c r="AL71" s="22">
        <f t="shared" si="58"/>
        <v>489.40786321667775</v>
      </c>
      <c r="AM71" s="60">
        <f t="shared" si="59"/>
        <v>754.85424734389653</v>
      </c>
      <c r="AN71" s="60">
        <f ca="1">AVERAGE(OFFSET($AM$3,0,0,'Données projet'!$E$10+1,1))-AVERAGE(OFFSET($H$3,0,0,'Données projet'!$E$10+1,1))</f>
        <v>469.67944008675863</v>
      </c>
      <c r="AO71" s="60">
        <f t="shared" si="90"/>
        <v>266.11908070867173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>
        <f>BD71*VLOOKUP('Données projet'!$B$11,Paramètres!$A$1:$I$89,3,0)*VLOOKUP('Données projet'!$B$11,Paramètres!$A$1:$I$89,5,0)</f>
        <v>0</v>
      </c>
      <c r="BF71" s="14" t="e">
        <f t="shared" si="91"/>
        <v>#NUM!</v>
      </c>
      <c r="BG71" s="22" t="e">
        <f t="shared" si="61"/>
        <v>#NUM!</v>
      </c>
      <c r="BH71" s="60" t="e">
        <f t="shared" si="62"/>
        <v>#NUM!</v>
      </c>
      <c r="BI71" s="60">
        <f ca="1">AVERAGE(OFFSET($BH$3,0,0,'Données projet'!$E$11+1,1))-AVERAGE(OFFSET($H$3,0,0,'Données projet'!$E$11+1,1))</f>
        <v>216.36762889365235</v>
      </c>
      <c r="BJ71" s="60">
        <f t="shared" si="92"/>
        <v>333.29599352215496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6.3610905367429398</v>
      </c>
      <c r="BQ71" s="23">
        <f>EXP(-LN(2)/25)*BQ70+(1-EXP(-LN(2)/25))/(LN(2)/25)*Calculateur!BL71*Calculateur!BN71*VLOOKUP('Données projet'!$B$11,Paramètres!$A$1:$I$89,3,0)*0.475*44/12</f>
        <v>3.3994832282772243</v>
      </c>
      <c r="BR71" s="23">
        <f>EXP(-LN(2)/2)*BR70+(1-EXP(-LN(2)/2))/(LN(2)/2)*BL71*BO71*VLOOKUP('Données projet'!$B$11,Paramètres!$A$1:$I$89,3,0)*0.475*44/12</f>
        <v>5.5779031694656559E-6</v>
      </c>
      <c r="BS71" s="24">
        <f t="shared" si="63"/>
        <v>9.7605793429233323</v>
      </c>
      <c r="BT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6.8</v>
      </c>
      <c r="BY71" s="13">
        <f>IF('Données projet'!$A$114&gt;35,BY70+BX71-CG70,IF(A71&lt;'Données projet'!$A$114,$BV$205^A71,IF(A71='Données projet'!$A$114,'Données projet'!$B$114,BY70+BX71-CG70)))</f>
        <v>249.39999999999995</v>
      </c>
      <c r="BZ71" s="14">
        <f>BY71*VLOOKUP('Données projet'!$B$12,Paramètres!$A$1:$I$89,3,0)*VLOOKUP('Données projet'!$B$12,Paramètres!$A$1:$I$89,5,0)</f>
        <v>241.21967999999995</v>
      </c>
      <c r="CA71" s="14">
        <f t="shared" si="93"/>
        <v>58.701873105526744</v>
      </c>
      <c r="CB71" s="22">
        <f t="shared" si="64"/>
        <v>522.36337165879229</v>
      </c>
      <c r="CC71" s="60">
        <f t="shared" si="65"/>
        <v>787.80975578601112</v>
      </c>
      <c r="CD71" s="60">
        <f ca="1">AVERAGE(OFFSET($CC$3,0,0,'Données projet'!$E$12+1,1))-AVERAGE(OFFSET($H$3,0,0,'Données projet'!$E$12+1,1))</f>
        <v>496.33873798282525</v>
      </c>
      <c r="CE71" s="60">
        <f t="shared" si="94"/>
        <v>280.25465074992246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6.8</v>
      </c>
      <c r="CT71" s="13">
        <f>IF('Données projet'!$A$140&gt;35,CT70+CS71-DB70,IF(A71&lt;'Données projet'!$A$140,$CQ$205^A71,IF(A71='Données projet'!$A$140,'Données projet'!$B$140,CT70+CS71-DB70)))</f>
        <v>249.39999999999995</v>
      </c>
      <c r="CU71" s="18">
        <f>CT71*VLOOKUP('Données projet'!$B$13,Paramètres!$A$1:$I$89,3,0)*VLOOKUP('Données projet'!$B$13,Paramètres!$A$1:$I$89,5,0)</f>
        <v>268.45415999999994</v>
      </c>
      <c r="CV71" s="14">
        <f t="shared" si="95"/>
        <v>64.521093475436089</v>
      </c>
      <c r="CW71" s="22">
        <f t="shared" si="67"/>
        <v>579.93189980305101</v>
      </c>
      <c r="CX71" s="60">
        <f t="shared" si="68"/>
        <v>845.37828393026984</v>
      </c>
      <c r="CY71" s="60">
        <f ca="1">AVERAGE(OFFSET($CX$3,0,0,'Données projet'!$E$13+1,1))-AVERAGE(OFFSET($H$3,0,0,'Données projet'!$E$13+1,1))</f>
        <v>542.90832990875208</v>
      </c>
      <c r="CZ71" s="60">
        <f t="shared" si="96"/>
        <v>304.94365539329362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0" t="e">
        <f t="shared" si="71"/>
        <v>#N/A</v>
      </c>
      <c r="DT71" s="60" t="e">
        <f ca="1">AVERAGE(OFFSET($DS$3,0,0,'Données projet'!$E$14+1,1))-AVERAGE(OFFSET($H$3,0,0,'Données projet'!$E$14+1,1))</f>
        <v>#N/A</v>
      </c>
      <c r="DU71" s="60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0" t="e">
        <f t="shared" si="74"/>
        <v>#N/A</v>
      </c>
      <c r="EO71" s="60" t="e">
        <f ca="1">AVERAGE(OFFSET($EN$3,0,0,'Données projet'!$E$15+1,1))-AVERAGE(OFFSET($H$3,0,0,'Données projet'!$E$15+1,1))</f>
        <v>#N/A</v>
      </c>
      <c r="EP71" s="60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0" t="e">
        <f t="shared" si="77"/>
        <v>#N/A</v>
      </c>
      <c r="FJ71" s="60" t="e">
        <f ca="1">AVERAGE(OFFSET($FI$3,0,0,'Données projet'!$E$16+1,1))-AVERAGE(OFFSET($H$3,0,0,'Données projet'!$E$16+1,1))</f>
        <v>#N/A</v>
      </c>
      <c r="FK71" s="60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0" t="e">
        <f t="shared" si="80"/>
        <v>#N/A</v>
      </c>
      <c r="GE71" s="60" t="e">
        <f ca="1">AVERAGE(OFFSET($GD$3,0,0,'Données projet'!$E$17+1,1))-AVERAGE(OFFSET($H$3,0,0,'Données projet'!$E$17+1,1))</f>
        <v>#N/A</v>
      </c>
      <c r="GF71" s="60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4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9.7400000000000091</v>
      </c>
      <c r="N72" s="14">
        <f>IF('Données projet'!$A$36&gt;35,N71+M72-V71,IF(A72&lt;'Données projet'!$A$36,$K$205^A72,IF(A72='Données projet'!$A$36,'Données projet'!$B$36,N71+M72-V71)))</f>
        <v>300.86769230769244</v>
      </c>
      <c r="O72" s="14">
        <f>N72*VLOOKUP('Données projet'!$B$9,Paramètres!$A$1:$I$89,3,0)*VLOOKUP('Données projet'!$B$9,Paramètres!$A$1:$I$89,5,0)</f>
        <v>140.80608000000007</v>
      </c>
      <c r="P72" s="14">
        <f t="shared" si="87"/>
        <v>36.481605355929283</v>
      </c>
      <c r="Q72" s="22">
        <f t="shared" si="54"/>
        <v>308.77605199491023</v>
      </c>
      <c r="R72" s="60">
        <f t="shared" si="55"/>
        <v>574.70621234497685</v>
      </c>
      <c r="S72" s="60">
        <f ca="1">AVERAGE(OFFSET($R$3,0,0,'Données projet'!$E$9+1,1))-AVERAGE(OFFSET($H$3,0,0,'Données projet'!$E$9+1,1))</f>
        <v>277.7918215389401</v>
      </c>
      <c r="T72" s="60">
        <f t="shared" si="88"/>
        <v>164.65640238394164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256.19999999999993</v>
      </c>
      <c r="AJ72" s="14">
        <f>AI72*VLOOKUP('Données projet'!$B$10,Paramètres!$A$1:$I$89,3,0)*VLOOKUP('Données projet'!$B$10,Paramètres!$A$1:$I$89,5,0)</f>
        <v>231.80975999999993</v>
      </c>
      <c r="AK72" s="14">
        <f t="shared" si="89"/>
        <v>56.673815277159328</v>
      </c>
      <c r="AL72" s="22">
        <f t="shared" si="58"/>
        <v>502.44222694105241</v>
      </c>
      <c r="AM72" s="60">
        <f t="shared" si="59"/>
        <v>768.37238729111891</v>
      </c>
      <c r="AN72" s="60">
        <f ca="1">AVERAGE(OFFSET($AM$3,0,0,'Données projet'!$E$10+1,1))-AVERAGE(OFFSET($H$3,0,0,'Données projet'!$E$10+1,1))</f>
        <v>469.67944008675863</v>
      </c>
      <c r="AO72" s="60">
        <f t="shared" si="90"/>
        <v>266.11908070867173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>
        <f>BD72*VLOOKUP('Données projet'!$B$11,Paramètres!$A$1:$I$89,3,0)*VLOOKUP('Données projet'!$B$11,Paramètres!$A$1:$I$89,5,0)</f>
        <v>0</v>
      </c>
      <c r="BF72" s="14" t="e">
        <f t="shared" si="91"/>
        <v>#NUM!</v>
      </c>
      <c r="BG72" s="22" t="e">
        <f t="shared" si="61"/>
        <v>#NUM!</v>
      </c>
      <c r="BH72" s="60" t="e">
        <f t="shared" si="62"/>
        <v>#NUM!</v>
      </c>
      <c r="BI72" s="60">
        <f ca="1">AVERAGE(OFFSET($BH$3,0,0,'Données projet'!$E$11+1,1))-AVERAGE(OFFSET($H$3,0,0,'Données projet'!$E$11+1,1))</f>
        <v>216.36762889365235</v>
      </c>
      <c r="BJ72" s="60">
        <f t="shared" si="92"/>
        <v>333.29599352215496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6.2363534311995314</v>
      </c>
      <c r="BQ72" s="23">
        <f>EXP(-LN(2)/25)*BQ71+(1-EXP(-LN(2)/25))/(LN(2)/25)*Calculateur!BL72*Calculateur!BN72*VLOOKUP('Données projet'!$B$11,Paramètres!$A$1:$I$89,3,0)*0.475*44/12</f>
        <v>3.3065241806289301</v>
      </c>
      <c r="BR72" s="23">
        <f>EXP(-LN(2)/2)*BR71+(1-EXP(-LN(2)/2))/(LN(2)/2)*BL72*BO72*VLOOKUP('Données projet'!$B$11,Paramètres!$A$1:$I$89,3,0)*0.475*44/12</f>
        <v>3.9441731559311014E-6</v>
      </c>
      <c r="BS72" s="24">
        <f t="shared" si="63"/>
        <v>9.5428815560016176</v>
      </c>
      <c r="BT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6.8</v>
      </c>
      <c r="BY72" s="13">
        <f>IF('Données projet'!$A$114&gt;35,BY71+BX72-CG71,IF(A72&lt;'Données projet'!$A$114,$BV$205^A72,IF(A72='Données projet'!$A$114,'Données projet'!$B$114,BY71+BX72-CG71)))</f>
        <v>256.19999999999993</v>
      </c>
      <c r="BZ72" s="14">
        <f>BY72*VLOOKUP('Données projet'!$B$12,Paramètres!$A$1:$I$89,3,0)*VLOOKUP('Données projet'!$B$12,Paramètres!$A$1:$I$89,5,0)</f>
        <v>247.79663999999997</v>
      </c>
      <c r="CA72" s="14">
        <f t="shared" si="93"/>
        <v>60.113881658336368</v>
      </c>
      <c r="CB72" s="22">
        <f t="shared" si="64"/>
        <v>536.27749188826908</v>
      </c>
      <c r="CC72" s="60">
        <f t="shared" si="65"/>
        <v>802.20765223833564</v>
      </c>
      <c r="CD72" s="60">
        <f ca="1">AVERAGE(OFFSET($CC$3,0,0,'Données projet'!$E$12+1,1))-AVERAGE(OFFSET($H$3,0,0,'Données projet'!$E$12+1,1))</f>
        <v>496.33873798282525</v>
      </c>
      <c r="CE72" s="60">
        <f t="shared" si="94"/>
        <v>280.25465074992246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6.8</v>
      </c>
      <c r="CT72" s="13">
        <f>IF('Données projet'!$A$140&gt;35,CT71+CS72-DB71,IF(A72&lt;'Données projet'!$A$140,$CQ$205^A72,IF(A72='Données projet'!$A$140,'Données projet'!$B$140,CT71+CS72-DB71)))</f>
        <v>256.19999999999993</v>
      </c>
      <c r="CU72" s="18">
        <f>CT72*VLOOKUP('Données projet'!$B$13,Paramètres!$A$1:$I$89,3,0)*VLOOKUP('Données projet'!$B$13,Paramètres!$A$1:$I$89,5,0)</f>
        <v>275.7736799999999</v>
      </c>
      <c r="CV72" s="14">
        <f t="shared" si="95"/>
        <v>66.073076930208813</v>
      </c>
      <c r="CW72" s="22">
        <f t="shared" si="67"/>
        <v>595.38310165344672</v>
      </c>
      <c r="CX72" s="60">
        <f t="shared" si="68"/>
        <v>861.31326200351327</v>
      </c>
      <c r="CY72" s="60">
        <f ca="1">AVERAGE(OFFSET($CX$3,0,0,'Données projet'!$E$13+1,1))-AVERAGE(OFFSET($H$3,0,0,'Données projet'!$E$13+1,1))</f>
        <v>542.90832990875208</v>
      </c>
      <c r="CZ72" s="60">
        <f t="shared" si="96"/>
        <v>304.94365539329362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0" t="e">
        <f t="shared" si="71"/>
        <v>#N/A</v>
      </c>
      <c r="DT72" s="60" t="e">
        <f ca="1">AVERAGE(OFFSET($DS$3,0,0,'Données projet'!$E$14+1,1))-AVERAGE(OFFSET($H$3,0,0,'Données projet'!$E$14+1,1))</f>
        <v>#N/A</v>
      </c>
      <c r="DU72" s="60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0" t="e">
        <f t="shared" si="74"/>
        <v>#N/A</v>
      </c>
      <c r="EO72" s="60" t="e">
        <f ca="1">AVERAGE(OFFSET($EN$3,0,0,'Données projet'!$E$15+1,1))-AVERAGE(OFFSET($H$3,0,0,'Données projet'!$E$15+1,1))</f>
        <v>#N/A</v>
      </c>
      <c r="EP72" s="60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0" t="e">
        <f t="shared" si="77"/>
        <v>#N/A</v>
      </c>
      <c r="FJ72" s="60" t="e">
        <f ca="1">AVERAGE(OFFSET($FI$3,0,0,'Données projet'!$E$16+1,1))-AVERAGE(OFFSET($H$3,0,0,'Données projet'!$E$16+1,1))</f>
        <v>#N/A</v>
      </c>
      <c r="FK72" s="60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0" t="e">
        <f t="shared" si="80"/>
        <v>#N/A</v>
      </c>
      <c r="GE72" s="60" t="e">
        <f ca="1">AVERAGE(OFFSET($GD$3,0,0,'Données projet'!$E$17+1,1))-AVERAGE(OFFSET($H$3,0,0,'Données projet'!$E$17+1,1))</f>
        <v>#N/A</v>
      </c>
      <c r="GF72" s="60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4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310.60769230769233</v>
      </c>
      <c r="L73" s="13">
        <f>VLOOKUP(A73,'Données projet'!$A$35:$I$55,9,0)</f>
        <v>9.7400000000000091</v>
      </c>
      <c r="M73" s="13">
        <f t="array" ref="M73">INDEX(L:L,MIN(IF(ISNUMBER(L73:L269),ROW(L73:L269),"")))</f>
        <v>9.7400000000000091</v>
      </c>
      <c r="N73" s="14">
        <f>IF('Données projet'!$A$36&gt;35,N72+M73-V72,IF(A73&lt;'Données projet'!$A$36,$K$205^A73,IF(A73='Données projet'!$A$36,'Données projet'!$B$36,N72+M73-V72)))</f>
        <v>310.60769230769245</v>
      </c>
      <c r="O73" s="14">
        <f>N73*VLOOKUP('Données projet'!$B$9,Paramètres!$A$1:$I$89,3,0)*VLOOKUP('Données projet'!$B$9,Paramètres!$A$1:$I$89,5,0)</f>
        <v>145.36440000000007</v>
      </c>
      <c r="P73" s="14">
        <f t="shared" si="87"/>
        <v>37.523211972029195</v>
      </c>
      <c r="Q73" s="22">
        <f t="shared" si="54"/>
        <v>318.52925751795101</v>
      </c>
      <c r="R73" s="60">
        <f t="shared" si="55"/>
        <v>584.93480165496044</v>
      </c>
      <c r="S73" s="60">
        <f ca="1">AVERAGE(OFFSET($R$3,0,0,'Données projet'!$E$9+1,1))-AVERAGE(OFFSET($H$3,0,0,'Données projet'!$E$9+1,1))</f>
        <v>277.7918215389401</v>
      </c>
      <c r="T73" s="60">
        <f t="shared" si="88"/>
        <v>164.65640238394164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263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262.99999999999994</v>
      </c>
      <c r="AJ73" s="14">
        <f>AI73*VLOOKUP('Données projet'!$B$10,Paramètres!$A$1:$I$89,3,0)*VLOOKUP('Données projet'!$B$10,Paramètres!$A$1:$I$89,5,0)</f>
        <v>237.96239999999995</v>
      </c>
      <c r="AK73" s="14">
        <f t="shared" si="89"/>
        <v>58.00091360766335</v>
      </c>
      <c r="AL73" s="22">
        <f t="shared" si="58"/>
        <v>515.4694378666801</v>
      </c>
      <c r="AM73" s="60">
        <f t="shared" si="59"/>
        <v>781.87498200368964</v>
      </c>
      <c r="AN73" s="60">
        <f ca="1">AVERAGE(OFFSET($AM$3,0,0,'Données projet'!$E$10+1,1))-AVERAGE(OFFSET($H$3,0,0,'Données projet'!$E$10+1,1))</f>
        <v>469.67944008675863</v>
      </c>
      <c r="AO73" s="60">
        <f t="shared" si="90"/>
        <v>266.11908070867173</v>
      </c>
      <c r="AP73" s="16">
        <f>IF(ISNA(VLOOKUP(A73,'Données projet'!$A$61:$I$81,3,0)),0,VLOOKUP(A73,'Données projet'!$A$61:$I$81,3,0))</f>
        <v>5</v>
      </c>
      <c r="AQ73" s="16">
        <f>IF(ISNA(VLOOKUP(A73,'Données projet'!$A$61:$I$81,4,0)),0,VLOOKUP(A73,'Données projet'!$A$61:$I$81,4,0))</f>
        <v>42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>
        <f>BD73*VLOOKUP('Données projet'!$B$11,Paramètres!$A$1:$I$89,3,0)*VLOOKUP('Données projet'!$B$11,Paramètres!$A$1:$I$89,5,0)</f>
        <v>0</v>
      </c>
      <c r="BF73" s="14" t="e">
        <f t="shared" si="91"/>
        <v>#NUM!</v>
      </c>
      <c r="BG73" s="22" t="e">
        <f t="shared" si="61"/>
        <v>#NUM!</v>
      </c>
      <c r="BH73" s="60" t="e">
        <f t="shared" si="62"/>
        <v>#NUM!</v>
      </c>
      <c r="BI73" s="60">
        <f ca="1">AVERAGE(OFFSET($BH$3,0,0,'Données projet'!$E$11+1,1))-AVERAGE(OFFSET($H$3,0,0,'Données projet'!$E$11+1,1))</f>
        <v>216.36762889365235</v>
      </c>
      <c r="BJ73" s="60">
        <f t="shared" si="92"/>
        <v>333.29599352215496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6.1140623442137079</v>
      </c>
      <c r="BQ73" s="23">
        <f>EXP(-LN(2)/25)*BQ72+(1-EXP(-LN(2)/25))/(LN(2)/25)*Calculateur!BL73*Calculateur!BN73*VLOOKUP('Données projet'!$B$11,Paramètres!$A$1:$I$89,3,0)*0.475*44/12</f>
        <v>3.2161071030270825</v>
      </c>
      <c r="BR73" s="23">
        <f>EXP(-LN(2)/2)*BR72+(1-EXP(-LN(2)/2))/(LN(2)/2)*BL73*BO73*VLOOKUP('Données projet'!$B$11,Paramètres!$A$1:$I$89,3,0)*0.475*44/12</f>
        <v>2.7889515847328279E-6</v>
      </c>
      <c r="BS73" s="24">
        <f t="shared" si="63"/>
        <v>9.3301722361923751</v>
      </c>
      <c r="BT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263</v>
      </c>
      <c r="BW73" s="13">
        <f>VLOOKUP(A73,'Données projet'!$A$113:$I$133,9,0)</f>
        <v>6.8</v>
      </c>
      <c r="BX73" s="13">
        <f t="array" ref="BX73">INDEX(BW:BW,MIN(IF(ISNUMBER(BW73:BW269),ROW(BW73:BW269),"")))</f>
        <v>6.8</v>
      </c>
      <c r="BY73" s="13">
        <f>IF('Données projet'!$A$114&gt;35,BY72+BX73-CG72,IF(A73&lt;'Données projet'!$A$114,$BV$205^A73,IF(A73='Données projet'!$A$114,'Données projet'!$B$114,BY72+BX73-CG72)))</f>
        <v>262.99999999999994</v>
      </c>
      <c r="BZ73" s="14">
        <f>BY73*VLOOKUP('Données projet'!$B$12,Paramètres!$A$1:$I$89,3,0)*VLOOKUP('Données projet'!$B$12,Paramètres!$A$1:$I$89,5,0)</f>
        <v>254.37359999999998</v>
      </c>
      <c r="CA73" s="14">
        <f t="shared" si="93"/>
        <v>61.521534056516209</v>
      </c>
      <c r="CB73" s="22">
        <f t="shared" si="64"/>
        <v>550.1840251484324</v>
      </c>
      <c r="CC73" s="60">
        <f t="shared" si="65"/>
        <v>816.58956928544194</v>
      </c>
      <c r="CD73" s="60">
        <f ca="1">AVERAGE(OFFSET($CC$3,0,0,'Données projet'!$E$12+1,1))-AVERAGE(OFFSET($H$3,0,0,'Données projet'!$E$12+1,1))</f>
        <v>496.33873798282525</v>
      </c>
      <c r="CE73" s="60">
        <f t="shared" si="94"/>
        <v>280.25465074992246</v>
      </c>
      <c r="CF73" s="16">
        <f>IF(ISNA(VLOOKUP(A73,'Données projet'!$A$113:$I$133,3,0)),0,VLOOKUP(A73,'Données projet'!$A$113:$I$133,3,0))</f>
        <v>5</v>
      </c>
      <c r="CG73" s="16">
        <f>IF(ISNA(VLOOKUP(A73,'Données projet'!$A$113:$I$133,4,0)),0,VLOOKUP(A73,'Données projet'!$A$113:$I$133,4,0))</f>
        <v>42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263</v>
      </c>
      <c r="CR73" s="13">
        <f>VLOOKUP(A73,'Données projet'!$A$139:$I$159,9,0)</f>
        <v>6.8</v>
      </c>
      <c r="CS73" s="13">
        <f t="array" ref="CS73">INDEX(CR:CR,MIN(IF(ISNUMBER(CR73:CR269),ROW(CR73:CR269),"")))</f>
        <v>6.8</v>
      </c>
      <c r="CT73" s="13">
        <f>IF('Données projet'!$A$140&gt;35,CT72+CS73-DB72,IF(A73&lt;'Données projet'!$A$140,$CQ$205^A73,IF(A73='Données projet'!$A$140,'Données projet'!$B$140,CT72+CS73-DB72)))</f>
        <v>262.99999999999994</v>
      </c>
      <c r="CU73" s="18">
        <f>CT73*VLOOKUP('Données projet'!$B$13,Paramètres!$A$1:$I$89,3,0)*VLOOKUP('Données projet'!$B$13,Paramètres!$A$1:$I$89,5,0)</f>
        <v>283.09319999999991</v>
      </c>
      <c r="CV73" s="14">
        <f t="shared" si="95"/>
        <v>67.620272397048666</v>
      </c>
      <c r="CW73" s="22">
        <f t="shared" si="67"/>
        <v>610.82596442485954</v>
      </c>
      <c r="CX73" s="60">
        <f t="shared" si="68"/>
        <v>877.23150856186908</v>
      </c>
      <c r="CY73" s="60">
        <f ca="1">AVERAGE(OFFSET($CX$3,0,0,'Données projet'!$E$13+1,1))-AVERAGE(OFFSET($H$3,0,0,'Données projet'!$E$13+1,1))</f>
        <v>542.90832990875208</v>
      </c>
      <c r="CZ73" s="60">
        <f t="shared" si="96"/>
        <v>304.94365539329362</v>
      </c>
      <c r="DA73" s="16">
        <f>IF(ISNA(VLOOKUP(A73,'Données projet'!$A$139:$I$159,3,0)),0,VLOOKUP(A73,'Données projet'!$A$139:$I$159,3,0))</f>
        <v>5</v>
      </c>
      <c r="DB73" s="16">
        <f>IF(ISNA(VLOOKUP(A73,'Données projet'!$A$139:$I$159,4,0)),0,VLOOKUP(A73,'Données projet'!$A$139:$I$159,4,0))</f>
        <v>42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0" t="e">
        <f t="shared" si="71"/>
        <v>#N/A</v>
      </c>
      <c r="DT73" s="60" t="e">
        <f ca="1">AVERAGE(OFFSET($DS$3,0,0,'Données projet'!$E$14+1,1))-AVERAGE(OFFSET($H$3,0,0,'Données projet'!$E$14+1,1))</f>
        <v>#N/A</v>
      </c>
      <c r="DU73" s="60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0" t="e">
        <f t="shared" si="74"/>
        <v>#N/A</v>
      </c>
      <c r="EO73" s="60" t="e">
        <f ca="1">AVERAGE(OFFSET($EN$3,0,0,'Données projet'!$E$15+1,1))-AVERAGE(OFFSET($H$3,0,0,'Données projet'!$E$15+1,1))</f>
        <v>#N/A</v>
      </c>
      <c r="EP73" s="60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0" t="e">
        <f t="shared" si="77"/>
        <v>#N/A</v>
      </c>
      <c r="FJ73" s="60" t="e">
        <f ca="1">AVERAGE(OFFSET($FI$3,0,0,'Données projet'!$E$16+1,1))-AVERAGE(OFFSET($H$3,0,0,'Données projet'!$E$16+1,1))</f>
        <v>#N/A</v>
      </c>
      <c r="FK73" s="60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0" t="e">
        <f t="shared" si="80"/>
        <v>#N/A</v>
      </c>
      <c r="GE73" s="60" t="e">
        <f ca="1">AVERAGE(OFFSET($GD$3,0,0,'Données projet'!$E$17+1,1))-AVERAGE(OFFSET($H$3,0,0,'Données projet'!$E$17+1,1))</f>
        <v>#N/A</v>
      </c>
      <c r="GF73" s="60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4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9.9738461538461483</v>
      </c>
      <c r="N74" s="14">
        <f>IF('Données projet'!$A$36&gt;35,N73+M74-V73,IF(A74&lt;'Données projet'!$A$36,$K$205^A74,IF(A74='Données projet'!$A$36,'Données projet'!$B$36,N73+M74-V73)))</f>
        <v>320.58153846153857</v>
      </c>
      <c r="O74" s="14">
        <f>N74*VLOOKUP('Données projet'!$B$9,Paramètres!$A$1:$I$89,3,0)*VLOOKUP('Données projet'!$B$9,Paramètres!$A$1:$I$89,5,0)</f>
        <v>150.03216000000003</v>
      </c>
      <c r="P74" s="14">
        <f t="shared" si="87"/>
        <v>38.585894005067033</v>
      </c>
      <c r="Q74" s="22">
        <f t="shared" si="54"/>
        <v>328.50977739215841</v>
      </c>
      <c r="R74" s="60">
        <f t="shared" si="55"/>
        <v>595.3824584702063</v>
      </c>
      <c r="S74" s="60">
        <f ca="1">AVERAGE(OFFSET($R$3,0,0,'Données projet'!$E$9+1,1))-AVERAGE(OFFSET($H$3,0,0,'Données projet'!$E$9+1,1))</f>
        <v>277.7918215389401</v>
      </c>
      <c r="T74" s="60">
        <f t="shared" si="88"/>
        <v>164.65640238394164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227.19999999999993</v>
      </c>
      <c r="AJ74" s="14">
        <f>AI74*VLOOKUP('Données projet'!$B$10,Paramètres!$A$1:$I$89,3,0)*VLOOKUP('Données projet'!$B$10,Paramètres!$A$1:$I$89,5,0)</f>
        <v>205.57055999999994</v>
      </c>
      <c r="AK74" s="14">
        <f t="shared" si="89"/>
        <v>50.966443946767392</v>
      </c>
      <c r="AL74" s="22">
        <f t="shared" si="58"/>
        <v>446.80194854061978</v>
      </c>
      <c r="AM74" s="60">
        <f t="shared" si="59"/>
        <v>713.67462961866772</v>
      </c>
      <c r="AN74" s="60">
        <f ca="1">AVERAGE(OFFSET($AM$3,0,0,'Données projet'!$E$10+1,1))-AVERAGE(OFFSET($H$3,0,0,'Données projet'!$E$10+1,1))</f>
        <v>469.67944008675863</v>
      </c>
      <c r="AO74" s="60">
        <f t="shared" si="90"/>
        <v>266.11908070867173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>
        <f>BD74*VLOOKUP('Données projet'!$B$11,Paramètres!$A$1:$I$89,3,0)*VLOOKUP('Données projet'!$B$11,Paramètres!$A$1:$I$89,5,0)</f>
        <v>0</v>
      </c>
      <c r="BF74" s="14" t="e">
        <f t="shared" si="91"/>
        <v>#NUM!</v>
      </c>
      <c r="BG74" s="22" t="e">
        <f t="shared" si="61"/>
        <v>#NUM!</v>
      </c>
      <c r="BH74" s="60" t="e">
        <f t="shared" si="62"/>
        <v>#NUM!</v>
      </c>
      <c r="BI74" s="60">
        <f ca="1">AVERAGE(OFFSET($BH$3,0,0,'Données projet'!$E$11+1,1))-AVERAGE(OFFSET($H$3,0,0,'Données projet'!$E$11+1,1))</f>
        <v>216.36762889365235</v>
      </c>
      <c r="BJ74" s="60">
        <f t="shared" si="92"/>
        <v>333.29599352215496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5.9941693108534784</v>
      </c>
      <c r="BQ74" s="23">
        <f>EXP(-LN(2)/25)*BQ73+(1-EXP(-LN(2)/25))/(LN(2)/25)*Calculateur!BL74*Calculateur!BN74*VLOOKUP('Données projet'!$B$11,Paramètres!$A$1:$I$89,3,0)*0.475*44/12</f>
        <v>3.1281624851670848</v>
      </c>
      <c r="BR74" s="23">
        <f>EXP(-LN(2)/2)*BR73+(1-EXP(-LN(2)/2))/(LN(2)/2)*BL74*BO74*VLOOKUP('Données projet'!$B$11,Paramètres!$A$1:$I$89,3,0)*0.475*44/12</f>
        <v>1.9720865779655507E-6</v>
      </c>
      <c r="BS74" s="24">
        <f t="shared" si="63"/>
        <v>9.1223337681071417</v>
      </c>
      <c r="BT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6.2</v>
      </c>
      <c r="BY74" s="13">
        <f>IF('Données projet'!$A$114&gt;35,BY73+BX74-CG73,IF(A74&lt;'Données projet'!$A$114,$BV$205^A74,IF(A74='Données projet'!$A$114,'Données projet'!$B$114,BY73+BX74-CG73)))</f>
        <v>227.19999999999993</v>
      </c>
      <c r="BZ74" s="14">
        <f>BY74*VLOOKUP('Données projet'!$B$12,Paramètres!$A$1:$I$89,3,0)*VLOOKUP('Données projet'!$B$12,Paramètres!$A$1:$I$89,5,0)</f>
        <v>219.74783999999994</v>
      </c>
      <c r="CA74" s="14">
        <f t="shared" si="93"/>
        <v>54.060076332940561</v>
      </c>
      <c r="CB74" s="22">
        <f t="shared" si="64"/>
        <v>476.88212094653812</v>
      </c>
      <c r="CC74" s="60">
        <f t="shared" si="65"/>
        <v>743.75480202458607</v>
      </c>
      <c r="CD74" s="60">
        <f ca="1">AVERAGE(OFFSET($CC$3,0,0,'Données projet'!$E$12+1,1))-AVERAGE(OFFSET($H$3,0,0,'Données projet'!$E$12+1,1))</f>
        <v>496.33873798282525</v>
      </c>
      <c r="CE74" s="60">
        <f t="shared" si="94"/>
        <v>280.25465074992246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6.2</v>
      </c>
      <c r="CT74" s="13">
        <f>IF('Données projet'!$A$140&gt;35,CT73+CS74-DB73,IF(A74&lt;'Données projet'!$A$140,$CQ$205^A74,IF(A74='Données projet'!$A$140,'Données projet'!$B$140,CT73+CS74-DB73)))</f>
        <v>227.19999999999993</v>
      </c>
      <c r="CU74" s="18">
        <f>CT74*VLOOKUP('Données projet'!$B$13,Paramètres!$A$1:$I$89,3,0)*VLOOKUP('Données projet'!$B$13,Paramètres!$A$1:$I$89,5,0)</f>
        <v>244.55807999999993</v>
      </c>
      <c r="CV74" s="14">
        <f t="shared" si="95"/>
        <v>59.419147189674156</v>
      </c>
      <c r="CW74" s="22">
        <f t="shared" si="67"/>
        <v>529.42700402201569</v>
      </c>
      <c r="CX74" s="60">
        <f t="shared" si="68"/>
        <v>796.2996851000637</v>
      </c>
      <c r="CY74" s="60">
        <f ca="1">AVERAGE(OFFSET($CX$3,0,0,'Données projet'!$E$13+1,1))-AVERAGE(OFFSET($H$3,0,0,'Données projet'!$E$13+1,1))</f>
        <v>542.90832990875208</v>
      </c>
      <c r="CZ74" s="60">
        <f t="shared" si="96"/>
        <v>304.94365539329362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0" t="e">
        <f t="shared" si="71"/>
        <v>#N/A</v>
      </c>
      <c r="DT74" s="60" t="e">
        <f ca="1">AVERAGE(OFFSET($DS$3,0,0,'Données projet'!$E$14+1,1))-AVERAGE(OFFSET($H$3,0,0,'Données projet'!$E$14+1,1))</f>
        <v>#N/A</v>
      </c>
      <c r="DU74" s="60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0" t="e">
        <f t="shared" si="74"/>
        <v>#N/A</v>
      </c>
      <c r="EO74" s="60" t="e">
        <f ca="1">AVERAGE(OFFSET($EN$3,0,0,'Données projet'!$E$15+1,1))-AVERAGE(OFFSET($H$3,0,0,'Données projet'!$E$15+1,1))</f>
        <v>#N/A</v>
      </c>
      <c r="EP74" s="60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0" t="e">
        <f t="shared" si="77"/>
        <v>#N/A</v>
      </c>
      <c r="FJ74" s="60" t="e">
        <f ca="1">AVERAGE(OFFSET($FI$3,0,0,'Données projet'!$E$16+1,1))-AVERAGE(OFFSET($H$3,0,0,'Données projet'!$E$16+1,1))</f>
        <v>#N/A</v>
      </c>
      <c r="FK74" s="60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0" t="e">
        <f t="shared" si="80"/>
        <v>#N/A</v>
      </c>
      <c r="GE74" s="60" t="e">
        <f ca="1">AVERAGE(OFFSET($GD$3,0,0,'Données projet'!$E$17+1,1))-AVERAGE(OFFSET($H$3,0,0,'Données projet'!$E$17+1,1))</f>
        <v>#N/A</v>
      </c>
      <c r="GF74" s="60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4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9.9738461538461483</v>
      </c>
      <c r="N75" s="14">
        <f>IF('Données projet'!$A$36&gt;35,N74+M75-V74,IF(A75&lt;'Données projet'!$A$36,$K$205^A75,IF(A75='Données projet'!$A$36,'Données projet'!$B$36,N74+M75-V74)))</f>
        <v>330.5553846153847</v>
      </c>
      <c r="O75" s="14">
        <f>N75*VLOOKUP('Données projet'!$B$9,Paramètres!$A$1:$I$89,3,0)*VLOOKUP('Données projet'!$B$9,Paramètres!$A$1:$I$89,5,0)</f>
        <v>154.69992000000005</v>
      </c>
      <c r="P75" s="14">
        <f t="shared" si="87"/>
        <v>39.644733940773868</v>
      </c>
      <c r="Q75" s="22">
        <f t="shared" si="54"/>
        <v>338.48360561351461</v>
      </c>
      <c r="R75" s="60">
        <f t="shared" si="55"/>
        <v>605.81531985103572</v>
      </c>
      <c r="S75" s="60">
        <f ca="1">AVERAGE(OFFSET($R$3,0,0,'Données projet'!$E$9+1,1))-AVERAGE(OFFSET($H$3,0,0,'Données projet'!$E$9+1,1))</f>
        <v>277.7918215389401</v>
      </c>
      <c r="T75" s="60">
        <f t="shared" si="88"/>
        <v>164.65640238394164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233.39999999999992</v>
      </c>
      <c r="AJ75" s="14">
        <f>AI75*VLOOKUP('Données projet'!$B$10,Paramètres!$A$1:$I$89,3,0)*VLOOKUP('Données projet'!$B$10,Paramètres!$A$1:$I$89,5,0)</f>
        <v>211.18031999999994</v>
      </c>
      <c r="AK75" s="14">
        <f t="shared" si="89"/>
        <v>52.193431117443019</v>
      </c>
      <c r="AL75" s="22">
        <f t="shared" si="58"/>
        <v>458.70928319621316</v>
      </c>
      <c r="AM75" s="60">
        <f t="shared" si="59"/>
        <v>726.04099743373422</v>
      </c>
      <c r="AN75" s="60">
        <f ca="1">AVERAGE(OFFSET($AM$3,0,0,'Données projet'!$E$10+1,1))-AVERAGE(OFFSET($H$3,0,0,'Données projet'!$E$10+1,1))</f>
        <v>469.67944008675863</v>
      </c>
      <c r="AO75" s="60">
        <f t="shared" si="90"/>
        <v>266.11908070867173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>
        <f>BD75*VLOOKUP('Données projet'!$B$11,Paramètres!$A$1:$I$89,3,0)*VLOOKUP('Données projet'!$B$11,Paramètres!$A$1:$I$89,5,0)</f>
        <v>0</v>
      </c>
      <c r="BF75" s="14" t="e">
        <f t="shared" si="91"/>
        <v>#NUM!</v>
      </c>
      <c r="BG75" s="22" t="e">
        <f t="shared" si="61"/>
        <v>#NUM!</v>
      </c>
      <c r="BH75" s="60" t="e">
        <f t="shared" si="62"/>
        <v>#NUM!</v>
      </c>
      <c r="BI75" s="60">
        <f ca="1">AVERAGE(OFFSET($BH$3,0,0,'Données projet'!$E$11+1,1))-AVERAGE(OFFSET($H$3,0,0,'Données projet'!$E$11+1,1))</f>
        <v>216.36762889365235</v>
      </c>
      <c r="BJ75" s="60">
        <f t="shared" si="92"/>
        <v>333.29599352215496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5.8766273067499135</v>
      </c>
      <c r="BQ75" s="23">
        <f>EXP(-LN(2)/25)*BQ74+(1-EXP(-LN(2)/25))/(LN(2)/25)*Calculateur!BL75*Calculateur!BN75*VLOOKUP('Données projet'!$B$11,Paramètres!$A$1:$I$89,3,0)*0.475*44/12</f>
        <v>3.0426227175072755</v>
      </c>
      <c r="BR75" s="23">
        <f>EXP(-LN(2)/2)*BR74+(1-EXP(-LN(2)/2))/(LN(2)/2)*BL75*BO75*VLOOKUP('Données projet'!$B$11,Paramètres!$A$1:$I$89,3,0)*0.475*44/12</f>
        <v>1.394475792366414E-6</v>
      </c>
      <c r="BS75" s="24">
        <f t="shared" si="63"/>
        <v>8.9192514187329799</v>
      </c>
      <c r="BT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6.2</v>
      </c>
      <c r="BY75" s="13">
        <f>IF('Données projet'!$A$114&gt;35,BY74+BX75-CG74,IF(A75&lt;'Données projet'!$A$114,$BV$205^A75,IF(A75='Données projet'!$A$114,'Données projet'!$B$114,BY74+BX75-CG74)))</f>
        <v>233.39999999999992</v>
      </c>
      <c r="BZ75" s="14">
        <f>BY75*VLOOKUP('Données projet'!$B$12,Paramètres!$A$1:$I$89,3,0)*VLOOKUP('Données projet'!$B$12,Paramètres!$A$1:$I$89,5,0)</f>
        <v>225.74447999999992</v>
      </c>
      <c r="CA75" s="14">
        <f t="shared" si="93"/>
        <v>55.36154088431374</v>
      </c>
      <c r="CB75" s="22">
        <f t="shared" si="64"/>
        <v>489.59298637351299</v>
      </c>
      <c r="CC75" s="60">
        <f t="shared" si="65"/>
        <v>756.92470061103404</v>
      </c>
      <c r="CD75" s="60">
        <f ca="1">AVERAGE(OFFSET($CC$3,0,0,'Données projet'!$E$12+1,1))-AVERAGE(OFFSET($H$3,0,0,'Données projet'!$E$12+1,1))</f>
        <v>496.33873798282525</v>
      </c>
      <c r="CE75" s="60">
        <f t="shared" si="94"/>
        <v>280.25465074992246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6.2</v>
      </c>
      <c r="CT75" s="13">
        <f>IF('Données projet'!$A$140&gt;35,CT74+CS75-DB74,IF(A75&lt;'Données projet'!$A$140,$CQ$205^A75,IF(A75='Données projet'!$A$140,'Données projet'!$B$140,CT74+CS75-DB74)))</f>
        <v>233.39999999999992</v>
      </c>
      <c r="CU75" s="18">
        <f>CT75*VLOOKUP('Données projet'!$B$13,Paramètres!$A$1:$I$89,3,0)*VLOOKUP('Données projet'!$B$13,Paramètres!$A$1:$I$89,5,0)</f>
        <v>251.23175999999989</v>
      </c>
      <c r="CV75" s="14">
        <f t="shared" si="95"/>
        <v>60.849628220886878</v>
      </c>
      <c r="CW75" s="22">
        <f t="shared" si="67"/>
        <v>543.54175115137775</v>
      </c>
      <c r="CX75" s="60">
        <f t="shared" si="68"/>
        <v>810.87346538889892</v>
      </c>
      <c r="CY75" s="60">
        <f ca="1">AVERAGE(OFFSET($CX$3,0,0,'Données projet'!$E$13+1,1))-AVERAGE(OFFSET($H$3,0,0,'Données projet'!$E$13+1,1))</f>
        <v>542.90832990875208</v>
      </c>
      <c r="CZ75" s="60">
        <f t="shared" si="96"/>
        <v>304.94365539329362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0" t="e">
        <f t="shared" si="71"/>
        <v>#N/A</v>
      </c>
      <c r="DT75" s="60" t="e">
        <f ca="1">AVERAGE(OFFSET($DS$3,0,0,'Données projet'!$E$14+1,1))-AVERAGE(OFFSET($H$3,0,0,'Données projet'!$E$14+1,1))</f>
        <v>#N/A</v>
      </c>
      <c r="DU75" s="60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0" t="e">
        <f t="shared" si="74"/>
        <v>#N/A</v>
      </c>
      <c r="EO75" s="60" t="e">
        <f ca="1">AVERAGE(OFFSET($EN$3,0,0,'Données projet'!$E$15+1,1))-AVERAGE(OFFSET($H$3,0,0,'Données projet'!$E$15+1,1))</f>
        <v>#N/A</v>
      </c>
      <c r="EP75" s="60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0" t="e">
        <f t="shared" si="77"/>
        <v>#N/A</v>
      </c>
      <c r="FJ75" s="60" t="e">
        <f ca="1">AVERAGE(OFFSET($FI$3,0,0,'Données projet'!$E$16+1,1))-AVERAGE(OFFSET($H$3,0,0,'Données projet'!$E$16+1,1))</f>
        <v>#N/A</v>
      </c>
      <c r="FK75" s="60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0" t="e">
        <f t="shared" si="80"/>
        <v>#N/A</v>
      </c>
      <c r="GE75" s="60" t="e">
        <f ca="1">AVERAGE(OFFSET($GD$3,0,0,'Données projet'!$E$17+1,1))-AVERAGE(OFFSET($H$3,0,0,'Données projet'!$E$17+1,1))</f>
        <v>#N/A</v>
      </c>
      <c r="GF75" s="60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4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9.9738461538461483</v>
      </c>
      <c r="N76" s="14">
        <f>IF('Données projet'!$A$36&gt;35,N75+M76-V75,IF(A76&lt;'Données projet'!$A$36,$K$205^A76,IF(A76='Données projet'!$A$36,'Données projet'!$B$36,N75+M76-V75)))</f>
        <v>340.52923076923082</v>
      </c>
      <c r="O76" s="14">
        <f>N76*VLOOKUP('Données projet'!$B$9,Paramètres!$A$1:$I$89,3,0)*VLOOKUP('Données projet'!$B$9,Paramètres!$A$1:$I$89,5,0)</f>
        <v>159.36768000000004</v>
      </c>
      <c r="P76" s="14">
        <f t="shared" si="87"/>
        <v>40.69986101346781</v>
      </c>
      <c r="Q76" s="22">
        <f t="shared" si="54"/>
        <v>348.45096726512315</v>
      </c>
      <c r="R76" s="60">
        <f t="shared" si="55"/>
        <v>616.23375146304488</v>
      </c>
      <c r="S76" s="60">
        <f ca="1">AVERAGE(OFFSET($R$3,0,0,'Données projet'!$E$9+1,1))-AVERAGE(OFFSET($H$3,0,0,'Données projet'!$E$9+1,1))</f>
        <v>277.7918215389401</v>
      </c>
      <c r="T76" s="60">
        <f t="shared" si="88"/>
        <v>164.65640238394164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239.59999999999991</v>
      </c>
      <c r="AJ76" s="14">
        <f>AI76*VLOOKUP('Données projet'!$B$10,Paramètres!$A$1:$I$89,3,0)*VLOOKUP('Données projet'!$B$10,Paramètres!$A$1:$I$89,5,0)</f>
        <v>216.7900799999999</v>
      </c>
      <c r="AK76" s="14">
        <f t="shared" si="89"/>
        <v>53.416629794462551</v>
      </c>
      <c r="AL76" s="22">
        <f t="shared" si="58"/>
        <v>470.61001955868869</v>
      </c>
      <c r="AM76" s="60">
        <f t="shared" si="59"/>
        <v>738.39280375661042</v>
      </c>
      <c r="AN76" s="60">
        <f ca="1">AVERAGE(OFFSET($AM$3,0,0,'Données projet'!$E$10+1,1))-AVERAGE(OFFSET($H$3,0,0,'Données projet'!$E$10+1,1))</f>
        <v>469.67944008675863</v>
      </c>
      <c r="AO76" s="60">
        <f t="shared" si="90"/>
        <v>266.11908070867173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>
        <f>BD76*VLOOKUP('Données projet'!$B$11,Paramètres!$A$1:$I$89,3,0)*VLOOKUP('Données projet'!$B$11,Paramètres!$A$1:$I$89,5,0)</f>
        <v>0</v>
      </c>
      <c r="BF76" s="14" t="e">
        <f t="shared" si="91"/>
        <v>#NUM!</v>
      </c>
      <c r="BG76" s="22" t="e">
        <f t="shared" si="61"/>
        <v>#NUM!</v>
      </c>
      <c r="BH76" s="60" t="e">
        <f t="shared" si="62"/>
        <v>#NUM!</v>
      </c>
      <c r="BI76" s="60">
        <f ca="1">AVERAGE(OFFSET($BH$3,0,0,'Données projet'!$E$11+1,1))-AVERAGE(OFFSET($H$3,0,0,'Données projet'!$E$11+1,1))</f>
        <v>216.36762889365235</v>
      </c>
      <c r="BJ76" s="60">
        <f t="shared" si="92"/>
        <v>333.29599352215496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5.7613902296532755</v>
      </c>
      <c r="BQ76" s="23">
        <f>EXP(-LN(2)/25)*BQ75+(1-EXP(-LN(2)/25))/(LN(2)/25)*Calculateur!BL76*Calculateur!BN76*VLOOKUP('Données projet'!$B$11,Paramètres!$A$1:$I$89,3,0)*0.475*44/12</f>
        <v>2.9594220392924644</v>
      </c>
      <c r="BR76" s="23">
        <f>EXP(-LN(2)/2)*BR75+(1-EXP(-LN(2)/2))/(LN(2)/2)*BL76*BO76*VLOOKUP('Données projet'!$B$11,Paramètres!$A$1:$I$89,3,0)*0.475*44/12</f>
        <v>9.8604328898277535E-7</v>
      </c>
      <c r="BS76" s="24">
        <f t="shared" si="63"/>
        <v>8.7208132549890287</v>
      </c>
      <c r="BT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6.2</v>
      </c>
      <c r="BY76" s="13">
        <f>IF('Données projet'!$A$114&gt;35,BY75+BX76-CG75,IF(A76&lt;'Données projet'!$A$114,$BV$205^A76,IF(A76='Données projet'!$A$114,'Données projet'!$B$114,BY75+BX76-CG75)))</f>
        <v>239.59999999999991</v>
      </c>
      <c r="BZ76" s="14">
        <f>BY76*VLOOKUP('Données projet'!$B$12,Paramètres!$A$1:$I$89,3,0)*VLOOKUP('Données projet'!$B$12,Paramètres!$A$1:$I$89,5,0)</f>
        <v>231.74111999999991</v>
      </c>
      <c r="CA76" s="14">
        <f t="shared" si="93"/>
        <v>56.658986982752438</v>
      </c>
      <c r="CB76" s="22">
        <f t="shared" si="64"/>
        <v>502.29685299496032</v>
      </c>
      <c r="CC76" s="60">
        <f t="shared" si="65"/>
        <v>770.07963719288205</v>
      </c>
      <c r="CD76" s="60">
        <f ca="1">AVERAGE(OFFSET($CC$3,0,0,'Données projet'!$E$12+1,1))-AVERAGE(OFFSET($H$3,0,0,'Données projet'!$E$12+1,1))</f>
        <v>496.33873798282525</v>
      </c>
      <c r="CE76" s="60">
        <f t="shared" si="94"/>
        <v>280.25465074992246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6.2</v>
      </c>
      <c r="CT76" s="13">
        <f>IF('Données projet'!$A$140&gt;35,CT75+CS76-DB75,IF(A76&lt;'Données projet'!$A$140,$CQ$205^A76,IF(A76='Données projet'!$A$140,'Données projet'!$B$140,CT75+CS76-DB75)))</f>
        <v>239.59999999999991</v>
      </c>
      <c r="CU76" s="18">
        <f>CT76*VLOOKUP('Données projet'!$B$13,Paramètres!$A$1:$I$89,3,0)*VLOOKUP('Données projet'!$B$13,Paramètres!$A$1:$I$89,5,0)</f>
        <v>257.90543999999989</v>
      </c>
      <c r="CV76" s="14">
        <f t="shared" si="95"/>
        <v>62.275692442827719</v>
      </c>
      <c r="CW76" s="22">
        <f t="shared" si="67"/>
        <v>557.64880567125817</v>
      </c>
      <c r="CX76" s="60">
        <f t="shared" si="68"/>
        <v>825.43158986918002</v>
      </c>
      <c r="CY76" s="60">
        <f ca="1">AVERAGE(OFFSET($CX$3,0,0,'Données projet'!$E$13+1,1))-AVERAGE(OFFSET($H$3,0,0,'Données projet'!$E$13+1,1))</f>
        <v>542.90832990875208</v>
      </c>
      <c r="CZ76" s="60">
        <f t="shared" si="96"/>
        <v>304.94365539329362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0" t="e">
        <f t="shared" si="71"/>
        <v>#N/A</v>
      </c>
      <c r="DT76" s="60" t="e">
        <f ca="1">AVERAGE(OFFSET($DS$3,0,0,'Données projet'!$E$14+1,1))-AVERAGE(OFFSET($H$3,0,0,'Données projet'!$E$14+1,1))</f>
        <v>#N/A</v>
      </c>
      <c r="DU76" s="60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0" t="e">
        <f t="shared" si="74"/>
        <v>#N/A</v>
      </c>
      <c r="EO76" s="60" t="e">
        <f ca="1">AVERAGE(OFFSET($EN$3,0,0,'Données projet'!$E$15+1,1))-AVERAGE(OFFSET($H$3,0,0,'Données projet'!$E$15+1,1))</f>
        <v>#N/A</v>
      </c>
      <c r="EP76" s="60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0" t="e">
        <f t="shared" si="77"/>
        <v>#N/A</v>
      </c>
      <c r="FJ76" s="60" t="e">
        <f ca="1">AVERAGE(OFFSET($FI$3,0,0,'Données projet'!$E$16+1,1))-AVERAGE(OFFSET($H$3,0,0,'Données projet'!$E$16+1,1))</f>
        <v>#N/A</v>
      </c>
      <c r="FK76" s="60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0" t="e">
        <f t="shared" si="80"/>
        <v>#N/A</v>
      </c>
      <c r="GE76" s="60" t="e">
        <f ca="1">AVERAGE(OFFSET($GD$3,0,0,'Données projet'!$E$17+1,1))-AVERAGE(OFFSET($H$3,0,0,'Données projet'!$E$17+1,1))</f>
        <v>#N/A</v>
      </c>
      <c r="GF76" s="60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4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9.9738461538461483</v>
      </c>
      <c r="N77" s="14">
        <f>IF('Données projet'!$A$36&gt;35,N76+M77-V76,IF(A77&lt;'Données projet'!$A$36,$K$205^A77,IF(A77='Données projet'!$A$36,'Données projet'!$B$36,N76+M77-V76)))</f>
        <v>350.50307692307695</v>
      </c>
      <c r="O77" s="14">
        <f>N77*VLOOKUP('Données projet'!$B$9,Paramètres!$A$1:$I$89,3,0)*VLOOKUP('Données projet'!$B$9,Paramètres!$A$1:$I$89,5,0)</f>
        <v>164.03543999999999</v>
      </c>
      <c r="P77" s="14">
        <f t="shared" si="87"/>
        <v>41.751396456696057</v>
      </c>
      <c r="Q77" s="22">
        <f t="shared" si="54"/>
        <v>358.41207349541224</v>
      </c>
      <c r="R77" s="60">
        <f t="shared" si="55"/>
        <v>626.63810259836305</v>
      </c>
      <c r="S77" s="60">
        <f ca="1">AVERAGE(OFFSET($R$3,0,0,'Données projet'!$E$9+1,1))-AVERAGE(OFFSET($H$3,0,0,'Données projet'!$E$9+1,1))</f>
        <v>277.7918215389401</v>
      </c>
      <c r="T77" s="60">
        <f t="shared" si="88"/>
        <v>164.65640238394164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245.7999999999999</v>
      </c>
      <c r="AJ77" s="14">
        <f>AI77*VLOOKUP('Données projet'!$B$10,Paramètres!$A$1:$I$89,3,0)*VLOOKUP('Données projet'!$B$10,Paramètres!$A$1:$I$89,5,0)</f>
        <v>222.3998399999999</v>
      </c>
      <c r="AK77" s="14">
        <f t="shared" si="89"/>
        <v>54.636149281681448</v>
      </c>
      <c r="AL77" s="22">
        <f t="shared" si="58"/>
        <v>482.50434799892832</v>
      </c>
      <c r="AM77" s="60">
        <f t="shared" si="59"/>
        <v>750.73037710187918</v>
      </c>
      <c r="AN77" s="60">
        <f ca="1">AVERAGE(OFFSET($AM$3,0,0,'Données projet'!$E$10+1,1))-AVERAGE(OFFSET($H$3,0,0,'Données projet'!$E$10+1,1))</f>
        <v>469.67944008675863</v>
      </c>
      <c r="AO77" s="60">
        <f t="shared" si="90"/>
        <v>266.11908070867173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>
        <f>BD77*VLOOKUP('Données projet'!$B$11,Paramètres!$A$1:$I$89,3,0)*VLOOKUP('Données projet'!$B$11,Paramètres!$A$1:$I$89,5,0)</f>
        <v>0</v>
      </c>
      <c r="BF77" s="14" t="e">
        <f t="shared" si="91"/>
        <v>#NUM!</v>
      </c>
      <c r="BG77" s="22" t="e">
        <f t="shared" si="61"/>
        <v>#NUM!</v>
      </c>
      <c r="BH77" s="60" t="e">
        <f t="shared" si="62"/>
        <v>#NUM!</v>
      </c>
      <c r="BI77" s="60">
        <f ca="1">AVERAGE(OFFSET($BH$3,0,0,'Données projet'!$E$11+1,1))-AVERAGE(OFFSET($H$3,0,0,'Données projet'!$E$11+1,1))</f>
        <v>216.36762889365235</v>
      </c>
      <c r="BJ77" s="60">
        <f t="shared" si="92"/>
        <v>333.29599352215496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5.6484128813508265</v>
      </c>
      <c r="BQ77" s="23">
        <f>EXP(-LN(2)/25)*BQ76+(1-EXP(-LN(2)/25))/(LN(2)/25)*Calculateur!BL77*Calculateur!BN77*VLOOKUP('Données projet'!$B$11,Paramètres!$A$1:$I$89,3,0)*0.475*44/12</f>
        <v>2.8784964879987709</v>
      </c>
      <c r="BR77" s="23">
        <f>EXP(-LN(2)/2)*BR76+(1-EXP(-LN(2)/2))/(LN(2)/2)*BL77*BO77*VLOOKUP('Données projet'!$B$11,Paramètres!$A$1:$I$89,3,0)*0.475*44/12</f>
        <v>6.9723789618320699E-7</v>
      </c>
      <c r="BS77" s="24">
        <f t="shared" si="63"/>
        <v>8.5269100665874937</v>
      </c>
      <c r="BT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6.2</v>
      </c>
      <c r="BY77" s="13">
        <f>IF('Données projet'!$A$114&gt;35,BY76+BX77-CG76,IF(A77&lt;'Données projet'!$A$114,$BV$205^A77,IF(A77='Données projet'!$A$114,'Données projet'!$B$114,BY76+BX77-CG76)))</f>
        <v>245.7999999999999</v>
      </c>
      <c r="BZ77" s="14">
        <f>BY77*VLOOKUP('Données projet'!$B$12,Paramètres!$A$1:$I$89,3,0)*VLOOKUP('Données projet'!$B$12,Paramètres!$A$1:$I$89,5,0)</f>
        <v>237.73775999999989</v>
      </c>
      <c r="CA77" s="14">
        <f t="shared" si="93"/>
        <v>57.952530566790166</v>
      </c>
      <c r="CB77" s="22">
        <f t="shared" si="64"/>
        <v>514.99392273715932</v>
      </c>
      <c r="CC77" s="60">
        <f t="shared" si="65"/>
        <v>783.21995184011018</v>
      </c>
      <c r="CD77" s="60">
        <f ca="1">AVERAGE(OFFSET($CC$3,0,0,'Données projet'!$E$12+1,1))-AVERAGE(OFFSET($H$3,0,0,'Données projet'!$E$12+1,1))</f>
        <v>496.33873798282525</v>
      </c>
      <c r="CE77" s="60">
        <f t="shared" si="94"/>
        <v>280.25465074992246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6.2</v>
      </c>
      <c r="CT77" s="13">
        <f>IF('Données projet'!$A$140&gt;35,CT76+CS77-DB76,IF(A77&lt;'Données projet'!$A$140,$CQ$205^A77,IF(A77='Données projet'!$A$140,'Données projet'!$B$140,CT76+CS77-DB76)))</f>
        <v>245.7999999999999</v>
      </c>
      <c r="CU77" s="18">
        <f>CT77*VLOOKUP('Données projet'!$B$13,Paramètres!$A$1:$I$89,3,0)*VLOOKUP('Données projet'!$B$13,Paramètres!$A$1:$I$89,5,0)</f>
        <v>264.57911999999988</v>
      </c>
      <c r="CV77" s="14">
        <f t="shared" si="95"/>
        <v>63.697467287221869</v>
      </c>
      <c r="CW77" s="22">
        <f t="shared" si="67"/>
        <v>571.74838952524453</v>
      </c>
      <c r="CX77" s="60">
        <f t="shared" si="68"/>
        <v>839.97441862819539</v>
      </c>
      <c r="CY77" s="60">
        <f ca="1">AVERAGE(OFFSET($CX$3,0,0,'Données projet'!$E$13+1,1))-AVERAGE(OFFSET($H$3,0,0,'Données projet'!$E$13+1,1))</f>
        <v>542.90832990875208</v>
      </c>
      <c r="CZ77" s="60">
        <f t="shared" si="96"/>
        <v>304.94365539329362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0" t="e">
        <f t="shared" si="71"/>
        <v>#N/A</v>
      </c>
      <c r="DT77" s="60" t="e">
        <f ca="1">AVERAGE(OFFSET($DS$3,0,0,'Données projet'!$E$14+1,1))-AVERAGE(OFFSET($H$3,0,0,'Données projet'!$E$14+1,1))</f>
        <v>#N/A</v>
      </c>
      <c r="DU77" s="60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0" t="e">
        <f t="shared" si="74"/>
        <v>#N/A</v>
      </c>
      <c r="EO77" s="60" t="e">
        <f ca="1">AVERAGE(OFFSET($EN$3,0,0,'Données projet'!$E$15+1,1))-AVERAGE(OFFSET($H$3,0,0,'Données projet'!$E$15+1,1))</f>
        <v>#N/A</v>
      </c>
      <c r="EP77" s="60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0" t="e">
        <f t="shared" si="77"/>
        <v>#N/A</v>
      </c>
      <c r="FJ77" s="60" t="e">
        <f ca="1">AVERAGE(OFFSET($FI$3,0,0,'Données projet'!$E$16+1,1))-AVERAGE(OFFSET($H$3,0,0,'Données projet'!$E$16+1,1))</f>
        <v>#N/A</v>
      </c>
      <c r="FK77" s="60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0" t="e">
        <f t="shared" si="80"/>
        <v>#N/A</v>
      </c>
      <c r="GE77" s="60" t="e">
        <f ca="1">AVERAGE(OFFSET($GD$3,0,0,'Données projet'!$E$17+1,1))-AVERAGE(OFFSET($H$3,0,0,'Données projet'!$E$17+1,1))</f>
        <v>#N/A</v>
      </c>
      <c r="GF77" s="60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4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360.47692307692307</v>
      </c>
      <c r="L78" s="13">
        <f>VLOOKUP(A78,'Données projet'!$A$35:$I$55,9,0)</f>
        <v>9.9738461538461483</v>
      </c>
      <c r="M78" s="13">
        <f t="array" ref="M78">INDEX(L:L,MIN(IF(ISNUMBER(L78:L274),ROW(L78:L274),"")))</f>
        <v>9.9738461538461483</v>
      </c>
      <c r="N78" s="14">
        <f>IF('Données projet'!$A$36&gt;35,N77+M78-V77,IF(A78&lt;'Données projet'!$A$36,$K$205^A78,IF(A78='Données projet'!$A$36,'Données projet'!$B$36,N77+M78-V77)))</f>
        <v>360.47692307692307</v>
      </c>
      <c r="O78" s="14">
        <f>N78*VLOOKUP('Données projet'!$B$9,Paramètres!$A$1:$I$89,3,0)*VLOOKUP('Données projet'!$B$9,Paramètres!$A$1:$I$89,5,0)</f>
        <v>168.70319999999998</v>
      </c>
      <c r="P78" s="14">
        <f t="shared" si="87"/>
        <v>42.799454211954611</v>
      </c>
      <c r="Q78" s="22">
        <f t="shared" si="54"/>
        <v>368.3671227524876</v>
      </c>
      <c r="R78" s="60">
        <f t="shared" si="55"/>
        <v>637.02870745231235</v>
      </c>
      <c r="S78" s="60">
        <f ca="1">AVERAGE(OFFSET($R$3,0,0,'Données projet'!$E$9+1,1))-AVERAGE(OFFSET($H$3,0,0,'Données projet'!$E$9+1,1))</f>
        <v>277.7918215389401</v>
      </c>
      <c r="T78" s="60">
        <f t="shared" si="88"/>
        <v>164.65640238394164</v>
      </c>
      <c r="U78" s="16">
        <f>IF(ISNA(VLOOKUP(A78,'Données projet'!$A$35:$I$55,3,0)),0,VLOOKUP(A78,'Données projet'!$A$35:$I$55,3,0))</f>
        <v>3</v>
      </c>
      <c r="V78" s="16">
        <f>IF(ISNA(VLOOKUP(A78,'Données projet'!$A$35:$I$55,4,0)),0,VLOOKUP(A78,'Données projet'!$A$35:$I$55,4,0))</f>
        <v>85.361538461538458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252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251.99999999999989</v>
      </c>
      <c r="AJ78" s="14">
        <f>AI78*VLOOKUP('Données projet'!$B$10,Paramètres!$A$1:$I$89,3,0)*VLOOKUP('Données projet'!$B$10,Paramètres!$A$1:$I$89,5,0)</f>
        <v>228.00959999999986</v>
      </c>
      <c r="AK78" s="14">
        <f t="shared" si="89"/>
        <v>55.852093054619779</v>
      </c>
      <c r="AL78" s="22">
        <f t="shared" si="58"/>
        <v>494.39244873679587</v>
      </c>
      <c r="AM78" s="60">
        <f t="shared" si="59"/>
        <v>763.05403343662067</v>
      </c>
      <c r="AN78" s="60">
        <f ca="1">AVERAGE(OFFSET($AM$3,0,0,'Données projet'!$E$10+1,1))-AVERAGE(OFFSET($H$3,0,0,'Données projet'!$E$10+1,1))</f>
        <v>469.67944008675863</v>
      </c>
      <c r="AO78" s="60">
        <f t="shared" si="90"/>
        <v>266.11908070867173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>
        <f>BD78*VLOOKUP('Données projet'!$B$11,Paramètres!$A$1:$I$89,3,0)*VLOOKUP('Données projet'!$B$11,Paramètres!$A$1:$I$89,5,0)</f>
        <v>0</v>
      </c>
      <c r="BF78" s="14" t="e">
        <f t="shared" si="91"/>
        <v>#NUM!</v>
      </c>
      <c r="BG78" s="22" t="e">
        <f t="shared" si="61"/>
        <v>#NUM!</v>
      </c>
      <c r="BH78" s="60" t="e">
        <f t="shared" si="62"/>
        <v>#NUM!</v>
      </c>
      <c r="BI78" s="60">
        <f ca="1">AVERAGE(OFFSET($BH$3,0,0,'Données projet'!$E$11+1,1))-AVERAGE(OFFSET($H$3,0,0,'Données projet'!$E$11+1,1))</f>
        <v>216.36762889365235</v>
      </c>
      <c r="BJ78" s="60">
        <f t="shared" si="92"/>
        <v>333.29599352215496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5.5376509499392101</v>
      </c>
      <c r="BQ78" s="23">
        <f>EXP(-LN(2)/25)*BQ77+(1-EXP(-LN(2)/25))/(LN(2)/25)*Calculateur!BL78*Calculateur!BN78*VLOOKUP('Données projet'!$B$11,Paramètres!$A$1:$I$89,3,0)*0.475*44/12</f>
        <v>2.7997838501608929</v>
      </c>
      <c r="BR78" s="23">
        <f>EXP(-LN(2)/2)*BR77+(1-EXP(-LN(2)/2))/(LN(2)/2)*BL78*BO78*VLOOKUP('Données projet'!$B$11,Paramètres!$A$1:$I$89,3,0)*0.475*44/12</f>
        <v>4.9302164449138767E-7</v>
      </c>
      <c r="BS78" s="24">
        <f t="shared" si="63"/>
        <v>8.3374352931217484</v>
      </c>
      <c r="BT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252</v>
      </c>
      <c r="BW78" s="13">
        <f>VLOOKUP(A78,'Données projet'!$A$113:$I$133,9,0)</f>
        <v>6.2</v>
      </c>
      <c r="BX78" s="13">
        <f t="array" ref="BX78">INDEX(BW:BW,MIN(IF(ISNUMBER(BW78:BW274),ROW(BW78:BW274),"")))</f>
        <v>6.2</v>
      </c>
      <c r="BY78" s="13">
        <f>IF('Données projet'!$A$114&gt;35,BY77+BX78-CG77,IF(A78&lt;'Données projet'!$A$114,$BV$205^A78,IF(A78='Données projet'!$A$114,'Données projet'!$B$114,BY77+BX78-CG77)))</f>
        <v>251.99999999999989</v>
      </c>
      <c r="BZ78" s="14">
        <f>BY78*VLOOKUP('Données projet'!$B$12,Paramètres!$A$1:$I$89,3,0)*VLOOKUP('Données projet'!$B$12,Paramètres!$A$1:$I$89,5,0)</f>
        <v>243.73439999999988</v>
      </c>
      <c r="CA78" s="14">
        <f t="shared" si="93"/>
        <v>59.242281392848767</v>
      </c>
      <c r="CB78" s="22">
        <f t="shared" si="64"/>
        <v>527.68438675921141</v>
      </c>
      <c r="CC78" s="60">
        <f t="shared" si="65"/>
        <v>796.34597145903626</v>
      </c>
      <c r="CD78" s="60">
        <f ca="1">AVERAGE(OFFSET($CC$3,0,0,'Données projet'!$E$12+1,1))-AVERAGE(OFFSET($H$3,0,0,'Données projet'!$E$12+1,1))</f>
        <v>496.33873798282525</v>
      </c>
      <c r="CE78" s="60">
        <f t="shared" si="94"/>
        <v>280.25465074992246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252</v>
      </c>
      <c r="CR78" s="13">
        <f>VLOOKUP(A78,'Données projet'!$A$139:$I$159,9,0)</f>
        <v>6.2</v>
      </c>
      <c r="CS78" s="13">
        <f t="array" ref="CS78">INDEX(CR:CR,MIN(IF(ISNUMBER(CR78:CR274),ROW(CR78:CR274),"")))</f>
        <v>6.2</v>
      </c>
      <c r="CT78" s="13">
        <f>IF('Données projet'!$A$140&gt;35,CT77+CS78-DB77,IF(A78&lt;'Données projet'!$A$140,$CQ$205^A78,IF(A78='Données projet'!$A$140,'Données projet'!$B$140,CT77+CS78-DB77)))</f>
        <v>251.99999999999989</v>
      </c>
      <c r="CU78" s="18">
        <f>CT78*VLOOKUP('Données projet'!$B$13,Paramètres!$A$1:$I$89,3,0)*VLOOKUP('Données projet'!$B$13,Paramètres!$A$1:$I$89,5,0)</f>
        <v>271.25279999999987</v>
      </c>
      <c r="CV78" s="14">
        <f t="shared" si="95"/>
        <v>65.115073390838859</v>
      </c>
      <c r="CW78" s="22">
        <f t="shared" si="67"/>
        <v>585.84071282237744</v>
      </c>
      <c r="CX78" s="60">
        <f t="shared" si="68"/>
        <v>854.5022975222023</v>
      </c>
      <c r="CY78" s="60">
        <f ca="1">AVERAGE(OFFSET($CX$3,0,0,'Données projet'!$E$13+1,1))-AVERAGE(OFFSET($H$3,0,0,'Données projet'!$E$13+1,1))</f>
        <v>542.90832990875208</v>
      </c>
      <c r="CZ78" s="60">
        <f t="shared" si="96"/>
        <v>304.94365539329362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0" t="e">
        <f t="shared" si="71"/>
        <v>#N/A</v>
      </c>
      <c r="DT78" s="60" t="e">
        <f ca="1">AVERAGE(OFFSET($DS$3,0,0,'Données projet'!$E$14+1,1))-AVERAGE(OFFSET($H$3,0,0,'Données projet'!$E$14+1,1))</f>
        <v>#N/A</v>
      </c>
      <c r="DU78" s="60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0" t="e">
        <f t="shared" si="74"/>
        <v>#N/A</v>
      </c>
      <c r="EO78" s="60" t="e">
        <f ca="1">AVERAGE(OFFSET($EN$3,0,0,'Données projet'!$E$15+1,1))-AVERAGE(OFFSET($H$3,0,0,'Données projet'!$E$15+1,1))</f>
        <v>#N/A</v>
      </c>
      <c r="EP78" s="60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0" t="e">
        <f t="shared" si="77"/>
        <v>#N/A</v>
      </c>
      <c r="FJ78" s="60" t="e">
        <f ca="1">AVERAGE(OFFSET($FI$3,0,0,'Données projet'!$E$16+1,1))-AVERAGE(OFFSET($H$3,0,0,'Données projet'!$E$16+1,1))</f>
        <v>#N/A</v>
      </c>
      <c r="FK78" s="60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0" t="e">
        <f t="shared" si="80"/>
        <v>#N/A</v>
      </c>
      <c r="GE78" s="60" t="e">
        <f ca="1">AVERAGE(OFFSET($GD$3,0,0,'Données projet'!$E$17+1,1))-AVERAGE(OFFSET($H$3,0,0,'Données projet'!$E$17+1,1))</f>
        <v>#N/A</v>
      </c>
      <c r="GF78" s="60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4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8.918461538461532</v>
      </c>
      <c r="N79" s="14">
        <f>IF('Données projet'!$A$36&gt;35,N78+M79-V78,IF(A79&lt;'Données projet'!$A$36,$K$205^A79,IF(A79='Données projet'!$A$36,'Données projet'!$B$36,N78+M79-V78)))</f>
        <v>284.03384615384618</v>
      </c>
      <c r="O79" s="14">
        <f>N79*VLOOKUP('Données projet'!$B$9,Paramètres!$A$1:$I$89,3,0)*VLOOKUP('Données projet'!$B$9,Paramètres!$A$1:$I$89,5,0)</f>
        <v>132.92784</v>
      </c>
      <c r="P79" s="14">
        <f t="shared" si="87"/>
        <v>34.672017751273806</v>
      </c>
      <c r="Q79" s="22">
        <f t="shared" si="54"/>
        <v>291.90308558346857</v>
      </c>
      <c r="R79" s="60">
        <f t="shared" si="55"/>
        <v>560.992669964318</v>
      </c>
      <c r="S79" s="60">
        <f ca="1">AVERAGE(OFFSET($R$3,0,0,'Données projet'!$E$9+1,1))-AVERAGE(OFFSET($H$3,0,0,'Données projet'!$E$9+1,1))</f>
        <v>277.7918215389401</v>
      </c>
      <c r="T79" s="60">
        <f t="shared" si="88"/>
        <v>164.65640238394164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257.99999999999989</v>
      </c>
      <c r="AJ79" s="14">
        <f>AI79*VLOOKUP('Données projet'!$B$10,Paramètres!$A$1:$I$89,3,0)*VLOOKUP('Données projet'!$B$10,Paramètres!$A$1:$I$89,5,0)</f>
        <v>233.43839999999989</v>
      </c>
      <c r="AK79" s="14">
        <f t="shared" si="89"/>
        <v>57.025500710931624</v>
      </c>
      <c r="AL79" s="22">
        <f t="shared" si="58"/>
        <v>505.89129373820577</v>
      </c>
      <c r="AM79" s="60">
        <f t="shared" si="59"/>
        <v>774.98087811905521</v>
      </c>
      <c r="AN79" s="60">
        <f ca="1">AVERAGE(OFFSET($AM$3,0,0,'Données projet'!$E$10+1,1))-AVERAGE(OFFSET($H$3,0,0,'Données projet'!$E$10+1,1))</f>
        <v>469.67944008675863</v>
      </c>
      <c r="AO79" s="60">
        <f t="shared" si="90"/>
        <v>266.11908070867173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>
        <f>BD79*VLOOKUP('Données projet'!$B$11,Paramètres!$A$1:$I$89,3,0)*VLOOKUP('Données projet'!$B$11,Paramètres!$A$1:$I$89,5,0)</f>
        <v>0</v>
      </c>
      <c r="BF79" s="14" t="e">
        <f t="shared" si="91"/>
        <v>#NUM!</v>
      </c>
      <c r="BG79" s="22" t="e">
        <f t="shared" si="61"/>
        <v>#NUM!</v>
      </c>
      <c r="BH79" s="60" t="e">
        <f t="shared" si="62"/>
        <v>#NUM!</v>
      </c>
      <c r="BI79" s="60">
        <f ca="1">AVERAGE(OFFSET($BH$3,0,0,'Données projet'!$E$11+1,1))-AVERAGE(OFFSET($H$3,0,0,'Données projet'!$E$11+1,1))</f>
        <v>216.36762889365235</v>
      </c>
      <c r="BJ79" s="60">
        <f t="shared" si="92"/>
        <v>333.29599352215496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5.4290609924444677</v>
      </c>
      <c r="BQ79" s="23">
        <f>EXP(-LN(2)/25)*BQ78+(1-EXP(-LN(2)/25))/(LN(2)/25)*Calculateur!BL79*Calculateur!BN79*VLOOKUP('Données projet'!$B$11,Paramètres!$A$1:$I$89,3,0)*0.475*44/12</f>
        <v>2.7232236135440098</v>
      </c>
      <c r="BR79" s="23">
        <f>EXP(-LN(2)/2)*BR78+(1-EXP(-LN(2)/2))/(LN(2)/2)*BL79*BO79*VLOOKUP('Données projet'!$B$11,Paramètres!$A$1:$I$89,3,0)*0.475*44/12</f>
        <v>3.4861894809160349E-7</v>
      </c>
      <c r="BS79" s="24">
        <f t="shared" si="63"/>
        <v>8.1522849546074259</v>
      </c>
      <c r="BT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6</v>
      </c>
      <c r="BY79" s="13">
        <f>IF('Données projet'!$A$114&gt;35,BY78+BX79-CG78,IF(A79&lt;'Données projet'!$A$114,$BV$205^A79,IF(A79='Données projet'!$A$114,'Données projet'!$B$114,BY78+BX79-CG78)))</f>
        <v>257.99999999999989</v>
      </c>
      <c r="BZ79" s="14">
        <f>BY79*VLOOKUP('Données projet'!$B$12,Paramètres!$A$1:$I$89,3,0)*VLOOKUP('Données projet'!$B$12,Paramètres!$A$1:$I$89,5,0)</f>
        <v>249.53759999999988</v>
      </c>
      <c r="CA79" s="14">
        <f t="shared" si="93"/>
        <v>60.486914185674671</v>
      </c>
      <c r="CB79" s="22">
        <f t="shared" si="64"/>
        <v>539.95936220671649</v>
      </c>
      <c r="CC79" s="60">
        <f t="shared" si="65"/>
        <v>809.04894658756598</v>
      </c>
      <c r="CD79" s="60">
        <f ca="1">AVERAGE(OFFSET($CC$3,0,0,'Données projet'!$E$12+1,1))-AVERAGE(OFFSET($H$3,0,0,'Données projet'!$E$12+1,1))</f>
        <v>496.33873798282525</v>
      </c>
      <c r="CE79" s="60">
        <f t="shared" si="94"/>
        <v>280.25465074992246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6</v>
      </c>
      <c r="CT79" s="13">
        <f>IF('Données projet'!$A$140&gt;35,CT78+CS79-DB78,IF(A79&lt;'Données projet'!$A$140,$CQ$205^A79,IF(A79='Données projet'!$A$140,'Données projet'!$B$140,CT78+CS79-DB78)))</f>
        <v>257.99999999999989</v>
      </c>
      <c r="CU79" s="18">
        <f>CT79*VLOOKUP('Données projet'!$B$13,Paramètres!$A$1:$I$89,3,0)*VLOOKUP('Données projet'!$B$13,Paramètres!$A$1:$I$89,5,0)</f>
        <v>277.71119999999985</v>
      </c>
      <c r="CV79" s="14">
        <f t="shared" si="95"/>
        <v>66.483088830893976</v>
      </c>
      <c r="CW79" s="22">
        <f t="shared" si="67"/>
        <v>599.47171971380669</v>
      </c>
      <c r="CX79" s="60">
        <f t="shared" si="68"/>
        <v>868.56130409465618</v>
      </c>
      <c r="CY79" s="60">
        <f ca="1">AVERAGE(OFFSET($CX$3,0,0,'Données projet'!$E$13+1,1))-AVERAGE(OFFSET($H$3,0,0,'Données projet'!$E$13+1,1))</f>
        <v>542.90832990875208</v>
      </c>
      <c r="CZ79" s="60">
        <f t="shared" si="96"/>
        <v>304.94365539329362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0" t="e">
        <f t="shared" si="71"/>
        <v>#N/A</v>
      </c>
      <c r="DT79" s="60" t="e">
        <f ca="1">AVERAGE(OFFSET($DS$3,0,0,'Données projet'!$E$14+1,1))-AVERAGE(OFFSET($H$3,0,0,'Données projet'!$E$14+1,1))</f>
        <v>#N/A</v>
      </c>
      <c r="DU79" s="60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0" t="e">
        <f t="shared" si="74"/>
        <v>#N/A</v>
      </c>
      <c r="EO79" s="60" t="e">
        <f ca="1">AVERAGE(OFFSET($EN$3,0,0,'Données projet'!$E$15+1,1))-AVERAGE(OFFSET($H$3,0,0,'Données projet'!$E$15+1,1))</f>
        <v>#N/A</v>
      </c>
      <c r="EP79" s="60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0" t="e">
        <f t="shared" si="77"/>
        <v>#N/A</v>
      </c>
      <c r="FJ79" s="60" t="e">
        <f ca="1">AVERAGE(OFFSET($FI$3,0,0,'Données projet'!$E$16+1,1))-AVERAGE(OFFSET($H$3,0,0,'Données projet'!$E$16+1,1))</f>
        <v>#N/A</v>
      </c>
      <c r="FK79" s="60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0" t="e">
        <f t="shared" si="80"/>
        <v>#N/A</v>
      </c>
      <c r="GE79" s="60" t="e">
        <f ca="1">AVERAGE(OFFSET($GD$3,0,0,'Données projet'!$E$17+1,1))-AVERAGE(OFFSET($H$3,0,0,'Données projet'!$E$17+1,1))</f>
        <v>#N/A</v>
      </c>
      <c r="GF79" s="60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4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8.918461538461532</v>
      </c>
      <c r="N80" s="14">
        <f>IF('Données projet'!$A$36&gt;35,N79+M80-V79,IF(A80&lt;'Données projet'!$A$36,$K$205^A80,IF(A80='Données projet'!$A$36,'Données projet'!$B$36,N79+M80-V79)))</f>
        <v>292.95230769230773</v>
      </c>
      <c r="O80" s="14">
        <f>N80*VLOOKUP('Données projet'!$B$9,Paramètres!$A$1:$I$89,3,0)*VLOOKUP('Données projet'!$B$9,Paramètres!$A$1:$I$89,5,0)</f>
        <v>137.10168000000002</v>
      </c>
      <c r="P80" s="14">
        <f t="shared" si="87"/>
        <v>35.632234858197208</v>
      </c>
      <c r="Q80" s="22">
        <f t="shared" si="54"/>
        <v>300.84490171136019</v>
      </c>
      <c r="R80" s="60">
        <f t="shared" si="55"/>
        <v>570.35506093563254</v>
      </c>
      <c r="S80" s="60">
        <f ca="1">AVERAGE(OFFSET($R$3,0,0,'Données projet'!$E$9+1,1))-AVERAGE(OFFSET($H$3,0,0,'Données projet'!$E$9+1,1))</f>
        <v>277.7918215389401</v>
      </c>
      <c r="T80" s="60">
        <f t="shared" si="88"/>
        <v>164.65640238394164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263.99999999999989</v>
      </c>
      <c r="AJ80" s="14">
        <f>AI80*VLOOKUP('Données projet'!$B$10,Paramètres!$A$1:$I$89,3,0)*VLOOKUP('Données projet'!$B$10,Paramètres!$A$1:$I$89,5,0)</f>
        <v>238.86719999999988</v>
      </c>
      <c r="AK80" s="14">
        <f t="shared" si="89"/>
        <v>58.195735973104156</v>
      </c>
      <c r="AL80" s="22">
        <f t="shared" si="58"/>
        <v>517.38461348648957</v>
      </c>
      <c r="AM80" s="60">
        <f t="shared" si="59"/>
        <v>786.8947727107618</v>
      </c>
      <c r="AN80" s="60">
        <f ca="1">AVERAGE(OFFSET($AM$3,0,0,'Données projet'!$E$10+1,1))-AVERAGE(OFFSET($H$3,0,0,'Données projet'!$E$10+1,1))</f>
        <v>469.67944008675863</v>
      </c>
      <c r="AO80" s="60">
        <f t="shared" si="90"/>
        <v>266.11908070867173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>
        <f>BD80*VLOOKUP('Données projet'!$B$11,Paramètres!$A$1:$I$89,3,0)*VLOOKUP('Données projet'!$B$11,Paramètres!$A$1:$I$89,5,0)</f>
        <v>0</v>
      </c>
      <c r="BF80" s="14" t="e">
        <f t="shared" si="91"/>
        <v>#NUM!</v>
      </c>
      <c r="BG80" s="22" t="e">
        <f t="shared" si="61"/>
        <v>#NUM!</v>
      </c>
      <c r="BH80" s="60" t="e">
        <f t="shared" si="62"/>
        <v>#NUM!</v>
      </c>
      <c r="BI80" s="60">
        <f ca="1">AVERAGE(OFFSET($BH$3,0,0,'Données projet'!$E$11+1,1))-AVERAGE(OFFSET($H$3,0,0,'Données projet'!$E$11+1,1))</f>
        <v>216.36762889365235</v>
      </c>
      <c r="BJ80" s="60">
        <f t="shared" si="92"/>
        <v>333.29599352215496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5.3226004177828639</v>
      </c>
      <c r="BQ80" s="23">
        <f>EXP(-LN(2)/25)*BQ79+(1-EXP(-LN(2)/25))/(LN(2)/25)*Calculateur!BL80*Calculateur!BN80*VLOOKUP('Données projet'!$B$11,Paramètres!$A$1:$I$89,3,0)*0.475*44/12</f>
        <v>2.6487569206235428</v>
      </c>
      <c r="BR80" s="23">
        <f>EXP(-LN(2)/2)*BR79+(1-EXP(-LN(2)/2))/(LN(2)/2)*BL80*BO80*VLOOKUP('Données projet'!$B$11,Paramètres!$A$1:$I$89,3,0)*0.475*44/12</f>
        <v>2.4651082224569384E-7</v>
      </c>
      <c r="BS80" s="24">
        <f t="shared" si="63"/>
        <v>7.9713575849172287</v>
      </c>
      <c r="BT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6</v>
      </c>
      <c r="BY80" s="13">
        <f>IF('Données projet'!$A$114&gt;35,BY79+BX80-CG79,IF(A80&lt;'Données projet'!$A$114,$BV$205^A80,IF(A80='Données projet'!$A$114,'Données projet'!$B$114,BY79+BX80-CG79)))</f>
        <v>263.99999999999989</v>
      </c>
      <c r="BZ80" s="14">
        <f>BY80*VLOOKUP('Données projet'!$B$12,Paramètres!$A$1:$I$89,3,0)*VLOOKUP('Données projet'!$B$12,Paramètres!$A$1:$I$89,5,0)</f>
        <v>255.34079999999989</v>
      </c>
      <c r="CA80" s="14">
        <f t="shared" si="93"/>
        <v>61.728182021951895</v>
      </c>
      <c r="CB80" s="22">
        <f t="shared" si="64"/>
        <v>552.22847702156594</v>
      </c>
      <c r="CC80" s="60">
        <f t="shared" si="65"/>
        <v>821.73863624583828</v>
      </c>
      <c r="CD80" s="60">
        <f ca="1">AVERAGE(OFFSET($CC$3,0,0,'Données projet'!$E$12+1,1))-AVERAGE(OFFSET($H$3,0,0,'Données projet'!$E$12+1,1))</f>
        <v>496.33873798282525</v>
      </c>
      <c r="CE80" s="60">
        <f t="shared" si="94"/>
        <v>280.25465074992246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6</v>
      </c>
      <c r="CT80" s="13">
        <f>IF('Données projet'!$A$140&gt;35,CT79+CS80-DB79,IF(A80&lt;'Données projet'!$A$140,$CQ$205^A80,IF(A80='Données projet'!$A$140,'Données projet'!$B$140,CT79+CS80-DB79)))</f>
        <v>263.99999999999989</v>
      </c>
      <c r="CU80" s="18">
        <f>CT80*VLOOKUP('Données projet'!$B$13,Paramètres!$A$1:$I$89,3,0)*VLOOKUP('Données projet'!$B$13,Paramètres!$A$1:$I$89,5,0)</f>
        <v>284.16959999999989</v>
      </c>
      <c r="CV80" s="14">
        <f t="shared" si="95"/>
        <v>67.847405740313874</v>
      </c>
      <c r="CW80" s="22">
        <f t="shared" si="67"/>
        <v>613.09628499771316</v>
      </c>
      <c r="CX80" s="60">
        <f t="shared" si="68"/>
        <v>882.60644422198538</v>
      </c>
      <c r="CY80" s="60">
        <f ca="1">AVERAGE(OFFSET($CX$3,0,0,'Données projet'!$E$13+1,1))-AVERAGE(OFFSET($H$3,0,0,'Données projet'!$E$13+1,1))</f>
        <v>542.90832990875208</v>
      </c>
      <c r="CZ80" s="60">
        <f t="shared" si="96"/>
        <v>304.94365539329362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0" t="e">
        <f t="shared" si="71"/>
        <v>#N/A</v>
      </c>
      <c r="DT80" s="60" t="e">
        <f ca="1">AVERAGE(OFFSET($DS$3,0,0,'Données projet'!$E$14+1,1))-AVERAGE(OFFSET($H$3,0,0,'Données projet'!$E$14+1,1))</f>
        <v>#N/A</v>
      </c>
      <c r="DU80" s="60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0" t="e">
        <f t="shared" si="74"/>
        <v>#N/A</v>
      </c>
      <c r="EO80" s="60" t="e">
        <f ca="1">AVERAGE(OFFSET($EN$3,0,0,'Données projet'!$E$15+1,1))-AVERAGE(OFFSET($H$3,0,0,'Données projet'!$E$15+1,1))</f>
        <v>#N/A</v>
      </c>
      <c r="EP80" s="60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0" t="e">
        <f t="shared" si="77"/>
        <v>#N/A</v>
      </c>
      <c r="FJ80" s="60" t="e">
        <f ca="1">AVERAGE(OFFSET($FI$3,0,0,'Données projet'!$E$16+1,1))-AVERAGE(OFFSET($H$3,0,0,'Données projet'!$E$16+1,1))</f>
        <v>#N/A</v>
      </c>
      <c r="FK80" s="60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0" t="e">
        <f t="shared" si="80"/>
        <v>#N/A</v>
      </c>
      <c r="GE80" s="60" t="e">
        <f ca="1">AVERAGE(OFFSET($GD$3,0,0,'Données projet'!$E$17+1,1))-AVERAGE(OFFSET($H$3,0,0,'Données projet'!$E$17+1,1))</f>
        <v>#N/A</v>
      </c>
      <c r="GF80" s="60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4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8.918461538461532</v>
      </c>
      <c r="N81" s="14">
        <f>IF('Données projet'!$A$36&gt;35,N80+M81-V80,IF(A81&lt;'Données projet'!$A$36,$K$205^A81,IF(A81='Données projet'!$A$36,'Données projet'!$B$36,N80+M81-V80)))</f>
        <v>301.87076923076927</v>
      </c>
      <c r="O81" s="14">
        <f>N81*VLOOKUP('Données projet'!$B$9,Paramètres!$A$1:$I$89,3,0)*VLOOKUP('Données projet'!$B$9,Paramètres!$A$1:$I$89,5,0)</f>
        <v>141.27552000000003</v>
      </c>
      <c r="P81" s="14">
        <f t="shared" si="87"/>
        <v>36.589054796797832</v>
      </c>
      <c r="Q81" s="22">
        <f t="shared" si="54"/>
        <v>309.78080110442289</v>
      </c>
      <c r="R81" s="60">
        <f t="shared" si="55"/>
        <v>579.70423913884906</v>
      </c>
      <c r="S81" s="60">
        <f ca="1">AVERAGE(OFFSET($R$3,0,0,'Données projet'!$E$9+1,1))-AVERAGE(OFFSET($H$3,0,0,'Données projet'!$E$9+1,1))</f>
        <v>277.7918215389401</v>
      </c>
      <c r="T81" s="60">
        <f t="shared" si="88"/>
        <v>164.65640238394164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269.99999999999989</v>
      </c>
      <c r="AJ81" s="14">
        <f>AI81*VLOOKUP('Données projet'!$B$10,Paramètres!$A$1:$I$89,3,0)*VLOOKUP('Données projet'!$B$10,Paramètres!$A$1:$I$89,5,0)</f>
        <v>244.29599999999991</v>
      </c>
      <c r="AK81" s="14">
        <f t="shared" si="89"/>
        <v>59.362879241040318</v>
      </c>
      <c r="AL81" s="22">
        <f t="shared" si="58"/>
        <v>528.87254801147833</v>
      </c>
      <c r="AM81" s="60">
        <f t="shared" si="59"/>
        <v>798.79598604590456</v>
      </c>
      <c r="AN81" s="60">
        <f ca="1">AVERAGE(OFFSET($AM$3,0,0,'Données projet'!$E$10+1,1))-AVERAGE(OFFSET($H$3,0,0,'Données projet'!$E$10+1,1))</f>
        <v>469.67944008675863</v>
      </c>
      <c r="AO81" s="60">
        <f t="shared" si="90"/>
        <v>266.11908070867173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>
        <f>BD81*VLOOKUP('Données projet'!$B$11,Paramètres!$A$1:$I$89,3,0)*VLOOKUP('Données projet'!$B$11,Paramètres!$A$1:$I$89,5,0)</f>
        <v>0</v>
      </c>
      <c r="BF81" s="14" t="e">
        <f t="shared" si="91"/>
        <v>#NUM!</v>
      </c>
      <c r="BG81" s="22" t="e">
        <f t="shared" si="61"/>
        <v>#NUM!</v>
      </c>
      <c r="BH81" s="60" t="e">
        <f t="shared" si="62"/>
        <v>#NUM!</v>
      </c>
      <c r="BI81" s="60">
        <f ca="1">AVERAGE(OFFSET($BH$3,0,0,'Données projet'!$E$11+1,1))-AVERAGE(OFFSET($H$3,0,0,'Données projet'!$E$11+1,1))</f>
        <v>216.36762889365235</v>
      </c>
      <c r="BJ81" s="60">
        <f t="shared" si="92"/>
        <v>333.29599352215496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5.2182274700558349</v>
      </c>
      <c r="BQ81" s="23">
        <f>EXP(-LN(2)/25)*BQ80+(1-EXP(-LN(2)/25))/(LN(2)/25)*Calculateur!BL81*Calculateur!BN81*VLOOKUP('Données projet'!$B$11,Paramètres!$A$1:$I$89,3,0)*0.475*44/12</f>
        <v>2.5763265233370194</v>
      </c>
      <c r="BR81" s="23">
        <f>EXP(-LN(2)/2)*BR80+(1-EXP(-LN(2)/2))/(LN(2)/2)*BL81*BO81*VLOOKUP('Données projet'!$B$11,Paramètres!$A$1:$I$89,3,0)*0.475*44/12</f>
        <v>1.7430947404580175E-7</v>
      </c>
      <c r="BS81" s="24">
        <f t="shared" si="63"/>
        <v>7.7945541677023291</v>
      </c>
      <c r="BT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6</v>
      </c>
      <c r="BY81" s="13">
        <f>IF('Données projet'!$A$114&gt;35,BY80+BX81-CG80,IF(A81&lt;'Données projet'!$A$114,$BV$205^A81,IF(A81='Données projet'!$A$114,'Données projet'!$B$114,BY80+BX81-CG80)))</f>
        <v>269.99999999999989</v>
      </c>
      <c r="BZ81" s="14">
        <f>BY81*VLOOKUP('Données projet'!$B$12,Paramètres!$A$1:$I$89,3,0)*VLOOKUP('Données projet'!$B$12,Paramètres!$A$1:$I$89,5,0)</f>
        <v>261.14399999999989</v>
      </c>
      <c r="CA81" s="14">
        <f t="shared" si="93"/>
        <v>62.966170181808813</v>
      </c>
      <c r="CB81" s="22">
        <f t="shared" si="64"/>
        <v>564.49187973331675</v>
      </c>
      <c r="CC81" s="60">
        <f t="shared" si="65"/>
        <v>834.41531776774298</v>
      </c>
      <c r="CD81" s="60">
        <f ca="1">AVERAGE(OFFSET($CC$3,0,0,'Données projet'!$E$12+1,1))-AVERAGE(OFFSET($H$3,0,0,'Données projet'!$E$12+1,1))</f>
        <v>496.33873798282525</v>
      </c>
      <c r="CE81" s="60">
        <f t="shared" si="94"/>
        <v>280.25465074992246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6</v>
      </c>
      <c r="CT81" s="13">
        <f>IF('Données projet'!$A$140&gt;35,CT80+CS81-DB80,IF(A81&lt;'Données projet'!$A$140,$CQ$205^A81,IF(A81='Données projet'!$A$140,'Données projet'!$B$140,CT80+CS81-DB80)))</f>
        <v>269.99999999999989</v>
      </c>
      <c r="CU81" s="18">
        <f>CT81*VLOOKUP('Données projet'!$B$13,Paramètres!$A$1:$I$89,3,0)*VLOOKUP('Données projet'!$B$13,Paramètres!$A$1:$I$89,5,0)</f>
        <v>290.62799999999987</v>
      </c>
      <c r="CV81" s="14">
        <f t="shared" si="95"/>
        <v>69.208117853196882</v>
      </c>
      <c r="CW81" s="22">
        <f t="shared" si="67"/>
        <v>626.71457192765104</v>
      </c>
      <c r="CX81" s="60">
        <f t="shared" si="68"/>
        <v>896.63800996207726</v>
      </c>
      <c r="CY81" s="60">
        <f ca="1">AVERAGE(OFFSET($CX$3,0,0,'Données projet'!$E$13+1,1))-AVERAGE(OFFSET($H$3,0,0,'Données projet'!$E$13+1,1))</f>
        <v>542.90832990875208</v>
      </c>
      <c r="CZ81" s="60">
        <f t="shared" si="96"/>
        <v>304.94365539329362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0" t="e">
        <f t="shared" si="71"/>
        <v>#N/A</v>
      </c>
      <c r="DT81" s="60" t="e">
        <f ca="1">AVERAGE(OFFSET($DS$3,0,0,'Données projet'!$E$14+1,1))-AVERAGE(OFFSET($H$3,0,0,'Données projet'!$E$14+1,1))</f>
        <v>#N/A</v>
      </c>
      <c r="DU81" s="60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0" t="e">
        <f t="shared" si="74"/>
        <v>#N/A</v>
      </c>
      <c r="EO81" s="60" t="e">
        <f ca="1">AVERAGE(OFFSET($EN$3,0,0,'Données projet'!$E$15+1,1))-AVERAGE(OFFSET($H$3,0,0,'Données projet'!$E$15+1,1))</f>
        <v>#N/A</v>
      </c>
      <c r="EP81" s="60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0" t="e">
        <f t="shared" si="77"/>
        <v>#N/A</v>
      </c>
      <c r="FJ81" s="60" t="e">
        <f ca="1">AVERAGE(OFFSET($FI$3,0,0,'Données projet'!$E$16+1,1))-AVERAGE(OFFSET($H$3,0,0,'Données projet'!$E$16+1,1))</f>
        <v>#N/A</v>
      </c>
      <c r="FK81" s="60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0" t="e">
        <f t="shared" si="80"/>
        <v>#N/A</v>
      </c>
      <c r="GE81" s="60" t="e">
        <f ca="1">AVERAGE(OFFSET($GD$3,0,0,'Données projet'!$E$17+1,1))-AVERAGE(OFFSET($H$3,0,0,'Données projet'!$E$17+1,1))</f>
        <v>#N/A</v>
      </c>
      <c r="GF81" s="60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4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8.918461538461532</v>
      </c>
      <c r="N82" s="14">
        <f>IF('Données projet'!$A$36&gt;35,N81+M82-V81,IF(A82&lt;'Données projet'!$A$36,$K$205^A82,IF(A82='Données projet'!$A$36,'Données projet'!$B$36,N81+M82-V81)))</f>
        <v>310.78923076923081</v>
      </c>
      <c r="O82" s="14">
        <f>N82*VLOOKUP('Données projet'!$B$9,Paramètres!$A$1:$I$89,3,0)*VLOOKUP('Données projet'!$B$9,Paramètres!$A$1:$I$89,5,0)</f>
        <v>145.44936000000001</v>
      </c>
      <c r="P82" s="14">
        <f t="shared" si="87"/>
        <v>37.542589456064086</v>
      </c>
      <c r="Q82" s="22">
        <f t="shared" si="54"/>
        <v>318.71097863597828</v>
      </c>
      <c r="R82" s="60">
        <f t="shared" si="55"/>
        <v>589.04052601715523</v>
      </c>
      <c r="S82" s="60">
        <f ca="1">AVERAGE(OFFSET($R$3,0,0,'Données projet'!$E$9+1,1))-AVERAGE(OFFSET($H$3,0,0,'Données projet'!$E$9+1,1))</f>
        <v>277.7918215389401</v>
      </c>
      <c r="T82" s="60">
        <f t="shared" si="88"/>
        <v>164.65640238394164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275.99999999999989</v>
      </c>
      <c r="AJ82" s="14">
        <f>AI82*VLOOKUP('Données projet'!$B$10,Paramètres!$A$1:$I$89,3,0)*VLOOKUP('Données projet'!$B$10,Paramètres!$A$1:$I$89,5,0)</f>
        <v>249.7247999999999</v>
      </c>
      <c r="AK82" s="14">
        <f t="shared" si="89"/>
        <v>60.527007137298092</v>
      </c>
      <c r="AL82" s="22">
        <f t="shared" si="58"/>
        <v>540.35523076412733</v>
      </c>
      <c r="AM82" s="60">
        <f t="shared" si="59"/>
        <v>810.68477814530434</v>
      </c>
      <c r="AN82" s="60">
        <f ca="1">AVERAGE(OFFSET($AM$3,0,0,'Données projet'!$E$10+1,1))-AVERAGE(OFFSET($H$3,0,0,'Données projet'!$E$10+1,1))</f>
        <v>469.67944008675863</v>
      </c>
      <c r="AO82" s="60">
        <f t="shared" si="90"/>
        <v>266.11908070867173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>
        <f>BD82*VLOOKUP('Données projet'!$B$11,Paramètres!$A$1:$I$89,3,0)*VLOOKUP('Données projet'!$B$11,Paramètres!$A$1:$I$89,5,0)</f>
        <v>0</v>
      </c>
      <c r="BF82" s="14" t="e">
        <f t="shared" si="91"/>
        <v>#NUM!</v>
      </c>
      <c r="BG82" s="22" t="e">
        <f t="shared" si="61"/>
        <v>#NUM!</v>
      </c>
      <c r="BH82" s="60" t="e">
        <f t="shared" si="62"/>
        <v>#NUM!</v>
      </c>
      <c r="BI82" s="60">
        <f ca="1">AVERAGE(OFFSET($BH$3,0,0,'Données projet'!$E$11+1,1))-AVERAGE(OFFSET($H$3,0,0,'Données projet'!$E$11+1,1))</f>
        <v>216.36762889365235</v>
      </c>
      <c r="BJ82" s="60">
        <f t="shared" si="92"/>
        <v>333.29599352215496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5.1159012121725205</v>
      </c>
      <c r="BQ82" s="23">
        <f>EXP(-LN(2)/25)*BQ81+(1-EXP(-LN(2)/25))/(LN(2)/25)*Calculateur!BL82*Calculateur!BN82*VLOOKUP('Données projet'!$B$11,Paramètres!$A$1:$I$89,3,0)*0.475*44/12</f>
        <v>2.505876739073245</v>
      </c>
      <c r="BR82" s="23">
        <f>EXP(-LN(2)/2)*BR81+(1-EXP(-LN(2)/2))/(LN(2)/2)*BL82*BO82*VLOOKUP('Données projet'!$B$11,Paramètres!$A$1:$I$89,3,0)*0.475*44/12</f>
        <v>1.2325541112284692E-7</v>
      </c>
      <c r="BS82" s="24">
        <f t="shared" si="63"/>
        <v>7.6217780745011767</v>
      </c>
      <c r="BT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6</v>
      </c>
      <c r="BY82" s="13">
        <f>IF('Données projet'!$A$114&gt;35,BY81+BX82-CG81,IF(A82&lt;'Données projet'!$A$114,$BV$205^A82,IF(A82='Données projet'!$A$114,'Données projet'!$B$114,BY81+BX82-CG81)))</f>
        <v>275.99999999999989</v>
      </c>
      <c r="BZ82" s="14">
        <f>BY82*VLOOKUP('Données projet'!$B$12,Paramètres!$A$1:$I$89,3,0)*VLOOKUP('Données projet'!$B$12,Paramètres!$A$1:$I$89,5,0)</f>
        <v>266.9471999999999</v>
      </c>
      <c r="CA82" s="14">
        <f t="shared" si="93"/>
        <v>64.200959938746379</v>
      </c>
      <c r="CB82" s="22">
        <f t="shared" si="64"/>
        <v>576.74971189331643</v>
      </c>
      <c r="CC82" s="60">
        <f t="shared" si="65"/>
        <v>847.07925927449332</v>
      </c>
      <c r="CD82" s="60">
        <f ca="1">AVERAGE(OFFSET($CC$3,0,0,'Données projet'!$E$12+1,1))-AVERAGE(OFFSET($H$3,0,0,'Données projet'!$E$12+1,1))</f>
        <v>496.33873798282525</v>
      </c>
      <c r="CE82" s="60">
        <f t="shared" si="94"/>
        <v>280.25465074992246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6</v>
      </c>
      <c r="CT82" s="13">
        <f>IF('Données projet'!$A$140&gt;35,CT81+CS82-DB81,IF(A82&lt;'Données projet'!$A$140,$CQ$205^A82,IF(A82='Données projet'!$A$140,'Données projet'!$B$140,CT81+CS82-DB81)))</f>
        <v>275.99999999999989</v>
      </c>
      <c r="CU82" s="18">
        <f>CT82*VLOOKUP('Données projet'!$B$13,Paramètres!$A$1:$I$89,3,0)*VLOOKUP('Données projet'!$B$13,Paramètres!$A$1:$I$89,5,0)</f>
        <v>297.08639999999986</v>
      </c>
      <c r="CV82" s="14">
        <f t="shared" si="95"/>
        <v>70.565314499829583</v>
      </c>
      <c r="CW82" s="22">
        <f t="shared" si="67"/>
        <v>640.3267360872029</v>
      </c>
      <c r="CX82" s="60">
        <f t="shared" si="68"/>
        <v>910.6562834683798</v>
      </c>
      <c r="CY82" s="60">
        <f ca="1">AVERAGE(OFFSET($CX$3,0,0,'Données projet'!$E$13+1,1))-AVERAGE(OFFSET($H$3,0,0,'Données projet'!$E$13+1,1))</f>
        <v>542.90832990875208</v>
      </c>
      <c r="CZ82" s="60">
        <f t="shared" si="96"/>
        <v>304.94365539329362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0" t="e">
        <f t="shared" si="71"/>
        <v>#N/A</v>
      </c>
      <c r="DT82" s="60" t="e">
        <f ca="1">AVERAGE(OFFSET($DS$3,0,0,'Données projet'!$E$14+1,1))-AVERAGE(OFFSET($H$3,0,0,'Données projet'!$E$14+1,1))</f>
        <v>#N/A</v>
      </c>
      <c r="DU82" s="60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0" t="e">
        <f t="shared" si="74"/>
        <v>#N/A</v>
      </c>
      <c r="EO82" s="60" t="e">
        <f ca="1">AVERAGE(OFFSET($EN$3,0,0,'Données projet'!$E$15+1,1))-AVERAGE(OFFSET($H$3,0,0,'Données projet'!$E$15+1,1))</f>
        <v>#N/A</v>
      </c>
      <c r="EP82" s="60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0" t="e">
        <f t="shared" si="77"/>
        <v>#N/A</v>
      </c>
      <c r="FJ82" s="60" t="e">
        <f ca="1">AVERAGE(OFFSET($FI$3,0,0,'Données projet'!$E$16+1,1))-AVERAGE(OFFSET($H$3,0,0,'Données projet'!$E$16+1,1))</f>
        <v>#N/A</v>
      </c>
      <c r="FK82" s="60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0" t="e">
        <f t="shared" si="80"/>
        <v>#N/A</v>
      </c>
      <c r="GE82" s="60" t="e">
        <f ca="1">AVERAGE(OFFSET($GD$3,0,0,'Données projet'!$E$17+1,1))-AVERAGE(OFFSET($H$3,0,0,'Données projet'!$E$17+1,1))</f>
        <v>#N/A</v>
      </c>
      <c r="GF82" s="60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4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319.7076923076923</v>
      </c>
      <c r="L83" s="13">
        <f>VLOOKUP(A83,'Données projet'!$A$35:$I$55,9,0)</f>
        <v>8.918461538461532</v>
      </c>
      <c r="M83" s="13">
        <f t="array" ref="M83">INDEX(L:L,MIN(IF(ISNUMBER(L83:L279),ROW(L83:L279),"")))</f>
        <v>8.918461538461532</v>
      </c>
      <c r="N83" s="14">
        <f>IF('Données projet'!$A$36&gt;35,N82+M83-V82,IF(A83&lt;'Données projet'!$A$36,$K$205^A83,IF(A83='Données projet'!$A$36,'Données projet'!$B$36,N82+M83-V82)))</f>
        <v>319.70769230769235</v>
      </c>
      <c r="O83" s="14">
        <f>N83*VLOOKUP('Données projet'!$B$9,Paramètres!$A$1:$I$89,3,0)*VLOOKUP('Données projet'!$B$9,Paramètres!$A$1:$I$89,5,0)</f>
        <v>149.62320000000003</v>
      </c>
      <c r="P83" s="14">
        <f t="shared" si="87"/>
        <v>38.492943938194955</v>
      </c>
      <c r="Q83" s="22">
        <f t="shared" si="54"/>
        <v>327.63561735902289</v>
      </c>
      <c r="R83" s="60">
        <f t="shared" si="55"/>
        <v>598.36422899770901</v>
      </c>
      <c r="S83" s="60">
        <f ca="1">AVERAGE(OFFSET($R$3,0,0,'Données projet'!$E$9+1,1))-AVERAGE(OFFSET($H$3,0,0,'Données projet'!$E$9+1,1))</f>
        <v>277.7918215389401</v>
      </c>
      <c r="T83" s="60">
        <f t="shared" si="88"/>
        <v>164.65640238394164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282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281.99999999999989</v>
      </c>
      <c r="AJ83" s="14">
        <f>AI83*VLOOKUP('Données projet'!$B$10,Paramètres!$A$1:$I$89,3,0)*VLOOKUP('Données projet'!$B$10,Paramètres!$A$1:$I$89,5,0)</f>
        <v>255.15359999999987</v>
      </c>
      <c r="AK83" s="14">
        <f t="shared" si="89"/>
        <v>61.688192762754376</v>
      </c>
      <c r="AL83" s="22">
        <f t="shared" si="58"/>
        <v>551.83278906179692</v>
      </c>
      <c r="AM83" s="60">
        <f t="shared" si="59"/>
        <v>822.56140070048309</v>
      </c>
      <c r="AN83" s="60">
        <f ca="1">AVERAGE(OFFSET($AM$3,0,0,'Données projet'!$E$10+1,1))-AVERAGE(OFFSET($H$3,0,0,'Données projet'!$E$10+1,1))</f>
        <v>469.67944008675863</v>
      </c>
      <c r="AO83" s="60">
        <f t="shared" si="90"/>
        <v>266.11908070867173</v>
      </c>
      <c r="AP83" s="16">
        <f>IF(ISNA(VLOOKUP(A83,'Données projet'!$A$61:$I$81,3,0)),0,VLOOKUP(A83,'Données projet'!$A$61:$I$81,3,0))</f>
        <v>6</v>
      </c>
      <c r="AQ83" s="16">
        <f>IF(ISNA(VLOOKUP(A83,'Données projet'!$A$61:$I$81,4,0)),0,VLOOKUP(A83,'Données projet'!$A$61:$I$81,4,0))</f>
        <v>42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>
        <f>BD83*VLOOKUP('Données projet'!$B$11,Paramètres!$A$1:$I$89,3,0)*VLOOKUP('Données projet'!$B$11,Paramètres!$A$1:$I$89,5,0)</f>
        <v>0</v>
      </c>
      <c r="BF83" s="14" t="e">
        <f t="shared" si="91"/>
        <v>#NUM!</v>
      </c>
      <c r="BG83" s="22" t="e">
        <f t="shared" si="61"/>
        <v>#NUM!</v>
      </c>
      <c r="BH83" s="60" t="e">
        <f t="shared" si="62"/>
        <v>#NUM!</v>
      </c>
      <c r="BI83" s="60">
        <f ca="1">AVERAGE(OFFSET($BH$3,0,0,'Données projet'!$E$11+1,1))-AVERAGE(OFFSET($H$3,0,0,'Données projet'!$E$11+1,1))</f>
        <v>216.36762889365235</v>
      </c>
      <c r="BJ83" s="60">
        <f t="shared" si="92"/>
        <v>333.29599352215496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5.015581509793444</v>
      </c>
      <c r="BQ83" s="23">
        <f>EXP(-LN(2)/25)*BQ82+(1-EXP(-LN(2)/25))/(LN(2)/25)*Calculateur!BL83*Calculateur!BN83*VLOOKUP('Données projet'!$B$11,Paramètres!$A$1:$I$89,3,0)*0.475*44/12</f>
        <v>2.4373534078649568</v>
      </c>
      <c r="BR83" s="23">
        <f>EXP(-LN(2)/2)*BR82+(1-EXP(-LN(2)/2))/(LN(2)/2)*BL83*BO83*VLOOKUP('Données projet'!$B$11,Paramètres!$A$1:$I$89,3,0)*0.475*44/12</f>
        <v>8.7154737022900873E-8</v>
      </c>
      <c r="BS83" s="24">
        <f t="shared" si="63"/>
        <v>7.4529350048131375</v>
      </c>
      <c r="BT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282</v>
      </c>
      <c r="BW83" s="13">
        <f>VLOOKUP(A83,'Données projet'!$A$113:$I$133,9,0)</f>
        <v>6</v>
      </c>
      <c r="BX83" s="13">
        <f t="array" ref="BX83">INDEX(BW:BW,MIN(IF(ISNUMBER(BW83:BW279),ROW(BW83:BW279),"")))</f>
        <v>6</v>
      </c>
      <c r="BY83" s="13">
        <f>IF('Données projet'!$A$114&gt;35,BY82+BX83-CG82,IF(A83&lt;'Données projet'!$A$114,$BV$205^A83,IF(A83='Données projet'!$A$114,'Données projet'!$B$114,BY82+BX83-CG82)))</f>
        <v>281.99999999999989</v>
      </c>
      <c r="BZ83" s="14">
        <f>BY83*VLOOKUP('Données projet'!$B$12,Paramètres!$A$1:$I$89,3,0)*VLOOKUP('Données projet'!$B$12,Paramètres!$A$1:$I$89,5,0)</f>
        <v>272.7503999999999</v>
      </c>
      <c r="CA83" s="14">
        <f t="shared" si="93"/>
        <v>65.432628830820633</v>
      </c>
      <c r="CB83" s="22">
        <f t="shared" si="64"/>
        <v>589.00210854701243</v>
      </c>
      <c r="CC83" s="60">
        <f t="shared" si="65"/>
        <v>859.7307201856986</v>
      </c>
      <c r="CD83" s="60">
        <f ca="1">AVERAGE(OFFSET($CC$3,0,0,'Données projet'!$E$12+1,1))-AVERAGE(OFFSET($H$3,0,0,'Données projet'!$E$12+1,1))</f>
        <v>496.33873798282525</v>
      </c>
      <c r="CE83" s="60">
        <f t="shared" si="94"/>
        <v>280.25465074992246</v>
      </c>
      <c r="CF83" s="16">
        <f>IF(ISNA(VLOOKUP(A83,'Données projet'!$A$113:$I$133,3,0)),0,VLOOKUP(A83,'Données projet'!$A$113:$I$133,3,0))</f>
        <v>6</v>
      </c>
      <c r="CG83" s="16">
        <f>IF(ISNA(VLOOKUP(A83,'Données projet'!$A$113:$I$133,4,0)),0,VLOOKUP(A83,'Données projet'!$A$113:$I$133,4,0))</f>
        <v>42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282</v>
      </c>
      <c r="CR83" s="13">
        <f>VLOOKUP(A83,'Données projet'!$A$139:$I$159,9,0)</f>
        <v>6</v>
      </c>
      <c r="CS83" s="13">
        <f t="array" ref="CS83">INDEX(CR:CR,MIN(IF(ISNUMBER(CR83:CR279),ROW(CR83:CR279),"")))</f>
        <v>6</v>
      </c>
      <c r="CT83" s="13">
        <f>IF('Données projet'!$A$140&gt;35,CT82+CS83-DB82,IF(A83&lt;'Données projet'!$A$140,$CQ$205^A83,IF(A83='Données projet'!$A$140,'Données projet'!$B$140,CT82+CS83-DB82)))</f>
        <v>281.99999999999989</v>
      </c>
      <c r="CU83" s="18">
        <f>CT83*VLOOKUP('Données projet'!$B$13,Paramètres!$A$1:$I$89,3,0)*VLOOKUP('Données projet'!$B$13,Paramètres!$A$1:$I$89,5,0)</f>
        <v>303.54479999999984</v>
      </c>
      <c r="CV83" s="14">
        <f t="shared" si="95"/>
        <v>71.919080904752505</v>
      </c>
      <c r="CW83" s="22">
        <f t="shared" si="67"/>
        <v>653.93292590911028</v>
      </c>
      <c r="CX83" s="60">
        <f t="shared" si="68"/>
        <v>924.66153754779634</v>
      </c>
      <c r="CY83" s="60">
        <f ca="1">AVERAGE(OFFSET($CX$3,0,0,'Données projet'!$E$13+1,1))-AVERAGE(OFFSET($H$3,0,0,'Données projet'!$E$13+1,1))</f>
        <v>542.90832990875208</v>
      </c>
      <c r="CZ83" s="60">
        <f t="shared" si="96"/>
        <v>304.94365539329362</v>
      </c>
      <c r="DA83" s="16">
        <f>IF(ISNA(VLOOKUP(A83,'Données projet'!$A$139:$I$159,3,0)),0,VLOOKUP(A83,'Données projet'!$A$139:$I$159,3,0))</f>
        <v>6</v>
      </c>
      <c r="DB83" s="16">
        <f>IF(ISNA(VLOOKUP(A83,'Données projet'!$A$139:$I$159,4,0)),0,VLOOKUP(A83,'Données projet'!$A$139:$I$159,4,0))</f>
        <v>42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0" t="e">
        <f t="shared" si="71"/>
        <v>#N/A</v>
      </c>
      <c r="DT83" s="60" t="e">
        <f ca="1">AVERAGE(OFFSET($DS$3,0,0,'Données projet'!$E$14+1,1))-AVERAGE(OFFSET($H$3,0,0,'Données projet'!$E$14+1,1))</f>
        <v>#N/A</v>
      </c>
      <c r="DU83" s="60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0" t="e">
        <f t="shared" si="74"/>
        <v>#N/A</v>
      </c>
      <c r="EO83" s="60" t="e">
        <f ca="1">AVERAGE(OFFSET($EN$3,0,0,'Données projet'!$E$15+1,1))-AVERAGE(OFFSET($H$3,0,0,'Données projet'!$E$15+1,1))</f>
        <v>#N/A</v>
      </c>
      <c r="EP83" s="60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0" t="e">
        <f t="shared" si="77"/>
        <v>#N/A</v>
      </c>
      <c r="FJ83" s="60" t="e">
        <f ca="1">AVERAGE(OFFSET($FI$3,0,0,'Données projet'!$E$16+1,1))-AVERAGE(OFFSET($H$3,0,0,'Données projet'!$E$16+1,1))</f>
        <v>#N/A</v>
      </c>
      <c r="FK83" s="60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0" t="e">
        <f t="shared" si="80"/>
        <v>#N/A</v>
      </c>
      <c r="GE83" s="60" t="e">
        <f ca="1">AVERAGE(OFFSET($GD$3,0,0,'Données projet'!$E$17+1,1))-AVERAGE(OFFSET($H$3,0,0,'Données projet'!$E$17+1,1))</f>
        <v>#N/A</v>
      </c>
      <c r="GF83" s="60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4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9.046153846153846</v>
      </c>
      <c r="N84" s="14">
        <f>IF('Données projet'!$A$36&gt;35,N83+M84-V83,IF(A84&lt;'Données projet'!$A$36,$K$205^A84,IF(A84='Données projet'!$A$36,'Données projet'!$B$36,N83+M84-V83)))</f>
        <v>328.75384615384621</v>
      </c>
      <c r="O84" s="14">
        <f>N84*VLOOKUP('Données projet'!$B$9,Paramètres!$A$1:$I$89,3,0)*VLOOKUP('Données projet'!$B$9,Paramètres!$A$1:$I$89,5,0)</f>
        <v>153.85680000000002</v>
      </c>
      <c r="P84" s="14">
        <f t="shared" si="87"/>
        <v>39.453758056234719</v>
      </c>
      <c r="Q84" s="22">
        <f t="shared" si="54"/>
        <v>336.68255528127548</v>
      </c>
      <c r="R84" s="60">
        <f t="shared" si="55"/>
        <v>607.80330830477692</v>
      </c>
      <c r="S84" s="60">
        <f ca="1">AVERAGE(OFFSET($R$3,0,0,'Données projet'!$E$9+1,1))-AVERAGE(OFFSET($H$3,0,0,'Données projet'!$E$9+1,1))</f>
        <v>277.7918215389401</v>
      </c>
      <c r="T84" s="60">
        <f t="shared" si="88"/>
        <v>164.65640238394164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245.59999999999991</v>
      </c>
      <c r="AJ84" s="14">
        <f>AI84*VLOOKUP('Données projet'!$B$10,Paramètres!$A$1:$I$89,3,0)*VLOOKUP('Données projet'!$B$10,Paramètres!$A$1:$I$89,5,0)</f>
        <v>222.21887999999993</v>
      </c>
      <c r="AK84" s="14">
        <f t="shared" si="89"/>
        <v>54.596866296848852</v>
      </c>
      <c r="AL84" s="22">
        <f t="shared" si="58"/>
        <v>482.12075813367829</v>
      </c>
      <c r="AM84" s="60">
        <f t="shared" si="59"/>
        <v>753.24151115717973</v>
      </c>
      <c r="AN84" s="60">
        <f ca="1">AVERAGE(OFFSET($AM$3,0,0,'Données projet'!$E$10+1,1))-AVERAGE(OFFSET($H$3,0,0,'Données projet'!$E$10+1,1))</f>
        <v>469.67944008675863</v>
      </c>
      <c r="AO84" s="60">
        <f t="shared" si="90"/>
        <v>266.11908070867173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>
        <f>BD84*VLOOKUP('Données projet'!$B$11,Paramètres!$A$1:$I$89,3,0)*VLOOKUP('Données projet'!$B$11,Paramètres!$A$1:$I$89,5,0)</f>
        <v>0</v>
      </c>
      <c r="BF84" s="14" t="e">
        <f t="shared" si="91"/>
        <v>#NUM!</v>
      </c>
      <c r="BG84" s="22" t="e">
        <f t="shared" si="61"/>
        <v>#NUM!</v>
      </c>
      <c r="BH84" s="60" t="e">
        <f t="shared" si="62"/>
        <v>#NUM!</v>
      </c>
      <c r="BI84" s="60">
        <f ca="1">AVERAGE(OFFSET($BH$3,0,0,'Données projet'!$E$11+1,1))-AVERAGE(OFFSET($H$3,0,0,'Données projet'!$E$11+1,1))</f>
        <v>216.36762889365235</v>
      </c>
      <c r="BJ84" s="60">
        <f t="shared" si="92"/>
        <v>333.29599352215496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4.9172290155890446</v>
      </c>
      <c r="BQ84" s="23">
        <f>EXP(-LN(2)/25)*BQ83+(1-EXP(-LN(2)/25))/(LN(2)/25)*Calculateur!BL84*Calculateur!BN84*VLOOKUP('Données projet'!$B$11,Paramètres!$A$1:$I$89,3,0)*0.475*44/12</f>
        <v>2.3707038507520446</v>
      </c>
      <c r="BR84" s="23">
        <f>EXP(-LN(2)/2)*BR83+(1-EXP(-LN(2)/2))/(LN(2)/2)*BL84*BO84*VLOOKUP('Données projet'!$B$11,Paramètres!$A$1:$I$89,3,0)*0.475*44/12</f>
        <v>6.1627705561423459E-8</v>
      </c>
      <c r="BS84" s="24">
        <f t="shared" si="63"/>
        <v>7.2879329279687948</v>
      </c>
      <c r="BT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5.6</v>
      </c>
      <c r="BY84" s="13">
        <f>IF('Données projet'!$A$114&gt;35,BY83+BX84-CG83,IF(A84&lt;'Données projet'!$A$114,$BV$205^A84,IF(A84='Données projet'!$A$114,'Données projet'!$B$114,BY83+BX84-CG83)))</f>
        <v>245.59999999999991</v>
      </c>
      <c r="BZ84" s="14">
        <f>BY84*VLOOKUP('Données projet'!$B$12,Paramètres!$A$1:$I$89,3,0)*VLOOKUP('Données projet'!$B$12,Paramètres!$A$1:$I$89,5,0)</f>
        <v>237.54431999999991</v>
      </c>
      <c r="CA84" s="14">
        <f t="shared" si="93"/>
        <v>57.910863128487989</v>
      </c>
      <c r="CB84" s="22">
        <f t="shared" si="64"/>
        <v>514.58444394878302</v>
      </c>
      <c r="CC84" s="60">
        <f t="shared" si="65"/>
        <v>785.70519697228451</v>
      </c>
      <c r="CD84" s="60">
        <f ca="1">AVERAGE(OFFSET($CC$3,0,0,'Données projet'!$E$12+1,1))-AVERAGE(OFFSET($H$3,0,0,'Données projet'!$E$12+1,1))</f>
        <v>496.33873798282525</v>
      </c>
      <c r="CE84" s="60">
        <f t="shared" si="94"/>
        <v>280.25465074992246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5.6</v>
      </c>
      <c r="CT84" s="13">
        <f>IF('Données projet'!$A$140&gt;35,CT83+CS84-DB83,IF(A84&lt;'Données projet'!$A$140,$CQ$205^A84,IF(A84='Données projet'!$A$140,'Données projet'!$B$140,CT83+CS84-DB83)))</f>
        <v>245.59999999999991</v>
      </c>
      <c r="CU84" s="18">
        <f>CT84*VLOOKUP('Données projet'!$B$13,Paramètres!$A$1:$I$89,3,0)*VLOOKUP('Données projet'!$B$13,Paramètres!$A$1:$I$89,5,0)</f>
        <v>264.36383999999987</v>
      </c>
      <c r="CV84" s="14">
        <f t="shared" si="95"/>
        <v>63.651669282160768</v>
      </c>
      <c r="CW84" s="22">
        <f t="shared" si="67"/>
        <v>571.29367866642974</v>
      </c>
      <c r="CX84" s="60">
        <f t="shared" si="68"/>
        <v>842.41443168993123</v>
      </c>
      <c r="CY84" s="60">
        <f ca="1">AVERAGE(OFFSET($CX$3,0,0,'Données projet'!$E$13+1,1))-AVERAGE(OFFSET($H$3,0,0,'Données projet'!$E$13+1,1))</f>
        <v>542.90832990875208</v>
      </c>
      <c r="CZ84" s="60">
        <f t="shared" si="96"/>
        <v>304.94365539329362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0" t="e">
        <f t="shared" si="71"/>
        <v>#N/A</v>
      </c>
      <c r="DT84" s="60" t="e">
        <f ca="1">AVERAGE(OFFSET($DS$3,0,0,'Données projet'!$E$14+1,1))-AVERAGE(OFFSET($H$3,0,0,'Données projet'!$E$14+1,1))</f>
        <v>#N/A</v>
      </c>
      <c r="DU84" s="60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0" t="e">
        <f t="shared" si="74"/>
        <v>#N/A</v>
      </c>
      <c r="EO84" s="60" t="e">
        <f ca="1">AVERAGE(OFFSET($EN$3,0,0,'Données projet'!$E$15+1,1))-AVERAGE(OFFSET($H$3,0,0,'Données projet'!$E$15+1,1))</f>
        <v>#N/A</v>
      </c>
      <c r="EP84" s="60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0" t="e">
        <f t="shared" si="77"/>
        <v>#N/A</v>
      </c>
      <c r="FJ84" s="60" t="e">
        <f ca="1">AVERAGE(OFFSET($FI$3,0,0,'Données projet'!$E$16+1,1))-AVERAGE(OFFSET($H$3,0,0,'Données projet'!$E$16+1,1))</f>
        <v>#N/A</v>
      </c>
      <c r="FK84" s="60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0" t="e">
        <f t="shared" si="80"/>
        <v>#N/A</v>
      </c>
      <c r="GE84" s="60" t="e">
        <f ca="1">AVERAGE(OFFSET($GD$3,0,0,'Données projet'!$E$17+1,1))-AVERAGE(OFFSET($H$3,0,0,'Données projet'!$E$17+1,1))</f>
        <v>#N/A</v>
      </c>
      <c r="GF84" s="60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4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9.046153846153846</v>
      </c>
      <c r="N85" s="14">
        <f>IF('Données projet'!$A$36&gt;35,N84+M85-V84,IF(A85&lt;'Données projet'!$A$36,$K$205^A85,IF(A85='Données projet'!$A$36,'Données projet'!$B$36,N84+M85-V84)))</f>
        <v>337.80000000000007</v>
      </c>
      <c r="O85" s="14">
        <f>N85*VLOOKUP('Données projet'!$B$9,Paramètres!$A$1:$I$89,3,0)*VLOOKUP('Données projet'!$B$9,Paramètres!$A$1:$I$89,5,0)</f>
        <v>158.09040000000002</v>
      </c>
      <c r="P85" s="14">
        <f t="shared" si="87"/>
        <v>40.411499276734304</v>
      </c>
      <c r="Q85" s="22">
        <f t="shared" si="54"/>
        <v>345.72414124031229</v>
      </c>
      <c r="R85" s="60">
        <f t="shared" si="55"/>
        <v>617.23023287229933</v>
      </c>
      <c r="S85" s="60">
        <f ca="1">AVERAGE(OFFSET($R$3,0,0,'Données projet'!$E$9+1,1))-AVERAGE(OFFSET($H$3,0,0,'Données projet'!$E$9+1,1))</f>
        <v>277.7918215389401</v>
      </c>
      <c r="T85" s="60">
        <f t="shared" si="88"/>
        <v>164.65640238394164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251.1999999999999</v>
      </c>
      <c r="AJ85" s="14">
        <f>AI85*VLOOKUP('Données projet'!$B$10,Paramètres!$A$1:$I$89,3,0)*VLOOKUP('Données projet'!$B$10,Paramètres!$A$1:$I$89,5,0)</f>
        <v>227.28575999999993</v>
      </c>
      <c r="AK85" s="14">
        <f t="shared" si="89"/>
        <v>55.695394520076327</v>
      </c>
      <c r="AL85" s="22">
        <f t="shared" si="58"/>
        <v>492.85884412246605</v>
      </c>
      <c r="AM85" s="60">
        <f t="shared" si="59"/>
        <v>764.36493575445309</v>
      </c>
      <c r="AN85" s="60">
        <f ca="1">AVERAGE(OFFSET($AM$3,0,0,'Données projet'!$E$10+1,1))-AVERAGE(OFFSET($H$3,0,0,'Données projet'!$E$10+1,1))</f>
        <v>469.67944008675863</v>
      </c>
      <c r="AO85" s="60">
        <f t="shared" si="90"/>
        <v>266.11908070867173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>
        <f>BD85*VLOOKUP('Données projet'!$B$11,Paramètres!$A$1:$I$89,3,0)*VLOOKUP('Données projet'!$B$11,Paramètres!$A$1:$I$89,5,0)</f>
        <v>0</v>
      </c>
      <c r="BF85" s="14" t="e">
        <f t="shared" si="91"/>
        <v>#NUM!</v>
      </c>
      <c r="BG85" s="22" t="e">
        <f t="shared" si="61"/>
        <v>#NUM!</v>
      </c>
      <c r="BH85" s="60" t="e">
        <f t="shared" si="62"/>
        <v>#NUM!</v>
      </c>
      <c r="BI85" s="60">
        <f ca="1">AVERAGE(OFFSET($BH$3,0,0,'Données projet'!$E$11+1,1))-AVERAGE(OFFSET($H$3,0,0,'Données projet'!$E$11+1,1))</f>
        <v>216.36762889365235</v>
      </c>
      <c r="BJ85" s="60">
        <f t="shared" si="92"/>
        <v>333.29599352215496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4.8208051538068952</v>
      </c>
      <c r="BQ85" s="23">
        <f>EXP(-LN(2)/25)*BQ84+(1-EXP(-LN(2)/25))/(LN(2)/25)*Calculateur!BL85*Calculateur!BN85*VLOOKUP('Données projet'!$B$11,Paramètres!$A$1:$I$89,3,0)*0.475*44/12</f>
        <v>2.3058768292833327</v>
      </c>
      <c r="BR85" s="23">
        <f>EXP(-LN(2)/2)*BR84+(1-EXP(-LN(2)/2))/(LN(2)/2)*BL85*BO85*VLOOKUP('Données projet'!$B$11,Paramètres!$A$1:$I$89,3,0)*0.475*44/12</f>
        <v>4.3577368511450437E-8</v>
      </c>
      <c r="BS85" s="24">
        <f t="shared" si="63"/>
        <v>7.1266820266675959</v>
      </c>
      <c r="BT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5.6</v>
      </c>
      <c r="BY85" s="13">
        <f>IF('Données projet'!$A$114&gt;35,BY84+BX85-CG84,IF(A85&lt;'Données projet'!$A$114,$BV$205^A85,IF(A85='Données projet'!$A$114,'Données projet'!$B$114,BY84+BX85-CG84)))</f>
        <v>251.1999999999999</v>
      </c>
      <c r="BZ85" s="14">
        <f>BY85*VLOOKUP('Données projet'!$B$12,Paramètres!$A$1:$I$89,3,0)*VLOOKUP('Données projet'!$B$12,Paramètres!$A$1:$I$89,5,0)</f>
        <v>242.96063999999993</v>
      </c>
      <c r="CA85" s="14">
        <f t="shared" si="93"/>
        <v>59.076071351835715</v>
      </c>
      <c r="CB85" s="22">
        <f t="shared" si="64"/>
        <v>526.04727227111368</v>
      </c>
      <c r="CC85" s="60">
        <f t="shared" si="65"/>
        <v>797.55336390310072</v>
      </c>
      <c r="CD85" s="60">
        <f ca="1">AVERAGE(OFFSET($CC$3,0,0,'Données projet'!$E$12+1,1))-AVERAGE(OFFSET($H$3,0,0,'Données projet'!$E$12+1,1))</f>
        <v>496.33873798282525</v>
      </c>
      <c r="CE85" s="60">
        <f t="shared" si="94"/>
        <v>280.25465074992246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5.6</v>
      </c>
      <c r="CT85" s="13">
        <f>IF('Données projet'!$A$140&gt;35,CT84+CS85-DB84,IF(A85&lt;'Données projet'!$A$140,$CQ$205^A85,IF(A85='Données projet'!$A$140,'Données projet'!$B$140,CT84+CS85-DB84)))</f>
        <v>251.1999999999999</v>
      </c>
      <c r="CU85" s="18">
        <f>CT85*VLOOKUP('Données projet'!$B$13,Paramètres!$A$1:$I$89,3,0)*VLOOKUP('Données projet'!$B$13,Paramètres!$A$1:$I$89,5,0)</f>
        <v>270.39167999999989</v>
      </c>
      <c r="CV85" s="14">
        <f t="shared" si="95"/>
        <v>64.932386654872516</v>
      </c>
      <c r="CW85" s="22">
        <f t="shared" si="67"/>
        <v>584.02274942390272</v>
      </c>
      <c r="CX85" s="60">
        <f t="shared" si="68"/>
        <v>855.52884105588976</v>
      </c>
      <c r="CY85" s="60">
        <f ca="1">AVERAGE(OFFSET($CX$3,0,0,'Données projet'!$E$13+1,1))-AVERAGE(OFFSET($H$3,0,0,'Données projet'!$E$13+1,1))</f>
        <v>542.90832990875208</v>
      </c>
      <c r="CZ85" s="60">
        <f t="shared" si="96"/>
        <v>304.94365539329362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0" t="e">
        <f t="shared" si="71"/>
        <v>#N/A</v>
      </c>
      <c r="DT85" s="60" t="e">
        <f ca="1">AVERAGE(OFFSET($DS$3,0,0,'Données projet'!$E$14+1,1))-AVERAGE(OFFSET($H$3,0,0,'Données projet'!$E$14+1,1))</f>
        <v>#N/A</v>
      </c>
      <c r="DU85" s="60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0" t="e">
        <f t="shared" si="74"/>
        <v>#N/A</v>
      </c>
      <c r="EO85" s="60" t="e">
        <f ca="1">AVERAGE(OFFSET($EN$3,0,0,'Données projet'!$E$15+1,1))-AVERAGE(OFFSET($H$3,0,0,'Données projet'!$E$15+1,1))</f>
        <v>#N/A</v>
      </c>
      <c r="EP85" s="60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0" t="e">
        <f t="shared" si="77"/>
        <v>#N/A</v>
      </c>
      <c r="FJ85" s="60" t="e">
        <f ca="1">AVERAGE(OFFSET($FI$3,0,0,'Données projet'!$E$16+1,1))-AVERAGE(OFFSET($H$3,0,0,'Données projet'!$E$16+1,1))</f>
        <v>#N/A</v>
      </c>
      <c r="FK85" s="60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0" t="e">
        <f t="shared" si="80"/>
        <v>#N/A</v>
      </c>
      <c r="GE85" s="60" t="e">
        <f ca="1">AVERAGE(OFFSET($GD$3,0,0,'Données projet'!$E$17+1,1))-AVERAGE(OFFSET($H$3,0,0,'Données projet'!$E$17+1,1))</f>
        <v>#N/A</v>
      </c>
      <c r="GF85" s="60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4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9.046153846153846</v>
      </c>
      <c r="N86" s="14">
        <f>IF('Données projet'!$A$36&gt;35,N85+M86-V85,IF(A86&lt;'Données projet'!$A$36,$K$205^A86,IF(A86='Données projet'!$A$36,'Données projet'!$B$36,N85+M86-V85)))</f>
        <v>346.84615384615392</v>
      </c>
      <c r="O86" s="14">
        <f>N86*VLOOKUP('Données projet'!$B$9,Paramètres!$A$1:$I$89,3,0)*VLOOKUP('Données projet'!$B$9,Paramètres!$A$1:$I$89,5,0)</f>
        <v>162.32400000000004</v>
      </c>
      <c r="P86" s="14">
        <f t="shared" si="87"/>
        <v>41.3662593485464</v>
      </c>
      <c r="Q86" s="22">
        <f t="shared" si="54"/>
        <v>354.76053503205168</v>
      </c>
      <c r="R86" s="60">
        <f t="shared" si="55"/>
        <v>626.6452805091551</v>
      </c>
      <c r="S86" s="60">
        <f ca="1">AVERAGE(OFFSET($R$3,0,0,'Données projet'!$E$9+1,1))-AVERAGE(OFFSET($H$3,0,0,'Données projet'!$E$9+1,1))</f>
        <v>277.7918215389401</v>
      </c>
      <c r="T86" s="60">
        <f t="shared" si="88"/>
        <v>164.65640238394164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256.7999999999999</v>
      </c>
      <c r="AJ86" s="14">
        <f>AI86*VLOOKUP('Données projet'!$B$10,Paramètres!$A$1:$I$89,3,0)*VLOOKUP('Données projet'!$B$10,Paramètres!$A$1:$I$89,5,0)</f>
        <v>232.35263999999989</v>
      </c>
      <c r="AK86" s="14">
        <f t="shared" si="89"/>
        <v>56.791075613550255</v>
      </c>
      <c r="AL86" s="22">
        <f t="shared" si="58"/>
        <v>503.59197136026643</v>
      </c>
      <c r="AM86" s="60">
        <f t="shared" si="59"/>
        <v>775.47671683736985</v>
      </c>
      <c r="AN86" s="60">
        <f ca="1">AVERAGE(OFFSET($AM$3,0,0,'Données projet'!$E$10+1,1))-AVERAGE(OFFSET($H$3,0,0,'Données projet'!$E$10+1,1))</f>
        <v>469.67944008675863</v>
      </c>
      <c r="AO86" s="60">
        <f t="shared" si="90"/>
        <v>266.11908070867173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0" t="e">
        <f t="shared" si="62"/>
        <v>#NUM!</v>
      </c>
      <c r="BI86" s="60">
        <f ca="1">AVERAGE(OFFSET($BH$3,0,0,'Données projet'!$E$11+1,1))-AVERAGE(OFFSET($H$3,0,0,'Données projet'!$E$11+1,1))</f>
        <v>216.36762889365235</v>
      </c>
      <c r="BJ86" s="60">
        <f t="shared" si="92"/>
        <v>333.29599352215496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4.7262721051415451</v>
      </c>
      <c r="BQ86" s="23">
        <f>EXP(-LN(2)/25)*BQ85+(1-EXP(-LN(2)/25))/(LN(2)/25)*Calculateur!BL86*Calculateur!BN86*VLOOKUP('Données projet'!$B$11,Paramètres!$A$1:$I$89,3,0)*0.475*44/12</f>
        <v>2.2428225061257878</v>
      </c>
      <c r="BR86" s="23">
        <f>EXP(-LN(2)/2)*BR85+(1-EXP(-LN(2)/2))/(LN(2)/2)*BL86*BO86*VLOOKUP('Données projet'!$B$11,Paramètres!$A$1:$I$89,3,0)*0.475*44/12</f>
        <v>3.081385278071173E-8</v>
      </c>
      <c r="BS86" s="24">
        <f t="shared" si="63"/>
        <v>6.9690946420811857</v>
      </c>
      <c r="BT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5.6</v>
      </c>
      <c r="BY86" s="13">
        <f>IF('Données projet'!$A$114&gt;35,BY85+BX86-CG85,IF(A86&lt;'Données projet'!$A$114,$BV$205^A86,IF(A86='Données projet'!$A$114,'Données projet'!$B$114,BY85+BX86-CG85)))</f>
        <v>256.7999999999999</v>
      </c>
      <c r="BZ86" s="14">
        <f>BY86*VLOOKUP('Données projet'!$B$12,Paramètres!$A$1:$I$89,3,0)*VLOOKUP('Données projet'!$B$12,Paramètres!$A$1:$I$89,5,0)</f>
        <v>248.37695999999988</v>
      </c>
      <c r="CA86" s="14">
        <f t="shared" si="93"/>
        <v>60.238259626372319</v>
      </c>
      <c r="CB86" s="22">
        <f t="shared" si="64"/>
        <v>537.50484084926495</v>
      </c>
      <c r="CC86" s="60">
        <f t="shared" si="65"/>
        <v>809.38958632636843</v>
      </c>
      <c r="CD86" s="60">
        <f ca="1">AVERAGE(OFFSET($CC$3,0,0,'Données projet'!$E$12+1,1))-AVERAGE(OFFSET($H$3,0,0,'Données projet'!$E$12+1,1))</f>
        <v>496.33873798282525</v>
      </c>
      <c r="CE86" s="60">
        <f t="shared" si="94"/>
        <v>280.25465074992246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5.6</v>
      </c>
      <c r="CT86" s="13">
        <f>IF('Données projet'!$A$140&gt;35,CT85+CS86-DB85,IF(A86&lt;'Données projet'!$A$140,$CQ$205^A86,IF(A86='Données projet'!$A$140,'Données projet'!$B$140,CT85+CS86-DB85)))</f>
        <v>256.7999999999999</v>
      </c>
      <c r="CU86" s="18">
        <f>CT86*VLOOKUP('Données projet'!$B$13,Paramètres!$A$1:$I$89,3,0)*VLOOKUP('Données projet'!$B$13,Paramètres!$A$1:$I$89,5,0)</f>
        <v>276.41951999999986</v>
      </c>
      <c r="CV86" s="14">
        <f t="shared" si="95"/>
        <v>66.209784705913108</v>
      </c>
      <c r="CW86" s="22">
        <f t="shared" si="67"/>
        <v>596.74603902946512</v>
      </c>
      <c r="CX86" s="60">
        <f t="shared" si="68"/>
        <v>868.6307845065686</v>
      </c>
      <c r="CY86" s="60">
        <f ca="1">AVERAGE(OFFSET($CX$3,0,0,'Données projet'!$E$13+1,1))-AVERAGE(OFFSET($H$3,0,0,'Données projet'!$E$13+1,1))</f>
        <v>542.90832990875208</v>
      </c>
      <c r="CZ86" s="60">
        <f t="shared" si="96"/>
        <v>304.94365539329362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0" t="e">
        <f t="shared" si="71"/>
        <v>#N/A</v>
      </c>
      <c r="DT86" s="60" t="e">
        <f ca="1">AVERAGE(OFFSET($DS$3,0,0,'Données projet'!$E$14+1,1))-AVERAGE(OFFSET($H$3,0,0,'Données projet'!$E$14+1,1))</f>
        <v>#N/A</v>
      </c>
      <c r="DU86" s="60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0" t="e">
        <f t="shared" si="74"/>
        <v>#N/A</v>
      </c>
      <c r="EO86" s="60" t="e">
        <f ca="1">AVERAGE(OFFSET($EN$3,0,0,'Données projet'!$E$15+1,1))-AVERAGE(OFFSET($H$3,0,0,'Données projet'!$E$15+1,1))</f>
        <v>#N/A</v>
      </c>
      <c r="EP86" s="60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0" t="e">
        <f t="shared" si="77"/>
        <v>#N/A</v>
      </c>
      <c r="FJ86" s="60" t="e">
        <f ca="1">AVERAGE(OFFSET($FI$3,0,0,'Données projet'!$E$16+1,1))-AVERAGE(OFFSET($H$3,0,0,'Données projet'!$E$16+1,1))</f>
        <v>#N/A</v>
      </c>
      <c r="FK86" s="60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0" t="e">
        <f t="shared" si="80"/>
        <v>#N/A</v>
      </c>
      <c r="GE86" s="60" t="e">
        <f ca="1">AVERAGE(OFFSET($GD$3,0,0,'Données projet'!$E$17+1,1))-AVERAGE(OFFSET($H$3,0,0,'Données projet'!$E$17+1,1))</f>
        <v>#N/A</v>
      </c>
      <c r="GF86" s="60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4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9.046153846153846</v>
      </c>
      <c r="N87" s="14">
        <f>IF('Données projet'!$A$36&gt;35,N86+M87-V86,IF(A87&lt;'Données projet'!$A$36,$K$205^A87,IF(A87='Données projet'!$A$36,'Données projet'!$B$36,N86+M87-V86)))</f>
        <v>355.89230769230778</v>
      </c>
      <c r="O87" s="14">
        <f>N87*VLOOKUP('Données projet'!$B$9,Paramètres!$A$1:$I$89,3,0)*VLOOKUP('Données projet'!$B$9,Paramètres!$A$1:$I$89,5,0)</f>
        <v>166.55760000000006</v>
      </c>
      <c r="P87" s="14">
        <f t="shared" si="87"/>
        <v>42.318124962101905</v>
      </c>
      <c r="Q87" s="22">
        <f t="shared" si="54"/>
        <v>363.79188764232754</v>
      </c>
      <c r="R87" s="60">
        <f t="shared" si="55"/>
        <v>636.04871816687785</v>
      </c>
      <c r="S87" s="60">
        <f ca="1">AVERAGE(OFFSET($R$3,0,0,'Données projet'!$E$9+1,1))-AVERAGE(OFFSET($H$3,0,0,'Données projet'!$E$9+1,1))</f>
        <v>277.7918215389401</v>
      </c>
      <c r="T87" s="60">
        <f t="shared" si="88"/>
        <v>164.65640238394164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262.39999999999992</v>
      </c>
      <c r="AJ87" s="14">
        <f>AI87*VLOOKUP('Données projet'!$B$10,Paramètres!$A$1:$I$89,3,0)*VLOOKUP('Données projet'!$B$10,Paramètres!$A$1:$I$89,5,0)</f>
        <v>237.41951999999992</v>
      </c>
      <c r="AK87" s="14">
        <f t="shared" si="89"/>
        <v>57.883978814320919</v>
      </c>
      <c r="AL87" s="22">
        <f t="shared" si="58"/>
        <v>514.32026043494204</v>
      </c>
      <c r="AM87" s="60">
        <f t="shared" si="59"/>
        <v>786.57709095949235</v>
      </c>
      <c r="AN87" s="60">
        <f ca="1">AVERAGE(OFFSET($AM$3,0,0,'Données projet'!$E$10+1,1))-AVERAGE(OFFSET($H$3,0,0,'Données projet'!$E$10+1,1))</f>
        <v>469.67944008675863</v>
      </c>
      <c r="AO87" s="60">
        <f t="shared" si="90"/>
        <v>266.11908070867173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0" t="e">
        <f t="shared" si="62"/>
        <v>#NUM!</v>
      </c>
      <c r="BI87" s="60">
        <f ca="1">AVERAGE(OFFSET($BH$3,0,0,'Données projet'!$E$11+1,1))-AVERAGE(OFFSET($H$3,0,0,'Données projet'!$E$11+1,1))</f>
        <v>216.36762889365235</v>
      </c>
      <c r="BJ87" s="60">
        <f t="shared" si="92"/>
        <v>333.29599352215496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4.633592791901056</v>
      </c>
      <c r="BQ87" s="23">
        <f>EXP(-LN(2)/25)*BQ86+(1-EXP(-LN(2)/25))/(LN(2)/25)*Calculateur!BL87*Calculateur!BN87*VLOOKUP('Données projet'!$B$11,Paramètres!$A$1:$I$89,3,0)*0.475*44/12</f>
        <v>2.1814924067508685</v>
      </c>
      <c r="BR87" s="23">
        <f>EXP(-LN(2)/2)*BR86+(1-EXP(-LN(2)/2))/(LN(2)/2)*BL87*BO87*VLOOKUP('Données projet'!$B$11,Paramètres!$A$1:$I$89,3,0)*0.475*44/12</f>
        <v>2.1788684255725218E-8</v>
      </c>
      <c r="BS87" s="24">
        <f t="shared" si="63"/>
        <v>6.8150852204406096</v>
      </c>
      <c r="BT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5.6</v>
      </c>
      <c r="BY87" s="13">
        <f>IF('Données projet'!$A$114&gt;35,BY86+BX87-CG86,IF(A87&lt;'Données projet'!$A$114,$BV$205^A87,IF(A87='Données projet'!$A$114,'Données projet'!$B$114,BY86+BX87-CG86)))</f>
        <v>262.39999999999992</v>
      </c>
      <c r="BZ87" s="14">
        <f>BY87*VLOOKUP('Données projet'!$B$12,Paramètres!$A$1:$I$89,3,0)*VLOOKUP('Données projet'!$B$12,Paramètres!$A$1:$I$89,5,0)</f>
        <v>253.79327999999995</v>
      </c>
      <c r="CA87" s="14">
        <f t="shared" si="93"/>
        <v>61.39750139179521</v>
      </c>
      <c r="CB87" s="22">
        <f t="shared" si="64"/>
        <v>548.95727759070985</v>
      </c>
      <c r="CC87" s="60">
        <f t="shared" si="65"/>
        <v>821.21410811526016</v>
      </c>
      <c r="CD87" s="60">
        <f ca="1">AVERAGE(OFFSET($CC$3,0,0,'Données projet'!$E$12+1,1))-AVERAGE(OFFSET($H$3,0,0,'Données projet'!$E$12+1,1))</f>
        <v>496.33873798282525</v>
      </c>
      <c r="CE87" s="60">
        <f t="shared" si="94"/>
        <v>280.25465074992246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5.6</v>
      </c>
      <c r="CT87" s="13">
        <f>IF('Données projet'!$A$140&gt;35,CT86+CS87-DB86,IF(A87&lt;'Données projet'!$A$140,$CQ$205^A87,IF(A87='Données projet'!$A$140,'Données projet'!$B$140,CT86+CS87-DB86)))</f>
        <v>262.39999999999992</v>
      </c>
      <c r="CU87" s="18">
        <f>CT87*VLOOKUP('Données projet'!$B$13,Paramètres!$A$1:$I$89,3,0)*VLOOKUP('Données projet'!$B$13,Paramètres!$A$1:$I$89,5,0)</f>
        <v>282.44735999999989</v>
      </c>
      <c r="CV87" s="14">
        <f t="shared" si="95"/>
        <v>67.48394415518699</v>
      </c>
      <c r="CW87" s="22">
        <f t="shared" si="67"/>
        <v>609.46368807028375</v>
      </c>
      <c r="CX87" s="60">
        <f t="shared" si="68"/>
        <v>881.72051859483406</v>
      </c>
      <c r="CY87" s="60">
        <f ca="1">AVERAGE(OFFSET($CX$3,0,0,'Données projet'!$E$13+1,1))-AVERAGE(OFFSET($H$3,0,0,'Données projet'!$E$13+1,1))</f>
        <v>542.90832990875208</v>
      </c>
      <c r="CZ87" s="60">
        <f t="shared" si="96"/>
        <v>304.94365539329362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0" t="e">
        <f t="shared" si="71"/>
        <v>#N/A</v>
      </c>
      <c r="DT87" s="60" t="e">
        <f ca="1">AVERAGE(OFFSET($DS$3,0,0,'Données projet'!$E$14+1,1))-AVERAGE(OFFSET($H$3,0,0,'Données projet'!$E$14+1,1))</f>
        <v>#N/A</v>
      </c>
      <c r="DU87" s="60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0" t="e">
        <f t="shared" si="74"/>
        <v>#N/A</v>
      </c>
      <c r="EO87" s="60" t="e">
        <f ca="1">AVERAGE(OFFSET($EN$3,0,0,'Données projet'!$E$15+1,1))-AVERAGE(OFFSET($H$3,0,0,'Données projet'!$E$15+1,1))</f>
        <v>#N/A</v>
      </c>
      <c r="EP87" s="60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0" t="e">
        <f t="shared" si="77"/>
        <v>#N/A</v>
      </c>
      <c r="FJ87" s="60" t="e">
        <f ca="1">AVERAGE(OFFSET($FI$3,0,0,'Données projet'!$E$16+1,1))-AVERAGE(OFFSET($H$3,0,0,'Données projet'!$E$16+1,1))</f>
        <v>#N/A</v>
      </c>
      <c r="FK87" s="60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0" t="e">
        <f t="shared" si="80"/>
        <v>#N/A</v>
      </c>
      <c r="GE87" s="60" t="e">
        <f ca="1">AVERAGE(OFFSET($GD$3,0,0,'Données projet'!$E$17+1,1))-AVERAGE(OFFSET($H$3,0,0,'Données projet'!$E$17+1,1))</f>
        <v>#N/A</v>
      </c>
      <c r="GF87" s="60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4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364.93846153846152</v>
      </c>
      <c r="L88" s="13">
        <f>VLOOKUP(A88,'Données projet'!$A$35:$I$55,9,0)</f>
        <v>9.046153846153846</v>
      </c>
      <c r="M88" s="13">
        <f t="array" ref="M88">INDEX(L:L,MIN(IF(ISNUMBER(L88:L284),ROW(L88:L284),"")))</f>
        <v>9.046153846153846</v>
      </c>
      <c r="N88" s="14">
        <f>IF('Données projet'!$A$36&gt;35,N87+M88-V87,IF(A88&lt;'Données projet'!$A$36,$K$205^A88,IF(A88='Données projet'!$A$36,'Données projet'!$B$36,N87+M88-V87)))</f>
        <v>364.93846153846164</v>
      </c>
      <c r="O88" s="14">
        <f>N88*VLOOKUP('Données projet'!$B$9,Paramètres!$A$1:$I$89,3,0)*VLOOKUP('Données projet'!$B$9,Paramètres!$A$1:$I$89,5,0)</f>
        <v>170.79120000000003</v>
      </c>
      <c r="P88" s="14">
        <f t="shared" si="87"/>
        <v>43.267178149686309</v>
      </c>
      <c r="Q88" s="22">
        <f t="shared" si="54"/>
        <v>372.818341944037</v>
      </c>
      <c r="R88" s="60">
        <f t="shared" si="55"/>
        <v>645.44080267231857</v>
      </c>
      <c r="S88" s="60">
        <f ca="1">AVERAGE(OFFSET($R$3,0,0,'Données projet'!$E$9+1,1))-AVERAGE(OFFSET($H$3,0,0,'Données projet'!$E$9+1,1))</f>
        <v>277.7918215389401</v>
      </c>
      <c r="T88" s="60">
        <f t="shared" si="88"/>
        <v>164.65640238394164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267.99999999999994</v>
      </c>
      <c r="AJ88" s="14">
        <f>AI88*VLOOKUP('Données projet'!$B$10,Paramètres!$A$1:$I$89,3,0)*VLOOKUP('Données projet'!$B$10,Paramètres!$A$1:$I$89,5,0)</f>
        <v>242.48639999999995</v>
      </c>
      <c r="AK88" s="14">
        <f t="shared" si="89"/>
        <v>58.974170235372419</v>
      </c>
      <c r="AL88" s="22">
        <f t="shared" si="58"/>
        <v>525.04382649327351</v>
      </c>
      <c r="AM88" s="60">
        <f t="shared" si="59"/>
        <v>797.66628722155497</v>
      </c>
      <c r="AN88" s="60">
        <f ca="1">AVERAGE(OFFSET($AM$3,0,0,'Données projet'!$E$10+1,1))-AVERAGE(OFFSET($H$3,0,0,'Données projet'!$E$10+1,1))</f>
        <v>469.67944008675863</v>
      </c>
      <c r="AO88" s="60">
        <f t="shared" si="90"/>
        <v>266.11908070867173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0" t="e">
        <f t="shared" si="62"/>
        <v>#NUM!</v>
      </c>
      <c r="BI88" s="60">
        <f ca="1">AVERAGE(OFFSET($BH$3,0,0,'Données projet'!$E$11+1,1))-AVERAGE(OFFSET($H$3,0,0,'Données projet'!$E$11+1,1))</f>
        <v>216.36762889365235</v>
      </c>
      <c r="BJ88" s="60">
        <f t="shared" si="92"/>
        <v>333.29599352215496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4.5427308634644143</v>
      </c>
      <c r="BQ88" s="23">
        <f>EXP(-LN(2)/25)*BQ87+(1-EXP(-LN(2)/25))/(LN(2)/25)*Calculateur!BL88*Calculateur!BN88*VLOOKUP('Données projet'!$B$11,Paramètres!$A$1:$I$89,3,0)*0.475*44/12</f>
        <v>2.1218393821685662</v>
      </c>
      <c r="BR88" s="23">
        <f>EXP(-LN(2)/2)*BR87+(1-EXP(-LN(2)/2))/(LN(2)/2)*BL88*BO88*VLOOKUP('Données projet'!$B$11,Paramètres!$A$1:$I$89,3,0)*0.475*44/12</f>
        <v>1.5406926390355865E-8</v>
      </c>
      <c r="BS88" s="24">
        <f t="shared" si="63"/>
        <v>6.6645702610399065</v>
      </c>
      <c r="BT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5.6</v>
      </c>
      <c r="BY88" s="13">
        <f>IF('Données projet'!$A$114&gt;35,BY87+BX88-CG87,IF(A88&lt;'Données projet'!$A$114,$BV$205^A88,IF(A88='Données projet'!$A$114,'Données projet'!$B$114,BY87+BX88-CG87)))</f>
        <v>267.99999999999994</v>
      </c>
      <c r="BZ88" s="14">
        <f>BY88*VLOOKUP('Données projet'!$B$12,Paramètres!$A$1:$I$89,3,0)*VLOOKUP('Données projet'!$B$12,Paramètres!$A$1:$I$89,5,0)</f>
        <v>259.20959999999997</v>
      </c>
      <c r="CA88" s="14">
        <f t="shared" si="93"/>
        <v>62.553866774106702</v>
      </c>
      <c r="CB88" s="22">
        <f t="shared" si="64"/>
        <v>560.40470463156907</v>
      </c>
      <c r="CC88" s="60">
        <f t="shared" si="65"/>
        <v>833.02716535985064</v>
      </c>
      <c r="CD88" s="60">
        <f ca="1">AVERAGE(OFFSET($CC$3,0,0,'Données projet'!$E$12+1,1))-AVERAGE(OFFSET($H$3,0,0,'Données projet'!$E$12+1,1))</f>
        <v>496.33873798282525</v>
      </c>
      <c r="CE88" s="60">
        <f t="shared" si="94"/>
        <v>280.25465074992246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5.6</v>
      </c>
      <c r="CT88" s="13">
        <f>IF('Données projet'!$A$140&gt;35,CT87+CS88-DB87,IF(A88&lt;'Données projet'!$A$140,$CQ$205^A88,IF(A88='Données projet'!$A$140,'Données projet'!$B$140,CT87+CS88-DB87)))</f>
        <v>267.99999999999994</v>
      </c>
      <c r="CU88" s="18">
        <f>CT88*VLOOKUP('Données projet'!$B$13,Paramètres!$A$1:$I$89,3,0)*VLOOKUP('Données projet'!$B$13,Paramètres!$A$1:$I$89,5,0)</f>
        <v>288.47519999999997</v>
      </c>
      <c r="CV88" s="14">
        <f t="shared" si="95"/>
        <v>68.754942080410842</v>
      </c>
      <c r="CW88" s="22">
        <f t="shared" si="67"/>
        <v>622.17583079004874</v>
      </c>
      <c r="CX88" s="60">
        <f t="shared" si="68"/>
        <v>894.79829151833019</v>
      </c>
      <c r="CY88" s="60">
        <f ca="1">AVERAGE(OFFSET($CX$3,0,0,'Données projet'!$E$13+1,1))-AVERAGE(OFFSET($H$3,0,0,'Données projet'!$E$13+1,1))</f>
        <v>542.90832990875208</v>
      </c>
      <c r="CZ88" s="60">
        <f t="shared" si="96"/>
        <v>304.94365539329362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0" t="e">
        <f t="shared" si="71"/>
        <v>#N/A</v>
      </c>
      <c r="DT88" s="60" t="e">
        <f ca="1">AVERAGE(OFFSET($DS$3,0,0,'Données projet'!$E$14+1,1))-AVERAGE(OFFSET($H$3,0,0,'Données projet'!$E$14+1,1))</f>
        <v>#N/A</v>
      </c>
      <c r="DU88" s="60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0" t="e">
        <f t="shared" si="74"/>
        <v>#N/A</v>
      </c>
      <c r="EO88" s="60" t="e">
        <f ca="1">AVERAGE(OFFSET($EN$3,0,0,'Données projet'!$E$15+1,1))-AVERAGE(OFFSET($H$3,0,0,'Données projet'!$E$15+1,1))</f>
        <v>#N/A</v>
      </c>
      <c r="EP88" s="60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0" t="e">
        <f t="shared" si="77"/>
        <v>#N/A</v>
      </c>
      <c r="FJ88" s="60" t="e">
        <f ca="1">AVERAGE(OFFSET($FI$3,0,0,'Données projet'!$E$16+1,1))-AVERAGE(OFFSET($H$3,0,0,'Données projet'!$E$16+1,1))</f>
        <v>#N/A</v>
      </c>
      <c r="FK88" s="60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0" t="e">
        <f t="shared" si="80"/>
        <v>#N/A</v>
      </c>
      <c r="GE88" s="60" t="e">
        <f ca="1">AVERAGE(OFFSET($GD$3,0,0,'Données projet'!$E$17+1,1))-AVERAGE(OFFSET($H$3,0,0,'Données projet'!$E$17+1,1))</f>
        <v>#N/A</v>
      </c>
      <c r="GF88" s="60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4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9.0999999999999943</v>
      </c>
      <c r="N89" s="14">
        <f>IF('Données projet'!$A$36&gt;35,N88+M89-V88,IF(A89&lt;'Données projet'!$A$36,$K$205^A89,IF(A89='Données projet'!$A$36,'Données projet'!$B$36,N88+M89-V88)))</f>
        <v>374.03846153846166</v>
      </c>
      <c r="O89" s="14">
        <f>N89*VLOOKUP('Données projet'!$B$9,Paramètres!$A$1:$I$89,3,0)*VLOOKUP('Données projet'!$B$9,Paramètres!$A$1:$I$89,5,0)</f>
        <v>175.05000000000004</v>
      </c>
      <c r="P89" s="14">
        <f t="shared" si="87"/>
        <v>44.219121455227665</v>
      </c>
      <c r="Q89" s="22">
        <f t="shared" si="54"/>
        <v>381.89371986785494</v>
      </c>
      <c r="R89" s="60">
        <f t="shared" si="55"/>
        <v>654.87546793325964</v>
      </c>
      <c r="S89" s="60">
        <f ca="1">AVERAGE(OFFSET($R$3,0,0,'Données projet'!$E$9+1,1))-AVERAGE(OFFSET($H$3,0,0,'Données projet'!$E$9+1,1))</f>
        <v>277.7918215389401</v>
      </c>
      <c r="T89" s="60">
        <f t="shared" si="88"/>
        <v>164.65640238394164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5.6</v>
      </c>
      <c r="AI89" s="14">
        <f>IF('Données projet'!$A$62&gt;35,AI88+AH89-AQ88,IF(A89&lt;'Données projet'!$A$62,$AF$205^A89,IF(A89='Données projet'!$A$62,'Données projet'!$B$62,AI88+AH89-AQ88)))</f>
        <v>273.59999999999997</v>
      </c>
      <c r="AJ89" s="14">
        <f>AI89*VLOOKUP('Données projet'!$B$10,Paramètres!$A$1:$I$89,3,0)*VLOOKUP('Données projet'!$B$10,Paramètres!$A$1:$I$89,5,0)</f>
        <v>247.55327999999994</v>
      </c>
      <c r="AK89" s="14">
        <f t="shared" si="89"/>
        <v>60.061713068870255</v>
      </c>
      <c r="AL89" s="22">
        <f t="shared" si="58"/>
        <v>535.76277959494894</v>
      </c>
      <c r="AM89" s="60">
        <f t="shared" si="59"/>
        <v>808.7445276603537</v>
      </c>
      <c r="AN89" s="60">
        <f ca="1">AVERAGE(OFFSET($AM$3,0,0,'Données projet'!$E$10+1,1))-AVERAGE(OFFSET($H$3,0,0,'Données projet'!$E$10+1,1))</f>
        <v>469.67944008675863</v>
      </c>
      <c r="AO89" s="60">
        <f t="shared" si="90"/>
        <v>266.11908070867173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0" t="e">
        <f t="shared" si="62"/>
        <v>#NUM!</v>
      </c>
      <c r="BI89" s="60">
        <f ca="1">AVERAGE(OFFSET($BH$3,0,0,'Données projet'!$E$11+1,1))-AVERAGE(OFFSET($H$3,0,0,'Données projet'!$E$11+1,1))</f>
        <v>216.36762889365235</v>
      </c>
      <c r="BJ89" s="60">
        <f t="shared" si="92"/>
        <v>333.29599352215496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4.4536506820241106</v>
      </c>
      <c r="BQ89" s="23">
        <f>EXP(-LN(2)/25)*BQ88+(1-EXP(-LN(2)/25))/(LN(2)/25)*Calculateur!BL89*Calculateur!BN89*VLOOKUP('Données projet'!$B$11,Paramètres!$A$1:$I$89,3,0)*0.475*44/12</f>
        <v>2.0638175726804833</v>
      </c>
      <c r="BR89" s="23">
        <f>EXP(-LN(2)/2)*BR88+(1-EXP(-LN(2)/2))/(LN(2)/2)*BL89*BO89*VLOOKUP('Données projet'!$B$11,Paramètres!$A$1:$I$89,3,0)*0.475*44/12</f>
        <v>1.0894342127862609E-8</v>
      </c>
      <c r="BS89" s="24">
        <f t="shared" si="63"/>
        <v>6.5174682655989367</v>
      </c>
      <c r="BT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5.6</v>
      </c>
      <c r="BY89" s="13">
        <f>IF('Données projet'!$A$114&gt;35,BY88+BX89-CG88,IF(A89&lt;'Données projet'!$A$114,$BV$205^A89,IF(A89='Données projet'!$A$114,'Données projet'!$B$114,BY88+BX89-CG88)))</f>
        <v>273.59999999999997</v>
      </c>
      <c r="BZ89" s="14">
        <f>BY89*VLOOKUP('Données projet'!$B$12,Paramètres!$A$1:$I$89,3,0)*VLOOKUP('Données projet'!$B$12,Paramètres!$A$1:$I$89,5,0)</f>
        <v>264.62591999999995</v>
      </c>
      <c r="CA89" s="14">
        <f t="shared" si="93"/>
        <v>63.707422801198604</v>
      </c>
      <c r="CB89" s="22">
        <f t="shared" si="64"/>
        <v>571.84723871208746</v>
      </c>
      <c r="CC89" s="60">
        <f t="shared" si="65"/>
        <v>844.82898677749222</v>
      </c>
      <c r="CD89" s="60">
        <f ca="1">AVERAGE(OFFSET($CC$3,0,0,'Données projet'!$E$12+1,1))-AVERAGE(OFFSET($H$3,0,0,'Données projet'!$E$12+1,1))</f>
        <v>496.33873798282525</v>
      </c>
      <c r="CE89" s="60">
        <f t="shared" si="94"/>
        <v>280.25465074992246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5.6</v>
      </c>
      <c r="CT89" s="13">
        <f>IF('Données projet'!$A$140&gt;35,CT88+CS89-DB88,IF(A89&lt;'Données projet'!$A$140,$CQ$205^A89,IF(A89='Données projet'!$A$140,'Données projet'!$B$140,CT88+CS89-DB88)))</f>
        <v>273.59999999999997</v>
      </c>
      <c r="CU89" s="18">
        <f>CT89*VLOOKUP('Données projet'!$B$13,Paramètres!$A$1:$I$89,3,0)*VLOOKUP('Données projet'!$B$13,Paramètres!$A$1:$I$89,5,0)</f>
        <v>294.50303999999994</v>
      </c>
      <c r="CV89" s="14">
        <f t="shared" si="95"/>
        <v>70.022852154069838</v>
      </c>
      <c r="CW89" s="22">
        <f t="shared" si="67"/>
        <v>634.88259550167152</v>
      </c>
      <c r="CX89" s="60">
        <f t="shared" si="68"/>
        <v>907.86434356707628</v>
      </c>
      <c r="CY89" s="60">
        <f ca="1">AVERAGE(OFFSET($CX$3,0,0,'Données projet'!$E$13+1,1))-AVERAGE(OFFSET($H$3,0,0,'Données projet'!$E$13+1,1))</f>
        <v>542.90832990875208</v>
      </c>
      <c r="CZ89" s="60">
        <f t="shared" si="96"/>
        <v>304.94365539329362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0" t="e">
        <f t="shared" si="71"/>
        <v>#N/A</v>
      </c>
      <c r="DT89" s="60" t="e">
        <f ca="1">AVERAGE(OFFSET($DS$3,0,0,'Données projet'!$E$14+1,1))-AVERAGE(OFFSET($H$3,0,0,'Données projet'!$E$14+1,1))</f>
        <v>#N/A</v>
      </c>
      <c r="DU89" s="60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0" t="e">
        <f t="shared" si="74"/>
        <v>#N/A</v>
      </c>
      <c r="EO89" s="60" t="e">
        <f ca="1">AVERAGE(OFFSET($EN$3,0,0,'Données projet'!$E$15+1,1))-AVERAGE(OFFSET($H$3,0,0,'Données projet'!$E$15+1,1))</f>
        <v>#N/A</v>
      </c>
      <c r="EP89" s="60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0" t="e">
        <f t="shared" si="77"/>
        <v>#N/A</v>
      </c>
      <c r="FJ89" s="60" t="e">
        <f ca="1">AVERAGE(OFFSET($FI$3,0,0,'Données projet'!$E$16+1,1))-AVERAGE(OFFSET($H$3,0,0,'Données projet'!$E$16+1,1))</f>
        <v>#N/A</v>
      </c>
      <c r="FK89" s="60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0" t="e">
        <f t="shared" si="80"/>
        <v>#N/A</v>
      </c>
      <c r="GE89" s="60" t="e">
        <f ca="1">AVERAGE(OFFSET($GD$3,0,0,'Données projet'!$E$17+1,1))-AVERAGE(OFFSET($H$3,0,0,'Données projet'!$E$17+1,1))</f>
        <v>#N/A</v>
      </c>
      <c r="GF89" s="60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4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>
        <f>VLOOKUP(A90,'Données projet'!$A$35:$I$55,2,0)</f>
        <v>383.13846153846151</v>
      </c>
      <c r="L90" s="13">
        <f>VLOOKUP(A90,'Données projet'!$A$35:$I$55,9,0)</f>
        <v>9.0999999999999943</v>
      </c>
      <c r="M90" s="13">
        <f t="array" ref="M90">INDEX(L:L,MIN(IF(ISNUMBER(L90:L286),ROW(L90:L286),"")))</f>
        <v>9.0999999999999943</v>
      </c>
      <c r="N90" s="14">
        <f>IF('Données projet'!$A$36&gt;35,N89+M90-V89,IF(A90&lt;'Données projet'!$A$36,$K$205^A90,IF(A90='Données projet'!$A$36,'Données projet'!$B$36,N89+M90-V89)))</f>
        <v>383.13846153846168</v>
      </c>
      <c r="O90" s="14">
        <f>N90*VLOOKUP('Données projet'!$B$9,Paramètres!$A$1:$I$89,3,0)*VLOOKUP('Données projet'!$B$9,Paramètres!$A$1:$I$89,5,0)</f>
        <v>179.30880000000008</v>
      </c>
      <c r="P90" s="14">
        <f t="shared" si="87"/>
        <v>45.168372484136597</v>
      </c>
      <c r="Q90" s="22">
        <f t="shared" si="54"/>
        <v>390.96440874320461</v>
      </c>
      <c r="R90" s="60">
        <f t="shared" si="55"/>
        <v>664.29921131367951</v>
      </c>
      <c r="S90" s="60">
        <f ca="1">AVERAGE(OFFSET($R$3,0,0,'Données projet'!$E$9+1,1))-AVERAGE(OFFSET($H$3,0,0,'Données projet'!$E$9+1,1))</f>
        <v>277.7918215389401</v>
      </c>
      <c r="T90" s="60">
        <f t="shared" si="88"/>
        <v>164.65640238394164</v>
      </c>
      <c r="U90" s="16">
        <f>IF(ISNA(VLOOKUP(A90,'Données projet'!$A$35:$I$55,3,0)),0,VLOOKUP(A90,'Données projet'!$A$35:$I$55,3,0))</f>
        <v>4</v>
      </c>
      <c r="V90" s="16">
        <f>IF(ISNA(VLOOKUP(A90,'Données projet'!$A$35:$I$55,4,0)),0,VLOOKUP(A90,'Données projet'!$A$35:$I$55,4,0))</f>
        <v>82.938461538461524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5.6</v>
      </c>
      <c r="AI90" s="14">
        <f>IF('Données projet'!$A$62&gt;35,AI89+AH90-AQ89,IF(A90&lt;'Données projet'!$A$62,$AF$205^A90,IF(A90='Données projet'!$A$62,'Données projet'!$B$62,AI89+AH90-AQ89)))</f>
        <v>279.2</v>
      </c>
      <c r="AJ90" s="14">
        <f>AI90*VLOOKUP('Données projet'!$B$10,Paramètres!$A$1:$I$89,3,0)*VLOOKUP('Données projet'!$B$10,Paramètres!$A$1:$I$89,5,0)</f>
        <v>252.62015999999997</v>
      </c>
      <c r="AK90" s="14">
        <f t="shared" si="89"/>
        <v>61.14666777229877</v>
      </c>
      <c r="AL90" s="22">
        <f t="shared" si="58"/>
        <v>546.47722503675357</v>
      </c>
      <c r="AM90" s="60">
        <f t="shared" si="59"/>
        <v>819.8120276072284</v>
      </c>
      <c r="AN90" s="60">
        <f ca="1">AVERAGE(OFFSET($AM$3,0,0,'Données projet'!$E$10+1,1))-AVERAGE(OFFSET($H$3,0,0,'Données projet'!$E$10+1,1))</f>
        <v>469.67944008675863</v>
      </c>
      <c r="AO90" s="60">
        <f t="shared" si="90"/>
        <v>266.11908070867173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0" t="e">
        <f t="shared" si="62"/>
        <v>#NUM!</v>
      </c>
      <c r="BI90" s="60">
        <f ca="1">AVERAGE(OFFSET($BH$3,0,0,'Données projet'!$E$11+1,1))-AVERAGE(OFFSET($H$3,0,0,'Données projet'!$E$11+1,1))</f>
        <v>216.36762889365235</v>
      </c>
      <c r="BJ90" s="60">
        <f t="shared" si="92"/>
        <v>333.29599352215496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4.3663173086083056</v>
      </c>
      <c r="BQ90" s="23">
        <f>EXP(-LN(2)/25)*BQ89+(1-EXP(-LN(2)/25))/(LN(2)/25)*Calculateur!BL90*Calculateur!BN90*VLOOKUP('Données projet'!$B$11,Paramètres!$A$1:$I$89,3,0)*0.475*44/12</f>
        <v>2.007382372624086</v>
      </c>
      <c r="BR90" s="23">
        <f>EXP(-LN(2)/2)*BR89+(1-EXP(-LN(2)/2))/(LN(2)/2)*BL90*BO90*VLOOKUP('Données projet'!$B$11,Paramètres!$A$1:$I$89,3,0)*0.475*44/12</f>
        <v>7.7034631951779324E-9</v>
      </c>
      <c r="BS90" s="24">
        <f t="shared" si="63"/>
        <v>6.3736996889358544</v>
      </c>
      <c r="BT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5.6</v>
      </c>
      <c r="BY90" s="13">
        <f>IF('Données projet'!$A$114&gt;35,BY89+BX90-CG89,IF(A90&lt;'Données projet'!$A$114,$BV$205^A90,IF(A90='Données projet'!$A$114,'Données projet'!$B$114,BY89+BX90-CG89)))</f>
        <v>279.2</v>
      </c>
      <c r="BZ90" s="14">
        <f>BY90*VLOOKUP('Données projet'!$B$12,Paramètres!$A$1:$I$89,3,0)*VLOOKUP('Données projet'!$B$12,Paramètres!$A$1:$I$89,5,0)</f>
        <v>270.04223999999999</v>
      </c>
      <c r="CA90" s="14">
        <f t="shared" si="93"/>
        <v>64.858233600288145</v>
      </c>
      <c r="CB90" s="22">
        <f t="shared" si="64"/>
        <v>583.28499152050188</v>
      </c>
      <c r="CC90" s="60">
        <f t="shared" si="65"/>
        <v>856.61979409097671</v>
      </c>
      <c r="CD90" s="60">
        <f ca="1">AVERAGE(OFFSET($CC$3,0,0,'Données projet'!$E$12+1,1))-AVERAGE(OFFSET($H$3,0,0,'Données projet'!$E$12+1,1))</f>
        <v>496.33873798282525</v>
      </c>
      <c r="CE90" s="60">
        <f t="shared" si="94"/>
        <v>280.25465074992246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5.6</v>
      </c>
      <c r="CT90" s="13">
        <f>IF('Données projet'!$A$140&gt;35,CT89+CS90-DB89,IF(A90&lt;'Données projet'!$A$140,$CQ$205^A90,IF(A90='Données projet'!$A$140,'Données projet'!$B$140,CT89+CS90-DB89)))</f>
        <v>279.2</v>
      </c>
      <c r="CU90" s="18">
        <f>CT90*VLOOKUP('Données projet'!$B$13,Paramètres!$A$1:$I$89,3,0)*VLOOKUP('Données projet'!$B$13,Paramètres!$A$1:$I$89,5,0)</f>
        <v>300.53087999999997</v>
      </c>
      <c r="CV90" s="14">
        <f t="shared" si="95"/>
        <v>71.287744860425462</v>
      </c>
      <c r="CW90" s="22">
        <f t="shared" si="67"/>
        <v>647.58410496524095</v>
      </c>
      <c r="CX90" s="60">
        <f t="shared" si="68"/>
        <v>920.91890753571579</v>
      </c>
      <c r="CY90" s="60">
        <f ca="1">AVERAGE(OFFSET($CX$3,0,0,'Données projet'!$E$13+1,1))-AVERAGE(OFFSET($H$3,0,0,'Données projet'!$E$13+1,1))</f>
        <v>542.90832990875208</v>
      </c>
      <c r="CZ90" s="60">
        <f t="shared" si="96"/>
        <v>304.94365539329362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0" t="e">
        <f t="shared" si="71"/>
        <v>#N/A</v>
      </c>
      <c r="DT90" s="60" t="e">
        <f ca="1">AVERAGE(OFFSET($DS$3,0,0,'Données projet'!$E$14+1,1))-AVERAGE(OFFSET($H$3,0,0,'Données projet'!$E$14+1,1))</f>
        <v>#N/A</v>
      </c>
      <c r="DU90" s="60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0" t="e">
        <f t="shared" si="74"/>
        <v>#N/A</v>
      </c>
      <c r="EO90" s="60" t="e">
        <f ca="1">AVERAGE(OFFSET($EN$3,0,0,'Données projet'!$E$15+1,1))-AVERAGE(OFFSET($H$3,0,0,'Données projet'!$E$15+1,1))</f>
        <v>#N/A</v>
      </c>
      <c r="EP90" s="60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0" t="e">
        <f t="shared" si="77"/>
        <v>#N/A</v>
      </c>
      <c r="FJ90" s="60" t="e">
        <f ca="1">AVERAGE(OFFSET($FI$3,0,0,'Données projet'!$E$16+1,1))-AVERAGE(OFFSET($H$3,0,0,'Données projet'!$E$16+1,1))</f>
        <v>#N/A</v>
      </c>
      <c r="FK90" s="60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0" t="e">
        <f t="shared" si="80"/>
        <v>#N/A</v>
      </c>
      <c r="GE90" s="60" t="e">
        <f ca="1">AVERAGE(OFFSET($GD$3,0,0,'Données projet'!$E$17+1,1))-AVERAGE(OFFSET($H$3,0,0,'Données projet'!$E$17+1,1))</f>
        <v>#N/A</v>
      </c>
      <c r="GF90" s="60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4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8.1384615384615326</v>
      </c>
      <c r="N91" s="14">
        <f>IF('Données projet'!$A$36&gt;35,N90+M91-V90,IF(A91&lt;'Données projet'!$A$36,$K$205^A91,IF(A91='Données projet'!$A$36,'Données projet'!$B$36,N90+M91-V90)))</f>
        <v>308.33846153846167</v>
      </c>
      <c r="O91" s="14">
        <f>N91*VLOOKUP('Données projet'!$B$9,Paramètres!$A$1:$I$89,3,0)*VLOOKUP('Données projet'!$B$9,Paramètres!$A$1:$I$89,5,0)</f>
        <v>144.30240000000006</v>
      </c>
      <c r="P91" s="14">
        <f t="shared" si="87"/>
        <v>37.280881908845643</v>
      </c>
      <c r="Q91" s="22">
        <f t="shared" si="54"/>
        <v>316.25754932457295</v>
      </c>
      <c r="R91" s="60">
        <f t="shared" si="55"/>
        <v>589.93928169376659</v>
      </c>
      <c r="S91" s="60">
        <f ca="1">AVERAGE(OFFSET($R$3,0,0,'Données projet'!$E$9+1,1))-AVERAGE(OFFSET($H$3,0,0,'Données projet'!$E$9+1,1))</f>
        <v>277.7918215389401</v>
      </c>
      <c r="T91" s="60">
        <f t="shared" si="88"/>
        <v>164.65640238394164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5.6</v>
      </c>
      <c r="AI91" s="14">
        <f>IF('Données projet'!$A$62&gt;35,AI90+AH91-AQ90,IF(A91&lt;'Données projet'!$A$62,$AF$205^A91,IF(A91='Données projet'!$A$62,'Données projet'!$B$62,AI90+AH91-AQ90)))</f>
        <v>284.8</v>
      </c>
      <c r="AJ91" s="14">
        <f>AI91*VLOOKUP('Données projet'!$B$10,Paramètres!$A$1:$I$89,3,0)*VLOOKUP('Données projet'!$B$10,Paramètres!$A$1:$I$89,5,0)</f>
        <v>257.68704000000002</v>
      </c>
      <c r="AK91" s="14">
        <f t="shared" si="89"/>
        <v>62.229092239243343</v>
      </c>
      <c r="AL91" s="22">
        <f t="shared" si="58"/>
        <v>557.18726365001555</v>
      </c>
      <c r="AM91" s="60">
        <f t="shared" si="59"/>
        <v>830.86899601920925</v>
      </c>
      <c r="AN91" s="60">
        <f ca="1">AVERAGE(OFFSET($AM$3,0,0,'Données projet'!$E$10+1,1))-AVERAGE(OFFSET($H$3,0,0,'Données projet'!$E$10+1,1))</f>
        <v>469.67944008675863</v>
      </c>
      <c r="AO91" s="60">
        <f t="shared" si="90"/>
        <v>266.11908070867173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0" t="e">
        <f t="shared" si="62"/>
        <v>#NUM!</v>
      </c>
      <c r="BI91" s="60">
        <f ca="1">AVERAGE(OFFSET($BH$3,0,0,'Données projet'!$E$11+1,1))-AVERAGE(OFFSET($H$3,0,0,'Données projet'!$E$11+1,1))</f>
        <v>216.36762889365235</v>
      </c>
      <c r="BJ91" s="60">
        <f t="shared" si="92"/>
        <v>333.29599352215496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4.2806964893770871</v>
      </c>
      <c r="BQ91" s="23">
        <f>EXP(-LN(2)/25)*BQ90+(1-EXP(-LN(2)/25))/(LN(2)/25)*Calculateur!BL91*Calculateur!BN91*VLOOKUP('Données projet'!$B$11,Paramètres!$A$1:$I$89,3,0)*0.475*44/12</f>
        <v>1.9524903960810294</v>
      </c>
      <c r="BR91" s="23">
        <f>EXP(-LN(2)/2)*BR90+(1-EXP(-LN(2)/2))/(LN(2)/2)*BL91*BO91*VLOOKUP('Données projet'!$B$11,Paramètres!$A$1:$I$89,3,0)*0.475*44/12</f>
        <v>5.4471710639313046E-9</v>
      </c>
      <c r="BS91" s="24">
        <f t="shared" si="63"/>
        <v>6.2331868909052872</v>
      </c>
      <c r="BT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5.6</v>
      </c>
      <c r="BY91" s="13">
        <f>IF('Données projet'!$A$114&gt;35,BY90+BX91-CG90,IF(A91&lt;'Données projet'!$A$114,$BV$205^A91,IF(A91='Données projet'!$A$114,'Données projet'!$B$114,BY90+BX91-CG90)))</f>
        <v>284.8</v>
      </c>
      <c r="BZ91" s="14">
        <f>BY91*VLOOKUP('Données projet'!$B$12,Paramètres!$A$1:$I$89,3,0)*VLOOKUP('Données projet'!$B$12,Paramètres!$A$1:$I$89,5,0)</f>
        <v>275.45855999999998</v>
      </c>
      <c r="CA91" s="14">
        <f t="shared" si="93"/>
        <v>66.006360579066197</v>
      </c>
      <c r="CB91" s="22">
        <f t="shared" si="64"/>
        <v>594.71807000854017</v>
      </c>
      <c r="CC91" s="60">
        <f t="shared" si="65"/>
        <v>868.39980237773386</v>
      </c>
      <c r="CD91" s="60">
        <f ca="1">AVERAGE(OFFSET($CC$3,0,0,'Données projet'!$E$12+1,1))-AVERAGE(OFFSET($H$3,0,0,'Données projet'!$E$12+1,1))</f>
        <v>496.33873798282525</v>
      </c>
      <c r="CE91" s="60">
        <f t="shared" si="94"/>
        <v>280.25465074992246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5.6</v>
      </c>
      <c r="CT91" s="13">
        <f>IF('Données projet'!$A$140&gt;35,CT90+CS91-DB90,IF(A91&lt;'Données projet'!$A$140,$CQ$205^A91,IF(A91='Données projet'!$A$140,'Données projet'!$B$140,CT90+CS91-DB90)))</f>
        <v>284.8</v>
      </c>
      <c r="CU91" s="18">
        <f>CT91*VLOOKUP('Données projet'!$B$13,Paramètres!$A$1:$I$89,3,0)*VLOOKUP('Données projet'!$B$13,Paramètres!$A$1:$I$89,5,0)</f>
        <v>306.55871999999999</v>
      </c>
      <c r="CV91" s="14">
        <f t="shared" si="95"/>
        <v>72.549687694621639</v>
      </c>
      <c r="CW91" s="22">
        <f t="shared" si="67"/>
        <v>660.28047673479932</v>
      </c>
      <c r="CX91" s="60">
        <f t="shared" si="68"/>
        <v>933.96220910399302</v>
      </c>
      <c r="CY91" s="60">
        <f ca="1">AVERAGE(OFFSET($CX$3,0,0,'Données projet'!$E$13+1,1))-AVERAGE(OFFSET($H$3,0,0,'Données projet'!$E$13+1,1))</f>
        <v>542.90832990875208</v>
      </c>
      <c r="CZ91" s="60">
        <f t="shared" si="96"/>
        <v>304.94365539329362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0" t="e">
        <f t="shared" si="71"/>
        <v>#N/A</v>
      </c>
      <c r="DT91" s="60" t="e">
        <f ca="1">AVERAGE(OFFSET($DS$3,0,0,'Données projet'!$E$14+1,1))-AVERAGE(OFFSET($H$3,0,0,'Données projet'!$E$14+1,1))</f>
        <v>#N/A</v>
      </c>
      <c r="DU91" s="60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0" t="e">
        <f t="shared" si="74"/>
        <v>#N/A</v>
      </c>
      <c r="EO91" s="60" t="e">
        <f ca="1">AVERAGE(OFFSET($EN$3,0,0,'Données projet'!$E$15+1,1))-AVERAGE(OFFSET($H$3,0,0,'Données projet'!$E$15+1,1))</f>
        <v>#N/A</v>
      </c>
      <c r="EP91" s="60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0" t="e">
        <f t="shared" si="77"/>
        <v>#N/A</v>
      </c>
      <c r="FJ91" s="60" t="e">
        <f ca="1">AVERAGE(OFFSET($FI$3,0,0,'Données projet'!$E$16+1,1))-AVERAGE(OFFSET($H$3,0,0,'Données projet'!$E$16+1,1))</f>
        <v>#N/A</v>
      </c>
      <c r="FK91" s="60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0" t="e">
        <f t="shared" si="80"/>
        <v>#N/A</v>
      </c>
      <c r="GE91" s="60" t="e">
        <f ca="1">AVERAGE(OFFSET($GD$3,0,0,'Données projet'!$E$17+1,1))-AVERAGE(OFFSET($H$3,0,0,'Données projet'!$E$17+1,1))</f>
        <v>#N/A</v>
      </c>
      <c r="GF91" s="60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4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8.1384615384615326</v>
      </c>
      <c r="N92" s="14">
        <f>IF('Données projet'!$A$36&gt;35,N91+M92-V91,IF(A92&lt;'Données projet'!$A$36,$K$205^A92,IF(A92='Données projet'!$A$36,'Données projet'!$B$36,N91+M92-V91)))</f>
        <v>316.47692307692319</v>
      </c>
      <c r="O92" s="14">
        <f>N92*VLOOKUP('Données projet'!$B$9,Paramètres!$A$1:$I$89,3,0)*VLOOKUP('Données projet'!$B$9,Paramètres!$A$1:$I$89,5,0)</f>
        <v>148.11120000000005</v>
      </c>
      <c r="P92" s="14">
        <f t="shared" si="87"/>
        <v>38.149032991304225</v>
      </c>
      <c r="Q92" s="22">
        <f t="shared" si="54"/>
        <v>324.40323912652161</v>
      </c>
      <c r="R92" s="60">
        <f t="shared" si="55"/>
        <v>598.42588283804525</v>
      </c>
      <c r="S92" s="60">
        <f ca="1">AVERAGE(OFFSET($R$3,0,0,'Données projet'!$E$9+1,1))-AVERAGE(OFFSET($H$3,0,0,'Données projet'!$E$9+1,1))</f>
        <v>277.7918215389401</v>
      </c>
      <c r="T92" s="60">
        <f t="shared" si="88"/>
        <v>164.65640238394164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5.6</v>
      </c>
      <c r="AI92" s="14">
        <f>IF('Données projet'!$A$62&gt;35,AI91+AH92-AQ91,IF(A92&lt;'Données projet'!$A$62,$AF$205^A92,IF(A92='Données projet'!$A$62,'Données projet'!$B$62,AI91+AH92-AQ91)))</f>
        <v>290.40000000000003</v>
      </c>
      <c r="AJ92" s="14">
        <f>AI92*VLOOKUP('Données projet'!$B$10,Paramètres!$A$1:$I$89,3,0)*VLOOKUP('Données projet'!$B$10,Paramètres!$A$1:$I$89,5,0)</f>
        <v>262.75392000000005</v>
      </c>
      <c r="AK92" s="14">
        <f t="shared" si="89"/>
        <v>63.309041956360382</v>
      </c>
      <c r="AL92" s="22">
        <f t="shared" si="58"/>
        <v>567.89299207399438</v>
      </c>
      <c r="AM92" s="60">
        <f t="shared" si="59"/>
        <v>841.91563578551791</v>
      </c>
      <c r="AN92" s="60">
        <f ca="1">AVERAGE(OFFSET($AM$3,0,0,'Données projet'!$E$10+1,1))-AVERAGE(OFFSET($H$3,0,0,'Données projet'!$E$10+1,1))</f>
        <v>469.67944008675863</v>
      </c>
      <c r="AO92" s="60">
        <f t="shared" si="90"/>
        <v>266.11908070867173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0" t="e">
        <f t="shared" si="62"/>
        <v>#NUM!</v>
      </c>
      <c r="BI92" s="60">
        <f ca="1">AVERAGE(OFFSET($BH$3,0,0,'Données projet'!$E$11+1,1))-AVERAGE(OFFSET($H$3,0,0,'Données projet'!$E$11+1,1))</f>
        <v>216.36762889365235</v>
      </c>
      <c r="BJ92" s="60">
        <f t="shared" si="92"/>
        <v>333.29599352215496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4.1967546421874493</v>
      </c>
      <c r="BQ92" s="23">
        <f>EXP(-LN(2)/25)*BQ91+(1-EXP(-LN(2)/25))/(LN(2)/25)*Calculateur!BL92*Calculateur!BN92*VLOOKUP('Données projet'!$B$11,Paramètres!$A$1:$I$89,3,0)*0.475*44/12</f>
        <v>1.8990994435231863</v>
      </c>
      <c r="BR92" s="23">
        <f>EXP(-LN(2)/2)*BR91+(1-EXP(-LN(2)/2))/(LN(2)/2)*BL92*BO92*VLOOKUP('Données projet'!$B$11,Paramètres!$A$1:$I$89,3,0)*0.475*44/12</f>
        <v>3.8517315975889662E-9</v>
      </c>
      <c r="BS92" s="24">
        <f t="shared" si="63"/>
        <v>6.0958540895623674</v>
      </c>
      <c r="BT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5.6</v>
      </c>
      <c r="BY92" s="13">
        <f>IF('Données projet'!$A$114&gt;35,BY91+BX92-CG91,IF(A92&lt;'Données projet'!$A$114,$BV$205^A92,IF(A92='Données projet'!$A$114,'Données projet'!$B$114,BY91+BX92-CG91)))</f>
        <v>290.40000000000003</v>
      </c>
      <c r="BZ92" s="14">
        <f>BY92*VLOOKUP('Données projet'!$B$12,Paramètres!$A$1:$I$89,3,0)*VLOOKUP('Données projet'!$B$12,Paramètres!$A$1:$I$89,5,0)</f>
        <v>280.87488000000008</v>
      </c>
      <c r="CA92" s="14">
        <f t="shared" si="93"/>
        <v>67.151862592195855</v>
      </c>
      <c r="CB92" s="22">
        <f t="shared" si="64"/>
        <v>606.14657668140785</v>
      </c>
      <c r="CC92" s="60">
        <f t="shared" si="65"/>
        <v>880.16922039293149</v>
      </c>
      <c r="CD92" s="60">
        <f ca="1">AVERAGE(OFFSET($CC$3,0,0,'Données projet'!$E$12+1,1))-AVERAGE(OFFSET($H$3,0,0,'Données projet'!$E$12+1,1))</f>
        <v>496.33873798282525</v>
      </c>
      <c r="CE92" s="60">
        <f t="shared" si="94"/>
        <v>280.25465074992246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5.6</v>
      </c>
      <c r="CT92" s="13">
        <f>IF('Données projet'!$A$140&gt;35,CT91+CS92-DB91,IF(A92&lt;'Données projet'!$A$140,$CQ$205^A92,IF(A92='Données projet'!$A$140,'Données projet'!$B$140,CT91+CS92-DB91)))</f>
        <v>290.40000000000003</v>
      </c>
      <c r="CU92" s="18">
        <f>CT92*VLOOKUP('Données projet'!$B$13,Paramètres!$A$1:$I$89,3,0)*VLOOKUP('Données projet'!$B$13,Paramètres!$A$1:$I$89,5,0)</f>
        <v>312.58656000000002</v>
      </c>
      <c r="CV92" s="14">
        <f t="shared" si="95"/>
        <v>73.808745345687967</v>
      </c>
      <c r="CW92" s="22">
        <f t="shared" si="67"/>
        <v>672.97182347707314</v>
      </c>
      <c r="CX92" s="60">
        <f t="shared" si="68"/>
        <v>946.99446718859667</v>
      </c>
      <c r="CY92" s="60">
        <f ca="1">AVERAGE(OFFSET($CX$3,0,0,'Données projet'!$E$13+1,1))-AVERAGE(OFFSET($H$3,0,0,'Données projet'!$E$13+1,1))</f>
        <v>542.90832990875208</v>
      </c>
      <c r="CZ92" s="60">
        <f t="shared" si="96"/>
        <v>304.94365539329362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0" t="e">
        <f t="shared" si="71"/>
        <v>#N/A</v>
      </c>
      <c r="DT92" s="60" t="e">
        <f ca="1">AVERAGE(OFFSET($DS$3,0,0,'Données projet'!$E$14+1,1))-AVERAGE(OFFSET($H$3,0,0,'Données projet'!$E$14+1,1))</f>
        <v>#N/A</v>
      </c>
      <c r="DU92" s="60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0" t="e">
        <f t="shared" si="74"/>
        <v>#N/A</v>
      </c>
      <c r="EO92" s="60" t="e">
        <f ca="1">AVERAGE(OFFSET($EN$3,0,0,'Données projet'!$E$15+1,1))-AVERAGE(OFFSET($H$3,0,0,'Données projet'!$E$15+1,1))</f>
        <v>#N/A</v>
      </c>
      <c r="EP92" s="60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0" t="e">
        <f t="shared" si="77"/>
        <v>#N/A</v>
      </c>
      <c r="FJ92" s="60" t="e">
        <f ca="1">AVERAGE(OFFSET($FI$3,0,0,'Données projet'!$E$16+1,1))-AVERAGE(OFFSET($H$3,0,0,'Données projet'!$E$16+1,1))</f>
        <v>#N/A</v>
      </c>
      <c r="FK92" s="60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0" t="e">
        <f t="shared" si="80"/>
        <v>#N/A</v>
      </c>
      <c r="GE92" s="60" t="e">
        <f ca="1">AVERAGE(OFFSET($GD$3,0,0,'Données projet'!$E$17+1,1))-AVERAGE(OFFSET($H$3,0,0,'Données projet'!$E$17+1,1))</f>
        <v>#N/A</v>
      </c>
      <c r="GF92" s="60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4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324.61538461538458</v>
      </c>
      <c r="L93" s="13">
        <f>VLOOKUP(A93,'Données projet'!$A$35:$I$55,9,0)</f>
        <v>8.1384615384615326</v>
      </c>
      <c r="M93" s="13">
        <f t="array" ref="M93">INDEX(L:L,MIN(IF(ISNUMBER(L93:L289),ROW(L93:L289),"")))</f>
        <v>8.1384615384615326</v>
      </c>
      <c r="N93" s="14">
        <f>IF('Données projet'!$A$36&gt;35,N92+M93-V92,IF(A93&lt;'Données projet'!$A$36,$K$205^A93,IF(A93='Données projet'!$A$36,'Données projet'!$B$36,N92+M93-V92)))</f>
        <v>324.6153846153847</v>
      </c>
      <c r="O93" s="14">
        <f>N93*VLOOKUP('Données projet'!$B$9,Paramètres!$A$1:$I$89,3,0)*VLOOKUP('Données projet'!$B$9,Paramètres!$A$1:$I$89,5,0)</f>
        <v>151.92000000000004</v>
      </c>
      <c r="P93" s="14">
        <f t="shared" si="87"/>
        <v>39.014589002324001</v>
      </c>
      <c r="Q93" s="22">
        <f t="shared" si="54"/>
        <v>332.5444091790477</v>
      </c>
      <c r="R93" s="60">
        <f t="shared" si="55"/>
        <v>606.90205018327538</v>
      </c>
      <c r="S93" s="60">
        <f ca="1">AVERAGE(OFFSET($R$3,0,0,'Données projet'!$E$9+1,1))-AVERAGE(OFFSET($H$3,0,0,'Données projet'!$E$9+1,1))</f>
        <v>277.7918215389401</v>
      </c>
      <c r="T93" s="60">
        <f t="shared" si="88"/>
        <v>164.65640238394164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296</v>
      </c>
      <c r="AG93" s="13">
        <f>VLOOKUP(A93,'Données projet'!$A$61:$I$81,9,0)</f>
        <v>5.6</v>
      </c>
      <c r="AH93" s="13">
        <f t="array" ref="AH93">INDEX(AG:AG,MIN(IF(ISNUMBER(AG93:AG289),ROW(AG93:AG289),"")))</f>
        <v>5.6</v>
      </c>
      <c r="AI93" s="14">
        <f>IF('Données projet'!$A$62&gt;35,AI92+AH93-AQ92,IF(A93&lt;'Données projet'!$A$62,$AF$205^A93,IF(A93='Données projet'!$A$62,'Données projet'!$B$62,AI92+AH93-AQ92)))</f>
        <v>296.00000000000006</v>
      </c>
      <c r="AJ93" s="14">
        <f>AI93*VLOOKUP('Données projet'!$B$10,Paramètres!$A$1:$I$89,3,0)*VLOOKUP('Données projet'!$B$10,Paramètres!$A$1:$I$89,5,0)</f>
        <v>267.82080000000008</v>
      </c>
      <c r="AK93" s="14">
        <f t="shared" si="89"/>
        <v>64.386570147897373</v>
      </c>
      <c r="AL93" s="22">
        <f t="shared" si="58"/>
        <v>578.59450300758806</v>
      </c>
      <c r="AM93" s="60">
        <f t="shared" si="59"/>
        <v>852.95214401181579</v>
      </c>
      <c r="AN93" s="60">
        <f ca="1">AVERAGE(OFFSET($AM$3,0,0,'Données projet'!$E$10+1,1))-AVERAGE(OFFSET($H$3,0,0,'Données projet'!$E$10+1,1))</f>
        <v>469.67944008675863</v>
      </c>
      <c r="AO93" s="60">
        <f t="shared" si="90"/>
        <v>266.11908070867173</v>
      </c>
      <c r="AP93" s="16">
        <f>IF(ISNA(VLOOKUP(A93,'Données projet'!$A$61:$I$81,3,0)),0,VLOOKUP(A93,'Données projet'!$A$61:$I$81,3,0))</f>
        <v>7</v>
      </c>
      <c r="AQ93" s="16">
        <f>IF(ISNA(VLOOKUP(A93,'Données projet'!$A$61:$I$81,4,0)),0,VLOOKUP(A93,'Données projet'!$A$61:$I$81,4,0))</f>
        <v>42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0" t="e">
        <f t="shared" si="62"/>
        <v>#NUM!</v>
      </c>
      <c r="BI93" s="60">
        <f ca="1">AVERAGE(OFFSET($BH$3,0,0,'Données projet'!$E$11+1,1))-AVERAGE(OFFSET($H$3,0,0,'Données projet'!$E$11+1,1))</f>
        <v>216.36762889365235</v>
      </c>
      <c r="BJ93" s="60">
        <f t="shared" si="92"/>
        <v>333.29599352215496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4.1144588434217289</v>
      </c>
      <c r="BQ93" s="23">
        <f>EXP(-LN(2)/25)*BQ92+(1-EXP(-LN(2)/25))/(LN(2)/25)*Calculateur!BL93*Calculateur!BN93*VLOOKUP('Données projet'!$B$11,Paramètres!$A$1:$I$89,3,0)*0.475*44/12</f>
        <v>1.8471684693707455</v>
      </c>
      <c r="BR93" s="23">
        <f>EXP(-LN(2)/2)*BR92+(1-EXP(-LN(2)/2))/(LN(2)/2)*BL93*BO93*VLOOKUP('Données projet'!$B$11,Paramètres!$A$1:$I$89,3,0)*0.475*44/12</f>
        <v>2.7235855319656523E-9</v>
      </c>
      <c r="BS93" s="24">
        <f t="shared" si="63"/>
        <v>5.9616273155160604</v>
      </c>
      <c r="BT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296</v>
      </c>
      <c r="BW93" s="13">
        <f>VLOOKUP(A93,'Données projet'!$A$113:$I$133,9,0)</f>
        <v>5.6</v>
      </c>
      <c r="BX93" s="13">
        <f t="array" ref="BX93">INDEX(BW:BW,MIN(IF(ISNUMBER(BW93:BW289),ROW(BW93:BW289),"")))</f>
        <v>5.6</v>
      </c>
      <c r="BY93" s="13">
        <f>IF('Données projet'!$A$114&gt;35,BY92+BX93-CG92,IF(A93&lt;'Données projet'!$A$114,$BV$205^A93,IF(A93='Données projet'!$A$114,'Données projet'!$B$114,BY92+BX93-CG92)))</f>
        <v>296.00000000000006</v>
      </c>
      <c r="BZ93" s="14">
        <f>BY93*VLOOKUP('Données projet'!$B$12,Paramètres!$A$1:$I$89,3,0)*VLOOKUP('Données projet'!$B$12,Paramètres!$A$1:$I$89,5,0)</f>
        <v>286.29120000000006</v>
      </c>
      <c r="CA93" s="14">
        <f t="shared" si="93"/>
        <v>68.294796094604408</v>
      </c>
      <c r="CB93" s="22">
        <f t="shared" si="64"/>
        <v>617.57060986476938</v>
      </c>
      <c r="CC93" s="60">
        <f t="shared" si="65"/>
        <v>891.92825086899711</v>
      </c>
      <c r="CD93" s="60">
        <f ca="1">AVERAGE(OFFSET($CC$3,0,0,'Données projet'!$E$12+1,1))-AVERAGE(OFFSET($H$3,0,0,'Données projet'!$E$12+1,1))</f>
        <v>496.33873798282525</v>
      </c>
      <c r="CE93" s="60">
        <f t="shared" si="94"/>
        <v>280.25465074992246</v>
      </c>
      <c r="CF93" s="16">
        <f>IF(ISNA(VLOOKUP(A93,'Données projet'!$A$113:$I$133,3,0)),0,VLOOKUP(A93,'Données projet'!$A$113:$I$133,3,0))</f>
        <v>7</v>
      </c>
      <c r="CG93" s="16">
        <f>IF(ISNA(VLOOKUP(A93,'Données projet'!$A$113:$I$133,4,0)),0,VLOOKUP(A93,'Données projet'!$A$113:$I$133,4,0))</f>
        <v>42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296</v>
      </c>
      <c r="CR93" s="13">
        <f>VLOOKUP(A93,'Données projet'!$A$139:$I$159,9,0)</f>
        <v>5.6</v>
      </c>
      <c r="CS93" s="13">
        <f t="array" ref="CS93">INDEX(CR:CR,MIN(IF(ISNUMBER(CR93:CR289),ROW(CR93:CR289),"")))</f>
        <v>5.6</v>
      </c>
      <c r="CT93" s="13">
        <f>IF('Données projet'!$A$140&gt;35,CT92+CS93-DB92,IF(A93&lt;'Données projet'!$A$140,$CQ$205^A93,IF(A93='Données projet'!$A$140,'Données projet'!$B$140,CT92+CS93-DB92)))</f>
        <v>296.00000000000006</v>
      </c>
      <c r="CU93" s="18">
        <f>CT93*VLOOKUP('Données projet'!$B$13,Paramètres!$A$1:$I$89,3,0)*VLOOKUP('Données projet'!$B$13,Paramètres!$A$1:$I$89,5,0)</f>
        <v>318.61440000000005</v>
      </c>
      <c r="CV93" s="14">
        <f t="shared" si="95"/>
        <v>75.06497986502842</v>
      </c>
      <c r="CW93" s="22">
        <f t="shared" si="67"/>
        <v>685.6582532649245</v>
      </c>
      <c r="CX93" s="60">
        <f t="shared" si="68"/>
        <v>960.01589426915211</v>
      </c>
      <c r="CY93" s="60">
        <f ca="1">AVERAGE(OFFSET($CX$3,0,0,'Données projet'!$E$13+1,1))-AVERAGE(OFFSET($H$3,0,0,'Données projet'!$E$13+1,1))</f>
        <v>542.90832990875208</v>
      </c>
      <c r="CZ93" s="60">
        <f t="shared" si="96"/>
        <v>304.94365539329362</v>
      </c>
      <c r="DA93" s="16">
        <f>IF(ISNA(VLOOKUP(A93,'Données projet'!$A$139:$I$159,3,0)),0,VLOOKUP(A93,'Données projet'!$A$139:$I$159,3,0))</f>
        <v>7</v>
      </c>
      <c r="DB93" s="16">
        <f>IF(ISNA(VLOOKUP(A93,'Données projet'!$A$139:$I$159,4,0)),0,VLOOKUP(A93,'Données projet'!$A$139:$I$159,4,0))</f>
        <v>42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0" t="e">
        <f t="shared" si="71"/>
        <v>#N/A</v>
      </c>
      <c r="DT93" s="60" t="e">
        <f ca="1">AVERAGE(OFFSET($DS$3,0,0,'Données projet'!$E$14+1,1))-AVERAGE(OFFSET($H$3,0,0,'Données projet'!$E$14+1,1))</f>
        <v>#N/A</v>
      </c>
      <c r="DU93" s="60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0" t="e">
        <f t="shared" si="74"/>
        <v>#N/A</v>
      </c>
      <c r="EO93" s="60" t="e">
        <f ca="1">AVERAGE(OFFSET($EN$3,0,0,'Données projet'!$E$15+1,1))-AVERAGE(OFFSET($H$3,0,0,'Données projet'!$E$15+1,1))</f>
        <v>#N/A</v>
      </c>
      <c r="EP93" s="60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0" t="e">
        <f t="shared" si="77"/>
        <v>#N/A</v>
      </c>
      <c r="FJ93" s="60" t="e">
        <f ca="1">AVERAGE(OFFSET($FI$3,0,0,'Données projet'!$E$16+1,1))-AVERAGE(OFFSET($H$3,0,0,'Données projet'!$E$16+1,1))</f>
        <v>#N/A</v>
      </c>
      <c r="FK93" s="60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0" t="e">
        <f t="shared" si="80"/>
        <v>#N/A</v>
      </c>
      <c r="GE93" s="60" t="e">
        <f ca="1">AVERAGE(OFFSET($GD$3,0,0,'Données projet'!$E$17+1,1))-AVERAGE(OFFSET($H$3,0,0,'Données projet'!$E$17+1,1))</f>
        <v>#N/A</v>
      </c>
      <c r="GF93" s="60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4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8.0338461538461612</v>
      </c>
      <c r="N94" s="14">
        <f>IF('Données projet'!$A$36&gt;35,N93+M94-V93,IF(A94&lt;'Données projet'!$A$36,$K$205^A94,IF(A94='Données projet'!$A$36,'Données projet'!$B$36,N93+M94-V93)))</f>
        <v>332.64923076923088</v>
      </c>
      <c r="O94" s="14">
        <f>N94*VLOOKUP('Données projet'!$B$9,Paramètres!$A$1:$I$89,3,0)*VLOOKUP('Données projet'!$B$9,Paramètres!$A$1:$I$89,5,0)</f>
        <v>155.67984000000004</v>
      </c>
      <c r="P94" s="14">
        <f t="shared" si="87"/>
        <v>39.866544383167358</v>
      </c>
      <c r="Q94" s="22">
        <f t="shared" si="54"/>
        <v>340.57661946734987</v>
      </c>
      <c r="R94" s="60">
        <f t="shared" si="55"/>
        <v>615.26344631019492</v>
      </c>
      <c r="S94" s="60">
        <f ca="1">AVERAGE(OFFSET($R$3,0,0,'Données projet'!$E$9+1,1))-AVERAGE(OFFSET($H$3,0,0,'Données projet'!$E$9+1,1))</f>
        <v>277.7918215389401</v>
      </c>
      <c r="T94" s="60">
        <f t="shared" si="88"/>
        <v>164.65640238394164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4.9000000000000004</v>
      </c>
      <c r="AI94" s="14">
        <f>IF('Données projet'!$A$62&gt;35,AI93+AH94-AQ93,IF(A94&lt;'Données projet'!$A$62,$AF$205^A94,IF(A94='Données projet'!$A$62,'Données projet'!$B$62,AI93+AH94-AQ93)))</f>
        <v>258.90000000000003</v>
      </c>
      <c r="AJ94" s="14">
        <f>AI94*VLOOKUP('Données projet'!$B$10,Paramètres!$A$1:$I$89,3,0)*VLOOKUP('Données projet'!$B$10,Paramètres!$A$1:$I$89,5,0)</f>
        <v>234.25272000000001</v>
      </c>
      <c r="AK94" s="14">
        <f t="shared" si="89"/>
        <v>57.201236231171301</v>
      </c>
      <c r="AL94" s="22">
        <f t="shared" si="58"/>
        <v>507.61564043595672</v>
      </c>
      <c r="AM94" s="60">
        <f t="shared" si="59"/>
        <v>782.30246727880171</v>
      </c>
      <c r="AN94" s="60">
        <f ca="1">AVERAGE(OFFSET($AM$3,0,0,'Données projet'!$E$10+1,1))-AVERAGE(OFFSET($H$3,0,0,'Données projet'!$E$10+1,1))</f>
        <v>469.67944008675863</v>
      </c>
      <c r="AO94" s="60">
        <f t="shared" si="90"/>
        <v>266.11908070867173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0" t="e">
        <f t="shared" si="62"/>
        <v>#NUM!</v>
      </c>
      <c r="BI94" s="60">
        <f ca="1">AVERAGE(OFFSET($BH$3,0,0,'Données projet'!$E$11+1,1))-AVERAGE(OFFSET($H$3,0,0,'Données projet'!$E$11+1,1))</f>
        <v>216.36762889365235</v>
      </c>
      <c r="BJ94" s="60">
        <f t="shared" si="92"/>
        <v>333.29599352215496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4.0337768150743232</v>
      </c>
      <c r="BQ94" s="23">
        <f>EXP(-LN(2)/25)*BQ93+(1-EXP(-LN(2)/25))/(LN(2)/25)*Calculateur!BL94*Calculateur!BN94*VLOOKUP('Données projet'!$B$11,Paramètres!$A$1:$I$89,3,0)*0.475*44/12</f>
        <v>1.7966575504374345</v>
      </c>
      <c r="BR94" s="23">
        <f>EXP(-LN(2)/2)*BR93+(1-EXP(-LN(2)/2))/(LN(2)/2)*BL94*BO94*VLOOKUP('Données projet'!$B$11,Paramètres!$A$1:$I$89,3,0)*0.475*44/12</f>
        <v>1.9258657987944831E-9</v>
      </c>
      <c r="BS94" s="24">
        <f t="shared" si="63"/>
        <v>5.8304343674376238</v>
      </c>
      <c r="BT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4.9000000000000004</v>
      </c>
      <c r="BY94" s="13">
        <f>IF('Données projet'!$A$114&gt;35,BY93+BX94-CG93,IF(A94&lt;'Données projet'!$A$114,$BV$205^A94,IF(A94='Données projet'!$A$114,'Données projet'!$B$114,BY93+BX94-CG93)))</f>
        <v>258.90000000000003</v>
      </c>
      <c r="BZ94" s="14">
        <f>BY94*VLOOKUP('Données projet'!$B$12,Paramètres!$A$1:$I$89,3,0)*VLOOKUP('Données projet'!$B$12,Paramètres!$A$1:$I$89,5,0)</f>
        <v>250.40808000000004</v>
      </c>
      <c r="CA94" s="14">
        <f t="shared" si="93"/>
        <v>60.67331674592576</v>
      </c>
      <c r="CB94" s="22">
        <f t="shared" si="64"/>
        <v>541.80009933248743</v>
      </c>
      <c r="CC94" s="60">
        <f t="shared" si="65"/>
        <v>816.48692617533243</v>
      </c>
      <c r="CD94" s="60">
        <f ca="1">AVERAGE(OFFSET($CC$3,0,0,'Données projet'!$E$12+1,1))-AVERAGE(OFFSET($H$3,0,0,'Données projet'!$E$12+1,1))</f>
        <v>496.33873798282525</v>
      </c>
      <c r="CE94" s="60">
        <f t="shared" si="94"/>
        <v>280.25465074992246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4.9000000000000004</v>
      </c>
      <c r="CT94" s="13">
        <f>IF('Données projet'!$A$140&gt;35,CT93+CS94-DB93,IF(A94&lt;'Données projet'!$A$140,$CQ$205^A94,IF(A94='Données projet'!$A$140,'Données projet'!$B$140,CT93+CS94-DB93)))</f>
        <v>258.90000000000003</v>
      </c>
      <c r="CU94" s="18">
        <f>CT94*VLOOKUP('Données projet'!$B$13,Paramètres!$A$1:$I$89,3,0)*VLOOKUP('Données projet'!$B$13,Paramètres!$A$1:$I$89,5,0)</f>
        <v>278.67996000000005</v>
      </c>
      <c r="CV94" s="14">
        <f t="shared" si="95"/>
        <v>66.687969806197728</v>
      </c>
      <c r="CW94" s="22">
        <f t="shared" si="67"/>
        <v>601.51581107912773</v>
      </c>
      <c r="CX94" s="60">
        <f t="shared" si="68"/>
        <v>876.20263792197284</v>
      </c>
      <c r="CY94" s="60">
        <f ca="1">AVERAGE(OFFSET($CX$3,0,0,'Données projet'!$E$13+1,1))-AVERAGE(OFFSET($H$3,0,0,'Données projet'!$E$13+1,1))</f>
        <v>542.90832990875208</v>
      </c>
      <c r="CZ94" s="60">
        <f t="shared" si="96"/>
        <v>304.94365539329362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0" t="e">
        <f t="shared" si="71"/>
        <v>#N/A</v>
      </c>
      <c r="DT94" s="60" t="e">
        <f ca="1">AVERAGE(OFFSET($DS$3,0,0,'Données projet'!$E$14+1,1))-AVERAGE(OFFSET($H$3,0,0,'Données projet'!$E$14+1,1))</f>
        <v>#N/A</v>
      </c>
      <c r="DU94" s="60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0" t="e">
        <f t="shared" si="74"/>
        <v>#N/A</v>
      </c>
      <c r="EO94" s="60" t="e">
        <f ca="1">AVERAGE(OFFSET($EN$3,0,0,'Données projet'!$E$15+1,1))-AVERAGE(OFFSET($H$3,0,0,'Données projet'!$E$15+1,1))</f>
        <v>#N/A</v>
      </c>
      <c r="EP94" s="60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0" t="e">
        <f t="shared" si="77"/>
        <v>#N/A</v>
      </c>
      <c r="FJ94" s="60" t="e">
        <f ca="1">AVERAGE(OFFSET($FI$3,0,0,'Données projet'!$E$16+1,1))-AVERAGE(OFFSET($H$3,0,0,'Données projet'!$E$16+1,1))</f>
        <v>#N/A</v>
      </c>
      <c r="FK94" s="60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0" t="e">
        <f t="shared" si="80"/>
        <v>#N/A</v>
      </c>
      <c r="GE94" s="60" t="e">
        <f ca="1">AVERAGE(OFFSET($GD$3,0,0,'Données projet'!$E$17+1,1))-AVERAGE(OFFSET($H$3,0,0,'Données projet'!$E$17+1,1))</f>
        <v>#N/A</v>
      </c>
      <c r="GF94" s="60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4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8.0338461538461612</v>
      </c>
      <c r="N95" s="14">
        <f>IF('Données projet'!$A$36&gt;35,N94+M95-V94,IF(A95&lt;'Données projet'!$A$36,$K$205^A95,IF(A95='Données projet'!$A$36,'Données projet'!$B$36,N94+M95-V94)))</f>
        <v>340.68307692307707</v>
      </c>
      <c r="O95" s="14">
        <f>N95*VLOOKUP('Données projet'!$B$9,Paramètres!$A$1:$I$89,3,0)*VLOOKUP('Données projet'!$B$9,Paramètres!$A$1:$I$89,5,0)</f>
        <v>159.43968000000007</v>
      </c>
      <c r="P95" s="14">
        <f t="shared" si="87"/>
        <v>40.716107874353241</v>
      </c>
      <c r="Q95" s="22">
        <f t="shared" si="54"/>
        <v>348.60466388116532</v>
      </c>
      <c r="R95" s="60">
        <f t="shared" si="55"/>
        <v>623.61496592427704</v>
      </c>
      <c r="S95" s="60">
        <f ca="1">AVERAGE(OFFSET($R$3,0,0,'Données projet'!$E$9+1,1))-AVERAGE(OFFSET($H$3,0,0,'Données projet'!$E$9+1,1))</f>
        <v>277.7918215389401</v>
      </c>
      <c r="T95" s="60">
        <f t="shared" si="88"/>
        <v>164.65640238394164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4.9000000000000004</v>
      </c>
      <c r="AI95" s="14">
        <f>IF('Données projet'!$A$62&gt;35,AI94+AH95-AQ94,IF(A95&lt;'Données projet'!$A$62,$AF$205^A95,IF(A95='Données projet'!$A$62,'Données projet'!$B$62,AI94+AH95-AQ94)))</f>
        <v>263.8</v>
      </c>
      <c r="AJ95" s="14">
        <f>AI95*VLOOKUP('Données projet'!$B$10,Paramètres!$A$1:$I$89,3,0)*VLOOKUP('Données projet'!$B$10,Paramètres!$A$1:$I$89,5,0)</f>
        <v>238.68624</v>
      </c>
      <c r="AK95" s="14">
        <f t="shared" si="89"/>
        <v>58.156778382060871</v>
      </c>
      <c r="AL95" s="22">
        <f t="shared" si="58"/>
        <v>517.00159034875594</v>
      </c>
      <c r="AM95" s="60">
        <f t="shared" si="59"/>
        <v>792.0118923918676</v>
      </c>
      <c r="AN95" s="60">
        <f ca="1">AVERAGE(OFFSET($AM$3,0,0,'Données projet'!$E$10+1,1))-AVERAGE(OFFSET($H$3,0,0,'Données projet'!$E$10+1,1))</f>
        <v>469.67944008675863</v>
      </c>
      <c r="AO95" s="60">
        <f t="shared" si="90"/>
        <v>266.11908070867173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0" t="e">
        <f t="shared" si="62"/>
        <v>#NUM!</v>
      </c>
      <c r="BI95" s="60">
        <f ca="1">AVERAGE(OFFSET($BH$3,0,0,'Données projet'!$E$11+1,1))-AVERAGE(OFFSET($H$3,0,0,'Données projet'!$E$11+1,1))</f>
        <v>216.36762889365235</v>
      </c>
      <c r="BJ95" s="60">
        <f t="shared" si="92"/>
        <v>333.29599352215496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3.9546769120916325</v>
      </c>
      <c r="BQ95" s="23">
        <f>EXP(-LN(2)/25)*BQ94+(1-EXP(-LN(2)/25))/(LN(2)/25)*Calculateur!BL95*Calculateur!BN95*VLOOKUP('Données projet'!$B$11,Paramètres!$A$1:$I$89,3,0)*0.475*44/12</f>
        <v>1.7475278552386087</v>
      </c>
      <c r="BR95" s="23">
        <f>EXP(-LN(2)/2)*BR94+(1-EXP(-LN(2)/2))/(LN(2)/2)*BL95*BO95*VLOOKUP('Données projet'!$B$11,Paramètres!$A$1:$I$89,3,0)*0.475*44/12</f>
        <v>1.3617927659828261E-9</v>
      </c>
      <c r="BS95" s="24">
        <f t="shared" si="63"/>
        <v>5.7022047686920336</v>
      </c>
      <c r="BT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4.9000000000000004</v>
      </c>
      <c r="BY95" s="13">
        <f>IF('Données projet'!$A$114&gt;35,BY94+BX95-CG94,IF(A95&lt;'Données projet'!$A$114,$BV$205^A95,IF(A95='Données projet'!$A$114,'Données projet'!$B$114,BY94+BX95-CG94)))</f>
        <v>263.8</v>
      </c>
      <c r="BZ95" s="14">
        <f>BY95*VLOOKUP('Données projet'!$B$12,Paramètres!$A$1:$I$89,3,0)*VLOOKUP('Données projet'!$B$12,Paramètres!$A$1:$I$89,5,0)</f>
        <v>255.14736000000002</v>
      </c>
      <c r="CA95" s="14">
        <f t="shared" si="93"/>
        <v>61.686859728645651</v>
      </c>
      <c r="CB95" s="22">
        <f t="shared" si="64"/>
        <v>551.81959936072451</v>
      </c>
      <c r="CC95" s="60">
        <f t="shared" si="65"/>
        <v>826.82990140383617</v>
      </c>
      <c r="CD95" s="60">
        <f ca="1">AVERAGE(OFFSET($CC$3,0,0,'Données projet'!$E$12+1,1))-AVERAGE(OFFSET($H$3,0,0,'Données projet'!$E$12+1,1))</f>
        <v>496.33873798282525</v>
      </c>
      <c r="CE95" s="60">
        <f t="shared" si="94"/>
        <v>280.25465074992246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4.9000000000000004</v>
      </c>
      <c r="CT95" s="13">
        <f>IF('Données projet'!$A$140&gt;35,CT94+CS95-DB94,IF(A95&lt;'Données projet'!$A$140,$CQ$205^A95,IF(A95='Données projet'!$A$140,'Données projet'!$B$140,CT94+CS95-DB94)))</f>
        <v>263.8</v>
      </c>
      <c r="CU95" s="18">
        <f>CT95*VLOOKUP('Données projet'!$B$13,Paramètres!$A$1:$I$89,3,0)*VLOOKUP('Données projet'!$B$13,Paramètres!$A$1:$I$89,5,0)</f>
        <v>283.95432</v>
      </c>
      <c r="CV95" s="14">
        <f t="shared" si="95"/>
        <v>67.801987095081913</v>
      </c>
      <c r="CW95" s="22">
        <f t="shared" si="67"/>
        <v>612.64223485726768</v>
      </c>
      <c r="CX95" s="60">
        <f t="shared" si="68"/>
        <v>887.65253690037935</v>
      </c>
      <c r="CY95" s="60">
        <f ca="1">AVERAGE(OFFSET($CX$3,0,0,'Données projet'!$E$13+1,1))-AVERAGE(OFFSET($H$3,0,0,'Données projet'!$E$13+1,1))</f>
        <v>542.90832990875208</v>
      </c>
      <c r="CZ95" s="60">
        <f t="shared" si="96"/>
        <v>304.94365539329362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0" t="e">
        <f t="shared" si="71"/>
        <v>#N/A</v>
      </c>
      <c r="DT95" s="60" t="e">
        <f ca="1">AVERAGE(OFFSET($DS$3,0,0,'Données projet'!$E$14+1,1))-AVERAGE(OFFSET($H$3,0,0,'Données projet'!$E$14+1,1))</f>
        <v>#N/A</v>
      </c>
      <c r="DU95" s="60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0" t="e">
        <f t="shared" si="74"/>
        <v>#N/A</v>
      </c>
      <c r="EO95" s="60" t="e">
        <f ca="1">AVERAGE(OFFSET($EN$3,0,0,'Données projet'!$E$15+1,1))-AVERAGE(OFFSET($H$3,0,0,'Données projet'!$E$15+1,1))</f>
        <v>#N/A</v>
      </c>
      <c r="EP95" s="60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0" t="e">
        <f t="shared" si="77"/>
        <v>#N/A</v>
      </c>
      <c r="FJ95" s="60" t="e">
        <f ca="1">AVERAGE(OFFSET($FI$3,0,0,'Données projet'!$E$16+1,1))-AVERAGE(OFFSET($H$3,0,0,'Données projet'!$E$16+1,1))</f>
        <v>#N/A</v>
      </c>
      <c r="FK95" s="60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0" t="e">
        <f t="shared" si="80"/>
        <v>#N/A</v>
      </c>
      <c r="GE95" s="60" t="e">
        <f ca="1">AVERAGE(OFFSET($GD$3,0,0,'Données projet'!$E$17+1,1))-AVERAGE(OFFSET($H$3,0,0,'Données projet'!$E$17+1,1))</f>
        <v>#N/A</v>
      </c>
      <c r="GF95" s="60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4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8.0338461538461612</v>
      </c>
      <c r="N96" s="14">
        <f>IF('Données projet'!$A$36&gt;35,N95+M96-V95,IF(A96&lt;'Données projet'!$A$36,$K$205^A96,IF(A96='Données projet'!$A$36,'Données projet'!$B$36,N95+M96-V95)))</f>
        <v>348.71692307692325</v>
      </c>
      <c r="O96" s="14">
        <f>N96*VLOOKUP('Données projet'!$B$9,Paramètres!$A$1:$I$89,3,0)*VLOOKUP('Données projet'!$B$9,Paramètres!$A$1:$I$89,5,0)</f>
        <v>163.19952000000009</v>
      </c>
      <c r="P96" s="14">
        <f t="shared" si="87"/>
        <v>41.563342371355041</v>
      </c>
      <c r="Q96" s="22">
        <f t="shared" si="54"/>
        <v>356.62865196344347</v>
      </c>
      <c r="R96" s="60">
        <f t="shared" si="55"/>
        <v>631.95681763527944</v>
      </c>
      <c r="S96" s="60">
        <f ca="1">AVERAGE(OFFSET($R$3,0,0,'Données projet'!$E$9+1,1))-AVERAGE(OFFSET($H$3,0,0,'Données projet'!$E$9+1,1))</f>
        <v>277.7918215389401</v>
      </c>
      <c r="T96" s="60">
        <f t="shared" si="88"/>
        <v>164.65640238394164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4.9000000000000004</v>
      </c>
      <c r="AI96" s="14">
        <f>IF('Données projet'!$A$62&gt;35,AI95+AH96-AQ95,IF(A96&lt;'Données projet'!$A$62,$AF$205^A96,IF(A96='Données projet'!$A$62,'Données projet'!$B$62,AI95+AH96-AQ95)))</f>
        <v>268.7</v>
      </c>
      <c r="AJ96" s="14">
        <f>AI96*VLOOKUP('Données projet'!$B$10,Paramètres!$A$1:$I$89,3,0)*VLOOKUP('Données projet'!$B$10,Paramètres!$A$1:$I$89,5,0)</f>
        <v>243.11975999999996</v>
      </c>
      <c r="AK96" s="14">
        <f t="shared" si="89"/>
        <v>59.110256668778533</v>
      </c>
      <c r="AL96" s="22">
        <f t="shared" si="58"/>
        <v>526.3839456981226</v>
      </c>
      <c r="AM96" s="60">
        <f t="shared" si="59"/>
        <v>801.71211136995862</v>
      </c>
      <c r="AN96" s="60">
        <f ca="1">AVERAGE(OFFSET($AM$3,0,0,'Données projet'!$E$10+1,1))-AVERAGE(OFFSET($H$3,0,0,'Données projet'!$E$10+1,1))</f>
        <v>469.67944008675863</v>
      </c>
      <c r="AO96" s="60">
        <f t="shared" si="90"/>
        <v>266.11908070867173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0" t="e">
        <f t="shared" si="62"/>
        <v>#NUM!</v>
      </c>
      <c r="BI96" s="60">
        <f ca="1">AVERAGE(OFFSET($BH$3,0,0,'Données projet'!$E$11+1,1))-AVERAGE(OFFSET($H$3,0,0,'Données projet'!$E$11+1,1))</f>
        <v>216.36762889365235</v>
      </c>
      <c r="BJ96" s="60">
        <f t="shared" si="92"/>
        <v>333.29599352215496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3.8771281099602555</v>
      </c>
      <c r="BQ96" s="23">
        <f>EXP(-LN(2)/25)*BQ95+(1-EXP(-LN(2)/25))/(LN(2)/25)*Calculateur!BL96*Calculateur!BN96*VLOOKUP('Données projet'!$B$11,Paramètres!$A$1:$I$89,3,0)*0.475*44/12</f>
        <v>1.699741614138613</v>
      </c>
      <c r="BR96" s="23">
        <f>EXP(-LN(2)/2)*BR95+(1-EXP(-LN(2)/2))/(LN(2)/2)*BL96*BO96*VLOOKUP('Données projet'!$B$11,Paramètres!$A$1:$I$89,3,0)*0.475*44/12</f>
        <v>9.6293289939724155E-10</v>
      </c>
      <c r="BS96" s="24">
        <f t="shared" si="63"/>
        <v>5.5768697250618011</v>
      </c>
      <c r="BT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4.9000000000000004</v>
      </c>
      <c r="BY96" s="13">
        <f>IF('Données projet'!$A$114&gt;35,BY95+BX96-CG95,IF(A96&lt;'Données projet'!$A$114,$BV$205^A96,IF(A96='Données projet'!$A$114,'Données projet'!$B$114,BY95+BX96-CG95)))</f>
        <v>268.7</v>
      </c>
      <c r="BZ96" s="14">
        <f>BY96*VLOOKUP('Données projet'!$B$12,Paramètres!$A$1:$I$89,3,0)*VLOOKUP('Données projet'!$B$12,Paramètres!$A$1:$I$89,5,0)</f>
        <v>259.88664</v>
      </c>
      <c r="CA96" s="14">
        <f t="shared" si="93"/>
        <v>62.698213571884004</v>
      </c>
      <c r="CB96" s="22">
        <f t="shared" si="64"/>
        <v>561.835286637698</v>
      </c>
      <c r="CC96" s="60">
        <f t="shared" si="65"/>
        <v>837.16345230953402</v>
      </c>
      <c r="CD96" s="60">
        <f ca="1">AVERAGE(OFFSET($CC$3,0,0,'Données projet'!$E$12+1,1))-AVERAGE(OFFSET($H$3,0,0,'Données projet'!$E$12+1,1))</f>
        <v>496.33873798282525</v>
      </c>
      <c r="CE96" s="60">
        <f t="shared" si="94"/>
        <v>280.25465074992246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4.9000000000000004</v>
      </c>
      <c r="CT96" s="13">
        <f>IF('Données projet'!$A$140&gt;35,CT95+CS96-DB95,IF(A96&lt;'Données projet'!$A$140,$CQ$205^A96,IF(A96='Données projet'!$A$140,'Données projet'!$B$140,CT95+CS96-DB95)))</f>
        <v>268.7</v>
      </c>
      <c r="CU96" s="18">
        <f>CT96*VLOOKUP('Données projet'!$B$13,Paramètres!$A$1:$I$89,3,0)*VLOOKUP('Données projet'!$B$13,Paramètres!$A$1:$I$89,5,0)</f>
        <v>289.22868</v>
      </c>
      <c r="CV96" s="14">
        <f t="shared" si="95"/>
        <v>68.913598231220931</v>
      </c>
      <c r="CW96" s="22">
        <f t="shared" si="67"/>
        <v>623.76446791937644</v>
      </c>
      <c r="CX96" s="60">
        <f t="shared" si="68"/>
        <v>899.09263359121246</v>
      </c>
      <c r="CY96" s="60">
        <f ca="1">AVERAGE(OFFSET($CX$3,0,0,'Données projet'!$E$13+1,1))-AVERAGE(OFFSET($H$3,0,0,'Données projet'!$E$13+1,1))</f>
        <v>542.90832990875208</v>
      </c>
      <c r="CZ96" s="60">
        <f t="shared" si="96"/>
        <v>304.94365539329362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0" t="e">
        <f t="shared" si="71"/>
        <v>#N/A</v>
      </c>
      <c r="DT96" s="60" t="e">
        <f ca="1">AVERAGE(OFFSET($DS$3,0,0,'Données projet'!$E$14+1,1))-AVERAGE(OFFSET($H$3,0,0,'Données projet'!$E$14+1,1))</f>
        <v>#N/A</v>
      </c>
      <c r="DU96" s="60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0" t="e">
        <f t="shared" si="74"/>
        <v>#N/A</v>
      </c>
      <c r="EO96" s="60" t="e">
        <f ca="1">AVERAGE(OFFSET($EN$3,0,0,'Données projet'!$E$15+1,1))-AVERAGE(OFFSET($H$3,0,0,'Données projet'!$E$15+1,1))</f>
        <v>#N/A</v>
      </c>
      <c r="EP96" s="60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0" t="e">
        <f t="shared" si="77"/>
        <v>#N/A</v>
      </c>
      <c r="FJ96" s="60" t="e">
        <f ca="1">AVERAGE(OFFSET($FI$3,0,0,'Données projet'!$E$16+1,1))-AVERAGE(OFFSET($H$3,0,0,'Données projet'!$E$16+1,1))</f>
        <v>#N/A</v>
      </c>
      <c r="FK96" s="60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0" t="e">
        <f t="shared" si="80"/>
        <v>#N/A</v>
      </c>
      <c r="GE96" s="60" t="e">
        <f ca="1">AVERAGE(OFFSET($GD$3,0,0,'Données projet'!$E$17+1,1))-AVERAGE(OFFSET($H$3,0,0,'Données projet'!$E$17+1,1))</f>
        <v>#N/A</v>
      </c>
      <c r="GF96" s="60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4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8.0338461538461612</v>
      </c>
      <c r="N97" s="14">
        <f>IF('Données projet'!$A$36&gt;35,N96+M97-V96,IF(A97&lt;'Données projet'!$A$36,$K$205^A97,IF(A97='Données projet'!$A$36,'Données projet'!$B$36,N96+M97-V96)))</f>
        <v>356.75076923076944</v>
      </c>
      <c r="O97" s="14">
        <f>N97*VLOOKUP('Données projet'!$B$9,Paramètres!$A$1:$I$89,3,0)*VLOOKUP('Données projet'!$B$9,Paramètres!$A$1:$I$89,5,0)</f>
        <v>166.95936000000012</v>
      </c>
      <c r="P97" s="14">
        <f t="shared" si="87"/>
        <v>42.408307706264836</v>
      </c>
      <c r="Q97" s="22">
        <f t="shared" si="54"/>
        <v>364.64868792174479</v>
      </c>
      <c r="R97" s="60">
        <f t="shared" si="55"/>
        <v>640.28920299898323</v>
      </c>
      <c r="S97" s="60">
        <f ca="1">AVERAGE(OFFSET($R$3,0,0,'Données projet'!$E$9+1,1))-AVERAGE(OFFSET($H$3,0,0,'Données projet'!$E$9+1,1))</f>
        <v>277.7918215389401</v>
      </c>
      <c r="T97" s="60">
        <f t="shared" si="88"/>
        <v>164.65640238394164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4.9000000000000004</v>
      </c>
      <c r="AI97" s="14">
        <f>IF('Données projet'!$A$62&gt;35,AI96+AH97-AQ96,IF(A97&lt;'Données projet'!$A$62,$AF$205^A97,IF(A97='Données projet'!$A$62,'Données projet'!$B$62,AI96+AH97-AQ96)))</f>
        <v>273.59999999999997</v>
      </c>
      <c r="AJ97" s="14">
        <f>AI97*VLOOKUP('Données projet'!$B$10,Paramètres!$A$1:$I$89,3,0)*VLOOKUP('Données projet'!$B$10,Paramètres!$A$1:$I$89,5,0)</f>
        <v>247.55327999999994</v>
      </c>
      <c r="AK97" s="14">
        <f t="shared" si="89"/>
        <v>60.061713068870255</v>
      </c>
      <c r="AL97" s="22">
        <f t="shared" si="58"/>
        <v>535.76277959494894</v>
      </c>
      <c r="AM97" s="60">
        <f t="shared" si="59"/>
        <v>811.40329467218749</v>
      </c>
      <c r="AN97" s="60">
        <f ca="1">AVERAGE(OFFSET($AM$3,0,0,'Données projet'!$E$10+1,1))-AVERAGE(OFFSET($H$3,0,0,'Données projet'!$E$10+1,1))</f>
        <v>469.67944008675863</v>
      </c>
      <c r="AO97" s="60">
        <f t="shared" si="90"/>
        <v>266.11908070867173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0" t="e">
        <f t="shared" si="62"/>
        <v>#NUM!</v>
      </c>
      <c r="BI97" s="60">
        <f ca="1">AVERAGE(OFFSET($BH$3,0,0,'Données projet'!$E$11+1,1))-AVERAGE(OFFSET($H$3,0,0,'Données projet'!$E$11+1,1))</f>
        <v>216.36762889365235</v>
      </c>
      <c r="BJ97" s="60">
        <f t="shared" si="92"/>
        <v>333.29599352215496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3.801099992538576</v>
      </c>
      <c r="BQ97" s="23">
        <f>EXP(-LN(2)/25)*BQ96+(1-EXP(-LN(2)/25))/(LN(2)/25)*Calculateur!BL97*Calculateur!BN97*VLOOKUP('Données projet'!$B$11,Paramètres!$A$1:$I$89,3,0)*0.475*44/12</f>
        <v>1.6532620903144659</v>
      </c>
      <c r="BR97" s="23">
        <f>EXP(-LN(2)/2)*BR96+(1-EXP(-LN(2)/2))/(LN(2)/2)*BL97*BO97*VLOOKUP('Données projet'!$B$11,Paramètres!$A$1:$I$89,3,0)*0.475*44/12</f>
        <v>6.8089638299141307E-10</v>
      </c>
      <c r="BS97" s="24">
        <f t="shared" si="63"/>
        <v>5.4543620835339377</v>
      </c>
      <c r="BT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4.9000000000000004</v>
      </c>
      <c r="BY97" s="13">
        <f>IF('Données projet'!$A$114&gt;35,BY96+BX97-CG96,IF(A97&lt;'Données projet'!$A$114,$BV$205^A97,IF(A97='Données projet'!$A$114,'Données projet'!$B$114,BY96+BX97-CG96)))</f>
        <v>273.59999999999997</v>
      </c>
      <c r="BZ97" s="14">
        <f>BY97*VLOOKUP('Données projet'!$B$12,Paramètres!$A$1:$I$89,3,0)*VLOOKUP('Données projet'!$B$12,Paramètres!$A$1:$I$89,5,0)</f>
        <v>264.62591999999995</v>
      </c>
      <c r="CA97" s="14">
        <f t="shared" si="93"/>
        <v>63.707422801198604</v>
      </c>
      <c r="CB97" s="22">
        <f t="shared" si="64"/>
        <v>571.84723871208746</v>
      </c>
      <c r="CC97" s="60">
        <f t="shared" si="65"/>
        <v>847.48775378932601</v>
      </c>
      <c r="CD97" s="60">
        <f ca="1">AVERAGE(OFFSET($CC$3,0,0,'Données projet'!$E$12+1,1))-AVERAGE(OFFSET($H$3,0,0,'Données projet'!$E$12+1,1))</f>
        <v>496.33873798282525</v>
      </c>
      <c r="CE97" s="60">
        <f t="shared" si="94"/>
        <v>280.25465074992246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4.9000000000000004</v>
      </c>
      <c r="CT97" s="13">
        <f>IF('Données projet'!$A$140&gt;35,CT96+CS97-DB96,IF(A97&lt;'Données projet'!$A$140,$CQ$205^A97,IF(A97='Données projet'!$A$140,'Données projet'!$B$140,CT96+CS97-DB96)))</f>
        <v>273.59999999999997</v>
      </c>
      <c r="CU97" s="18">
        <f>CT97*VLOOKUP('Données projet'!$B$13,Paramètres!$A$1:$I$89,3,0)*VLOOKUP('Données projet'!$B$13,Paramètres!$A$1:$I$89,5,0)</f>
        <v>294.50303999999994</v>
      </c>
      <c r="CV97" s="14">
        <f t="shared" si="95"/>
        <v>70.022852154069838</v>
      </c>
      <c r="CW97" s="22">
        <f t="shared" si="67"/>
        <v>634.88259550167152</v>
      </c>
      <c r="CX97" s="60">
        <f t="shared" si="68"/>
        <v>910.52311057891006</v>
      </c>
      <c r="CY97" s="60">
        <f ca="1">AVERAGE(OFFSET($CX$3,0,0,'Données projet'!$E$13+1,1))-AVERAGE(OFFSET($H$3,0,0,'Données projet'!$E$13+1,1))</f>
        <v>542.90832990875208</v>
      </c>
      <c r="CZ97" s="60">
        <f t="shared" si="96"/>
        <v>304.94365539329362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0" t="e">
        <f t="shared" si="71"/>
        <v>#N/A</v>
      </c>
      <c r="DT97" s="60" t="e">
        <f ca="1">AVERAGE(OFFSET($DS$3,0,0,'Données projet'!$E$14+1,1))-AVERAGE(OFFSET($H$3,0,0,'Données projet'!$E$14+1,1))</f>
        <v>#N/A</v>
      </c>
      <c r="DU97" s="60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0" t="e">
        <f t="shared" si="74"/>
        <v>#N/A</v>
      </c>
      <c r="EO97" s="60" t="e">
        <f ca="1">AVERAGE(OFFSET($EN$3,0,0,'Données projet'!$E$15+1,1))-AVERAGE(OFFSET($H$3,0,0,'Données projet'!$E$15+1,1))</f>
        <v>#N/A</v>
      </c>
      <c r="EP97" s="60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0" t="e">
        <f t="shared" si="77"/>
        <v>#N/A</v>
      </c>
      <c r="FJ97" s="60" t="e">
        <f ca="1">AVERAGE(OFFSET($FI$3,0,0,'Données projet'!$E$16+1,1))-AVERAGE(OFFSET($H$3,0,0,'Données projet'!$E$16+1,1))</f>
        <v>#N/A</v>
      </c>
      <c r="FK97" s="60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0" t="e">
        <f t="shared" si="80"/>
        <v>#N/A</v>
      </c>
      <c r="GE97" s="60" t="e">
        <f ca="1">AVERAGE(OFFSET($GD$3,0,0,'Données projet'!$E$17+1,1))-AVERAGE(OFFSET($H$3,0,0,'Données projet'!$E$17+1,1))</f>
        <v>#N/A</v>
      </c>
      <c r="GF97" s="60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4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364.78461538461539</v>
      </c>
      <c r="L98" s="13">
        <f>VLOOKUP(A98,'Données projet'!$A$35:$I$55,9,0)</f>
        <v>8.0338461538461612</v>
      </c>
      <c r="M98" s="13">
        <f t="array" ref="M98">INDEX(L:L,MIN(IF(ISNUMBER(L98:L294),ROW(L98:L294),"")))</f>
        <v>8.0338461538461612</v>
      </c>
      <c r="N98" s="14">
        <f>IF('Données projet'!$A$36&gt;35,N97+M98-V97,IF(A98&lt;'Données projet'!$A$36,$K$205^A98,IF(A98='Données projet'!$A$36,'Données projet'!$B$36,N97+M98-V97)))</f>
        <v>364.78461538461562</v>
      </c>
      <c r="O98" s="14">
        <f>N98*VLOOKUP('Données projet'!$B$9,Paramètres!$A$1:$I$89,3,0)*VLOOKUP('Données projet'!$B$9,Paramètres!$A$1:$I$89,5,0)</f>
        <v>170.71920000000011</v>
      </c>
      <c r="P98" s="14">
        <f t="shared" si="87"/>
        <v>43.251060862572231</v>
      </c>
      <c r="Q98" s="22">
        <f t="shared" si="54"/>
        <v>372.66487100231348</v>
      </c>
      <c r="R98" s="60">
        <f t="shared" si="55"/>
        <v>648.61231692107935</v>
      </c>
      <c r="S98" s="60">
        <f ca="1">AVERAGE(OFFSET($R$3,0,0,'Données projet'!$E$9+1,1))-AVERAGE(OFFSET($H$3,0,0,'Données projet'!$E$9+1,1))</f>
        <v>277.7918215389401</v>
      </c>
      <c r="T98" s="60">
        <f t="shared" si="88"/>
        <v>164.65640238394164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4.9000000000000004</v>
      </c>
      <c r="AI98" s="14">
        <f>IF('Données projet'!$A$62&gt;35,AI97+AH98-AQ97,IF(A98&lt;'Données projet'!$A$62,$AF$205^A98,IF(A98='Données projet'!$A$62,'Données projet'!$B$62,AI97+AH98-AQ97)))</f>
        <v>278.49999999999994</v>
      </c>
      <c r="AJ98" s="14">
        <f>AI98*VLOOKUP('Données projet'!$B$10,Paramètres!$A$1:$I$89,3,0)*VLOOKUP('Données projet'!$B$10,Paramètres!$A$1:$I$89,5,0)</f>
        <v>251.98679999999993</v>
      </c>
      <c r="AK98" s="14">
        <f t="shared" si="89"/>
        <v>61.011187970195053</v>
      </c>
      <c r="AL98" s="22">
        <f t="shared" si="58"/>
        <v>545.13816238142283</v>
      </c>
      <c r="AM98" s="60">
        <f t="shared" si="59"/>
        <v>821.08560830018882</v>
      </c>
      <c r="AN98" s="60">
        <f ca="1">AVERAGE(OFFSET($AM$3,0,0,'Données projet'!$E$10+1,1))-AVERAGE(OFFSET($H$3,0,0,'Données projet'!$E$10+1,1))</f>
        <v>469.67944008675863</v>
      </c>
      <c r="AO98" s="60">
        <f t="shared" si="90"/>
        <v>266.11908070867173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0" t="e">
        <f t="shared" si="62"/>
        <v>#NUM!</v>
      </c>
      <c r="BI98" s="60">
        <f ca="1">AVERAGE(OFFSET($BH$3,0,0,'Données projet'!$E$11+1,1))-AVERAGE(OFFSET($H$3,0,0,'Données projet'!$E$11+1,1))</f>
        <v>216.36762889365235</v>
      </c>
      <c r="BJ98" s="60">
        <f t="shared" si="92"/>
        <v>333.29599352215496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3.7265627401269628</v>
      </c>
      <c r="BQ98" s="23">
        <f>EXP(-LN(2)/25)*BQ97+(1-EXP(-LN(2)/25))/(LN(2)/25)*Calculateur!BL98*Calculateur!BN98*VLOOKUP('Données projet'!$B$11,Paramètres!$A$1:$I$89,3,0)*0.475*44/12</f>
        <v>1.6080535515135421</v>
      </c>
      <c r="BR98" s="23">
        <f>EXP(-LN(2)/2)*BR97+(1-EXP(-LN(2)/2))/(LN(2)/2)*BL98*BO98*VLOOKUP('Données projet'!$B$11,Paramètres!$A$1:$I$89,3,0)*0.475*44/12</f>
        <v>4.8146644969862077E-10</v>
      </c>
      <c r="BS98" s="24">
        <f t="shared" si="63"/>
        <v>5.3346162921219715</v>
      </c>
      <c r="BT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4.9000000000000004</v>
      </c>
      <c r="BY98" s="13">
        <f>IF('Données projet'!$A$114&gt;35,BY97+BX98-CG97,IF(A98&lt;'Données projet'!$A$114,$BV$205^A98,IF(A98='Données projet'!$A$114,'Données projet'!$B$114,BY97+BX98-CG97)))</f>
        <v>278.49999999999994</v>
      </c>
      <c r="BZ98" s="14">
        <f>BY98*VLOOKUP('Données projet'!$B$12,Paramètres!$A$1:$I$89,3,0)*VLOOKUP('Données projet'!$B$12,Paramètres!$A$1:$I$89,5,0)</f>
        <v>269.36519999999996</v>
      </c>
      <c r="CA98" s="14">
        <f t="shared" si="93"/>
        <v>64.714530255967034</v>
      </c>
      <c r="CB98" s="22">
        <f t="shared" si="64"/>
        <v>581.85553019580914</v>
      </c>
      <c r="CC98" s="60">
        <f t="shared" si="65"/>
        <v>857.80297611457513</v>
      </c>
      <c r="CD98" s="60">
        <f ca="1">AVERAGE(OFFSET($CC$3,0,0,'Données projet'!$E$12+1,1))-AVERAGE(OFFSET($H$3,0,0,'Données projet'!$E$12+1,1))</f>
        <v>496.33873798282525</v>
      </c>
      <c r="CE98" s="60">
        <f t="shared" si="94"/>
        <v>280.25465074992246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4.9000000000000004</v>
      </c>
      <c r="CT98" s="13">
        <f>IF('Données projet'!$A$140&gt;35,CT97+CS98-DB97,IF(A98&lt;'Données projet'!$A$140,$CQ$205^A98,IF(A98='Données projet'!$A$140,'Données projet'!$B$140,CT97+CS98-DB97)))</f>
        <v>278.49999999999994</v>
      </c>
      <c r="CU98" s="18">
        <f>CT98*VLOOKUP('Données projet'!$B$13,Paramètres!$A$1:$I$89,3,0)*VLOOKUP('Données projet'!$B$13,Paramètres!$A$1:$I$89,5,0)</f>
        <v>299.77739999999989</v>
      </c>
      <c r="CV98" s="14">
        <f t="shared" si="95"/>
        <v>71.129795949749251</v>
      </c>
      <c r="CW98" s="22">
        <f t="shared" si="67"/>
        <v>645.9966996124798</v>
      </c>
      <c r="CX98" s="60">
        <f t="shared" si="68"/>
        <v>921.94414553124579</v>
      </c>
      <c r="CY98" s="60">
        <f ca="1">AVERAGE(OFFSET($CX$3,0,0,'Données projet'!$E$13+1,1))-AVERAGE(OFFSET($H$3,0,0,'Données projet'!$E$13+1,1))</f>
        <v>542.90832990875208</v>
      </c>
      <c r="CZ98" s="60">
        <f t="shared" si="96"/>
        <v>304.94365539329362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0" t="e">
        <f t="shared" si="71"/>
        <v>#N/A</v>
      </c>
      <c r="DT98" s="60" t="e">
        <f ca="1">AVERAGE(OFFSET($DS$3,0,0,'Données projet'!$E$14+1,1))-AVERAGE(OFFSET($H$3,0,0,'Données projet'!$E$14+1,1))</f>
        <v>#N/A</v>
      </c>
      <c r="DU98" s="60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0" t="e">
        <f t="shared" si="74"/>
        <v>#N/A</v>
      </c>
      <c r="EO98" s="60" t="e">
        <f ca="1">AVERAGE(OFFSET($EN$3,0,0,'Données projet'!$E$15+1,1))-AVERAGE(OFFSET($H$3,0,0,'Données projet'!$E$15+1,1))</f>
        <v>#N/A</v>
      </c>
      <c r="EP98" s="60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0" t="e">
        <f t="shared" si="77"/>
        <v>#N/A</v>
      </c>
      <c r="FJ98" s="60" t="e">
        <f ca="1">AVERAGE(OFFSET($FI$3,0,0,'Données projet'!$E$16+1,1))-AVERAGE(OFFSET($H$3,0,0,'Données projet'!$E$16+1,1))</f>
        <v>#N/A</v>
      </c>
      <c r="FK98" s="60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0" t="e">
        <f t="shared" si="80"/>
        <v>#N/A</v>
      </c>
      <c r="GE98" s="60" t="e">
        <f ca="1">AVERAGE(OFFSET($GD$3,0,0,'Données projet'!$E$17+1,1))-AVERAGE(OFFSET($H$3,0,0,'Données projet'!$E$17+1,1))</f>
        <v>#N/A</v>
      </c>
      <c r="GF98" s="60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4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8.271153846153851</v>
      </c>
      <c r="N99" s="14">
        <f>IF('Données projet'!$A$36&gt;35,N98+M99-V98,IF(A99&lt;'Données projet'!$A$36,$K$205^A99,IF(A99='Données projet'!$A$36,'Données projet'!$B$36,N98+M99-V98)))</f>
        <v>373.05576923076944</v>
      </c>
      <c r="O99" s="14">
        <f>N99*VLOOKUP('Données projet'!$B$9,Paramètres!$A$1:$I$89,3,0)*VLOOKUP('Données projet'!$B$9,Paramètres!$A$1:$I$89,5,0)</f>
        <v>174.59010000000012</v>
      </c>
      <c r="P99" s="14">
        <f t="shared" si="87"/>
        <v>44.116453815589544</v>
      </c>
      <c r="Q99" s="22">
        <f t="shared" ref="Q99:Q130" si="107">(O99+P99)*0.475*44/12</f>
        <v>380.913914562152</v>
      </c>
      <c r="R99" s="60">
        <f t="shared" si="55"/>
        <v>657.16296675853937</v>
      </c>
      <c r="S99" s="60">
        <f ca="1">AVERAGE(OFFSET($R$3,0,0,'Données projet'!$E$9+1,1))-AVERAGE(OFFSET($H$3,0,0,'Données projet'!$E$9+1,1))</f>
        <v>277.7918215389401</v>
      </c>
      <c r="T99" s="60">
        <f t="shared" si="88"/>
        <v>164.65640238394164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4.9000000000000004</v>
      </c>
      <c r="AI99" s="14">
        <f>IF('Données projet'!$A$62&gt;35,AI98+AH99-AQ98,IF(A99&lt;'Données projet'!$A$62,$AF$205^A99,IF(A99='Données projet'!$A$62,'Données projet'!$B$62,AI98+AH99-AQ98)))</f>
        <v>283.39999999999992</v>
      </c>
      <c r="AJ99" s="14">
        <f>AI99*VLOOKUP('Données projet'!$B$10,Paramètres!$A$1:$I$89,3,0)*VLOOKUP('Données projet'!$B$10,Paramètres!$A$1:$I$89,5,0)</f>
        <v>256.42031999999989</v>
      </c>
      <c r="AK99" s="14">
        <f t="shared" si="89"/>
        <v>61.958720258016918</v>
      </c>
      <c r="AL99" s="22">
        <f t="shared" si="58"/>
        <v>554.51016178271254</v>
      </c>
      <c r="AM99" s="60">
        <f t="shared" si="59"/>
        <v>830.75921397909997</v>
      </c>
      <c r="AN99" s="60">
        <f ca="1">AVERAGE(OFFSET($AM$3,0,0,'Données projet'!$E$10+1,1))-AVERAGE(OFFSET($H$3,0,0,'Données projet'!$E$10+1,1))</f>
        <v>469.67944008675863</v>
      </c>
      <c r="AO99" s="60">
        <f t="shared" si="90"/>
        <v>266.11908070867173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0" t="e">
        <f t="shared" si="62"/>
        <v>#NUM!</v>
      </c>
      <c r="BI99" s="60">
        <f ca="1">AVERAGE(OFFSET($BH$3,0,0,'Données projet'!$E$11+1,1))-AVERAGE(OFFSET($H$3,0,0,'Données projet'!$E$11+1,1))</f>
        <v>216.36762889365235</v>
      </c>
      <c r="BJ99" s="60">
        <f t="shared" si="92"/>
        <v>333.29599352215496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3.6534871177719066</v>
      </c>
      <c r="BQ99" s="23">
        <f>EXP(-LN(2)/25)*BQ98+(1-EXP(-LN(2)/25))/(LN(2)/25)*Calculateur!BL99*Calculateur!BN99*VLOOKUP('Données projet'!$B$11,Paramètres!$A$1:$I$89,3,0)*0.475*44/12</f>
        <v>1.5640812425835433</v>
      </c>
      <c r="BR99" s="23">
        <f>EXP(-LN(2)/2)*BR98+(1-EXP(-LN(2)/2))/(LN(2)/2)*BL99*BO99*VLOOKUP('Données projet'!$B$11,Paramètres!$A$1:$I$89,3,0)*0.475*44/12</f>
        <v>3.4044819149570654E-10</v>
      </c>
      <c r="BS99" s="24">
        <f t="shared" si="63"/>
        <v>5.2175683606958989</v>
      </c>
      <c r="BT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4.9000000000000004</v>
      </c>
      <c r="BY99" s="13">
        <f>IF('Données projet'!$A$114&gt;35,BY98+BX99-CG98,IF(A99&lt;'Données projet'!$A$114,$BV$205^A99,IF(A99='Données projet'!$A$114,'Données projet'!$B$114,BY98+BX99-CG98)))</f>
        <v>283.39999999999992</v>
      </c>
      <c r="BZ99" s="14">
        <f>BY99*VLOOKUP('Données projet'!$B$12,Paramètres!$A$1:$I$89,3,0)*VLOOKUP('Données projet'!$B$12,Paramètres!$A$1:$I$89,5,0)</f>
        <v>274.10447999999991</v>
      </c>
      <c r="CA99" s="14">
        <f t="shared" si="93"/>
        <v>65.719577181765516</v>
      </c>
      <c r="CB99" s="22">
        <f t="shared" si="64"/>
        <v>591.86023292490802</v>
      </c>
      <c r="CC99" s="60">
        <f t="shared" si="65"/>
        <v>868.10928512129544</v>
      </c>
      <c r="CD99" s="60">
        <f ca="1">AVERAGE(OFFSET($CC$3,0,0,'Données projet'!$E$12+1,1))-AVERAGE(OFFSET($H$3,0,0,'Données projet'!$E$12+1,1))</f>
        <v>496.33873798282525</v>
      </c>
      <c r="CE99" s="60">
        <f t="shared" si="94"/>
        <v>280.25465074992246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4.9000000000000004</v>
      </c>
      <c r="CT99" s="13">
        <f>IF('Données projet'!$A$140&gt;35,CT98+CS99-DB98,IF(A99&lt;'Données projet'!$A$140,$CQ$205^A99,IF(A99='Données projet'!$A$140,'Données projet'!$B$140,CT98+CS99-DB98)))</f>
        <v>283.39999999999992</v>
      </c>
      <c r="CU99" s="18">
        <f>CT99*VLOOKUP('Données projet'!$B$13,Paramètres!$A$1:$I$89,3,0)*VLOOKUP('Données projet'!$B$13,Paramètres!$A$1:$I$89,5,0)</f>
        <v>305.05175999999989</v>
      </c>
      <c r="CV99" s="14">
        <f t="shared" si="95"/>
        <v>72.23447495258219</v>
      </c>
      <c r="CW99" s="22">
        <f t="shared" si="67"/>
        <v>657.10685920908043</v>
      </c>
      <c r="CX99" s="60">
        <f t="shared" si="68"/>
        <v>933.35591140546785</v>
      </c>
      <c r="CY99" s="60">
        <f ca="1">AVERAGE(OFFSET($CX$3,0,0,'Données projet'!$E$13+1,1))-AVERAGE(OFFSET($H$3,0,0,'Données projet'!$E$13+1,1))</f>
        <v>542.90832990875208</v>
      </c>
      <c r="CZ99" s="60">
        <f t="shared" si="96"/>
        <v>304.94365539329362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0" t="e">
        <f t="shared" si="71"/>
        <v>#N/A</v>
      </c>
      <c r="DT99" s="60" t="e">
        <f ca="1">AVERAGE(OFFSET($DS$3,0,0,'Données projet'!$E$14+1,1))-AVERAGE(OFFSET($H$3,0,0,'Données projet'!$E$14+1,1))</f>
        <v>#N/A</v>
      </c>
      <c r="DU99" s="60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0" t="e">
        <f t="shared" si="74"/>
        <v>#N/A</v>
      </c>
      <c r="EO99" s="60" t="e">
        <f ca="1">AVERAGE(OFFSET($EN$3,0,0,'Données projet'!$E$15+1,1))-AVERAGE(OFFSET($H$3,0,0,'Données projet'!$E$15+1,1))</f>
        <v>#N/A</v>
      </c>
      <c r="EP99" s="60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0" t="e">
        <f t="shared" si="77"/>
        <v>#N/A</v>
      </c>
      <c r="FJ99" s="60" t="e">
        <f ca="1">AVERAGE(OFFSET($FI$3,0,0,'Données projet'!$E$16+1,1))-AVERAGE(OFFSET($H$3,0,0,'Données projet'!$E$16+1,1))</f>
        <v>#N/A</v>
      </c>
      <c r="FK99" s="60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0" t="e">
        <f t="shared" si="80"/>
        <v>#N/A</v>
      </c>
      <c r="GE99" s="60" t="e">
        <f ca="1">AVERAGE(OFFSET($GD$3,0,0,'Données projet'!$E$17+1,1))-AVERAGE(OFFSET($H$3,0,0,'Données projet'!$E$17+1,1))</f>
        <v>#N/A</v>
      </c>
      <c r="GF99" s="60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4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8.271153846153851</v>
      </c>
      <c r="N100" s="14">
        <f>IF('Données projet'!$A$36&gt;35,N99+M100-V99,IF(A100&lt;'Données projet'!$A$36,$K$205^A100,IF(A100='Données projet'!$A$36,'Données projet'!$B$36,N99+M100-V99)))</f>
        <v>381.32692307692332</v>
      </c>
      <c r="O100" s="14">
        <f>N100*VLOOKUP('Données projet'!$B$9,Paramètres!$A$1:$I$89,3,0)*VLOOKUP('Données projet'!$B$9,Paramètres!$A$1:$I$89,5,0)</f>
        <v>178.46100000000013</v>
      </c>
      <c r="P100" s="14">
        <f t="shared" si="87"/>
        <v>44.979616095143392</v>
      </c>
      <c r="Q100" s="22">
        <f t="shared" si="107"/>
        <v>389.15907303237492</v>
      </c>
      <c r="R100" s="60">
        <f t="shared" si="55"/>
        <v>665.70449931175767</v>
      </c>
      <c r="S100" s="60">
        <f ca="1">AVERAGE(OFFSET($R$3,0,0,'Données projet'!$E$9+1,1))-AVERAGE(OFFSET($H$3,0,0,'Données projet'!$E$9+1,1))</f>
        <v>277.7918215389401</v>
      </c>
      <c r="T100" s="60">
        <f t="shared" si="88"/>
        <v>164.65640238394164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4.9000000000000004</v>
      </c>
      <c r="AI100" s="14">
        <f>IF('Données projet'!$A$62&gt;35,AI99+AH100-AQ99,IF(A100&lt;'Données projet'!$A$62,$AF$205^A100,IF(A100='Données projet'!$A$62,'Données projet'!$B$62,AI99+AH100-AQ99)))</f>
        <v>288.2999999999999</v>
      </c>
      <c r="AJ100" s="14">
        <f>AI100*VLOOKUP('Données projet'!$B$10,Paramètres!$A$1:$I$89,3,0)*VLOOKUP('Données projet'!$B$10,Paramètres!$A$1:$I$89,5,0)</f>
        <v>260.85383999999993</v>
      </c>
      <c r="AK100" s="14">
        <f t="shared" si="89"/>
        <v>62.904347395903763</v>
      </c>
      <c r="AL100" s="22">
        <f t="shared" si="58"/>
        <v>563.87884304786564</v>
      </c>
      <c r="AM100" s="60">
        <f t="shared" si="59"/>
        <v>840.42426932724845</v>
      </c>
      <c r="AN100" s="60">
        <f ca="1">AVERAGE(OFFSET($AM$3,0,0,'Données projet'!$E$10+1,1))-AVERAGE(OFFSET($H$3,0,0,'Données projet'!$E$10+1,1))</f>
        <v>469.67944008675863</v>
      </c>
      <c r="AO100" s="60">
        <f t="shared" si="90"/>
        <v>266.11908070867173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0" t="e">
        <f t="shared" si="62"/>
        <v>#NUM!</v>
      </c>
      <c r="BI100" s="60">
        <f ca="1">AVERAGE(OFFSET($BH$3,0,0,'Données projet'!$E$11+1,1))-AVERAGE(OFFSET($H$3,0,0,'Données projet'!$E$11+1,1))</f>
        <v>216.36762889365235</v>
      </c>
      <c r="BJ100" s="60">
        <f t="shared" si="92"/>
        <v>333.29599352215496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3.5818444637995044</v>
      </c>
      <c r="BQ100" s="23">
        <f>EXP(-LN(2)/25)*BQ99+(1-EXP(-LN(2)/25))/(LN(2)/25)*Calculateur!BL100*Calculateur!BN100*VLOOKUP('Données projet'!$B$11,Paramètres!$A$1:$I$89,3,0)*0.475*44/12</f>
        <v>1.5213113587536384</v>
      </c>
      <c r="BR100" s="23">
        <f>EXP(-LN(2)/2)*BR99+(1-EXP(-LN(2)/2))/(LN(2)/2)*BL100*BO100*VLOOKUP('Données projet'!$B$11,Paramètres!$A$1:$I$89,3,0)*0.475*44/12</f>
        <v>2.4073322484931039E-10</v>
      </c>
      <c r="BS100" s="24">
        <f t="shared" si="63"/>
        <v>5.1031558227938767</v>
      </c>
      <c r="BT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4.9000000000000004</v>
      </c>
      <c r="BY100" s="13">
        <f>IF('Données projet'!$A$114&gt;35,BY99+BX100-CG99,IF(A100&lt;'Données projet'!$A$114,$BV$205^A100,IF(A100='Données projet'!$A$114,'Données projet'!$B$114,BY99+BX100-CG99)))</f>
        <v>288.2999999999999</v>
      </c>
      <c r="BZ100" s="14">
        <f>BY100*VLOOKUP('Données projet'!$B$12,Paramètres!$A$1:$I$89,3,0)*VLOOKUP('Données projet'!$B$12,Paramètres!$A$1:$I$89,5,0)</f>
        <v>278.84375999999992</v>
      </c>
      <c r="CA100" s="14">
        <f t="shared" si="93"/>
        <v>66.722603316177725</v>
      </c>
      <c r="CB100" s="22">
        <f t="shared" si="64"/>
        <v>601.86141610900938</v>
      </c>
      <c r="CC100" s="60">
        <f t="shared" si="65"/>
        <v>878.40684238839219</v>
      </c>
      <c r="CD100" s="60">
        <f ca="1">AVERAGE(OFFSET($CC$3,0,0,'Données projet'!$E$12+1,1))-AVERAGE(OFFSET($H$3,0,0,'Données projet'!$E$12+1,1))</f>
        <v>496.33873798282525</v>
      </c>
      <c r="CE100" s="60">
        <f t="shared" si="94"/>
        <v>280.25465074992246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4.9000000000000004</v>
      </c>
      <c r="CT100" s="13">
        <f>IF('Données projet'!$A$140&gt;35,CT99+CS100-DB99,IF(A100&lt;'Données projet'!$A$140,$CQ$205^A100,IF(A100='Données projet'!$A$140,'Données projet'!$B$140,CT99+CS100-DB99)))</f>
        <v>288.2999999999999</v>
      </c>
      <c r="CU100" s="18">
        <f>CT100*VLOOKUP('Données projet'!$B$13,Paramètres!$A$1:$I$89,3,0)*VLOOKUP('Données projet'!$B$13,Paramètres!$A$1:$I$89,5,0)</f>
        <v>310.32611999999989</v>
      </c>
      <c r="CV100" s="14">
        <f t="shared" si="95"/>
        <v>73.336932839409357</v>
      </c>
      <c r="CW100" s="22">
        <f t="shared" si="67"/>
        <v>668.21315036197109</v>
      </c>
      <c r="CX100" s="60">
        <f t="shared" si="68"/>
        <v>944.7585766413539</v>
      </c>
      <c r="CY100" s="60">
        <f ca="1">AVERAGE(OFFSET($CX$3,0,0,'Données projet'!$E$13+1,1))-AVERAGE(OFFSET($H$3,0,0,'Données projet'!$E$13+1,1))</f>
        <v>542.90832990875208</v>
      </c>
      <c r="CZ100" s="60">
        <f t="shared" si="96"/>
        <v>304.94365539329362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0" t="e">
        <f t="shared" si="71"/>
        <v>#N/A</v>
      </c>
      <c r="DT100" s="60" t="e">
        <f ca="1">AVERAGE(OFFSET($DS$3,0,0,'Données projet'!$E$14+1,1))-AVERAGE(OFFSET($H$3,0,0,'Données projet'!$E$14+1,1))</f>
        <v>#N/A</v>
      </c>
      <c r="DU100" s="60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0" t="e">
        <f t="shared" si="74"/>
        <v>#N/A</v>
      </c>
      <c r="EO100" s="60" t="e">
        <f ca="1">AVERAGE(OFFSET($EN$3,0,0,'Données projet'!$E$15+1,1))-AVERAGE(OFFSET($H$3,0,0,'Données projet'!$E$15+1,1))</f>
        <v>#N/A</v>
      </c>
      <c r="EP100" s="60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0" t="e">
        <f t="shared" si="77"/>
        <v>#N/A</v>
      </c>
      <c r="FJ100" s="60" t="e">
        <f ca="1">AVERAGE(OFFSET($FI$3,0,0,'Données projet'!$E$16+1,1))-AVERAGE(OFFSET($H$3,0,0,'Données projet'!$E$16+1,1))</f>
        <v>#N/A</v>
      </c>
      <c r="FK100" s="60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0" t="e">
        <f t="shared" si="80"/>
        <v>#N/A</v>
      </c>
      <c r="GE100" s="60" t="e">
        <f ca="1">AVERAGE(OFFSET($GD$3,0,0,'Données projet'!$E$17+1,1))-AVERAGE(OFFSET($H$3,0,0,'Données projet'!$E$17+1,1))</f>
        <v>#N/A</v>
      </c>
      <c r="GF100" s="60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4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8.271153846153851</v>
      </c>
      <c r="N101" s="14">
        <f>IF('Données projet'!$A$36&gt;35,N100+M101-V100,IF(A101&lt;'Données projet'!$A$36,$K$205^A101,IF(A101='Données projet'!$A$36,'Données projet'!$B$36,N100+M101-V100)))</f>
        <v>389.5980769230772</v>
      </c>
      <c r="O101" s="14">
        <f>N101*VLOOKUP('Données projet'!$B$9,Paramètres!$A$1:$I$89,3,0)*VLOOKUP('Données projet'!$B$9,Paramètres!$A$1:$I$89,5,0)</f>
        <v>182.33190000000013</v>
      </c>
      <c r="P101" s="14">
        <f t="shared" si="87"/>
        <v>45.840601657901161</v>
      </c>
      <c r="Q101" s="22">
        <f t="shared" si="107"/>
        <v>397.40044038751142</v>
      </c>
      <c r="R101" s="60">
        <f t="shared" si="55"/>
        <v>674.23709932214274</v>
      </c>
      <c r="S101" s="60">
        <f ca="1">AVERAGE(OFFSET($R$3,0,0,'Données projet'!$E$9+1,1))-AVERAGE(OFFSET($H$3,0,0,'Données projet'!$E$9+1,1))</f>
        <v>277.7918215389401</v>
      </c>
      <c r="T101" s="60">
        <f t="shared" si="88"/>
        <v>164.65640238394164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4.9000000000000004</v>
      </c>
      <c r="AI101" s="14">
        <f>IF('Données projet'!$A$62&gt;35,AI100+AH101-AQ100,IF(A101&lt;'Données projet'!$A$62,$AF$205^A101,IF(A101='Données projet'!$A$62,'Données projet'!$B$62,AI100+AH101-AQ100)))</f>
        <v>293.19999999999987</v>
      </c>
      <c r="AJ101" s="14">
        <f>AI101*VLOOKUP('Données projet'!$B$10,Paramètres!$A$1:$I$89,3,0)*VLOOKUP('Données projet'!$B$10,Paramètres!$A$1:$I$89,5,0)</f>
        <v>265.28735999999992</v>
      </c>
      <c r="AK101" s="14">
        <f t="shared" si="89"/>
        <v>63.84810550096995</v>
      </c>
      <c r="AL101" s="22">
        <f t="shared" si="58"/>
        <v>573.24426908085582</v>
      </c>
      <c r="AM101" s="60">
        <f t="shared" si="59"/>
        <v>850.08092801548719</v>
      </c>
      <c r="AN101" s="60">
        <f ca="1">AVERAGE(OFFSET($AM$3,0,0,'Données projet'!$E$10+1,1))-AVERAGE(OFFSET($H$3,0,0,'Données projet'!$E$10+1,1))</f>
        <v>469.67944008675863</v>
      </c>
      <c r="AO101" s="60">
        <f t="shared" si="90"/>
        <v>266.11908070867173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0" t="e">
        <f t="shared" si="62"/>
        <v>#NUM!</v>
      </c>
      <c r="BI101" s="60">
        <f ca="1">AVERAGE(OFFSET($BH$3,0,0,'Données projet'!$E$11+1,1))-AVERAGE(OFFSET($H$3,0,0,'Données projet'!$E$11+1,1))</f>
        <v>216.36762889365235</v>
      </c>
      <c r="BJ101" s="60">
        <f t="shared" si="92"/>
        <v>333.29599352215496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3.5116066785737967</v>
      </c>
      <c r="BQ101" s="23">
        <f>EXP(-LN(2)/25)*BQ100+(1-EXP(-LN(2)/25))/(LN(2)/25)*Calculateur!BL101*Calculateur!BN101*VLOOKUP('Données projet'!$B$11,Paramètres!$A$1:$I$89,3,0)*0.475*44/12</f>
        <v>1.4797110196462329</v>
      </c>
      <c r="BR101" s="23">
        <f>EXP(-LN(2)/2)*BR100+(1-EXP(-LN(2)/2))/(LN(2)/2)*BL101*BO101*VLOOKUP('Données projet'!$B$11,Paramètres!$A$1:$I$89,3,0)*0.475*44/12</f>
        <v>1.7022409574785327E-10</v>
      </c>
      <c r="BS101" s="24">
        <f t="shared" si="63"/>
        <v>4.9913176983902536</v>
      </c>
      <c r="BT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4.9000000000000004</v>
      </c>
      <c r="BY101" s="13">
        <f>IF('Données projet'!$A$114&gt;35,BY100+BX101-CG100,IF(A101&lt;'Données projet'!$A$114,$BV$205^A101,IF(A101='Données projet'!$A$114,'Données projet'!$B$114,BY100+BX101-CG100)))</f>
        <v>293.19999999999987</v>
      </c>
      <c r="BZ101" s="14">
        <f>BY101*VLOOKUP('Données projet'!$B$12,Paramètres!$A$1:$I$89,3,0)*VLOOKUP('Données projet'!$B$12,Paramètres!$A$1:$I$89,5,0)</f>
        <v>283.58303999999993</v>
      </c>
      <c r="CA101" s="14">
        <f t="shared" si="93"/>
        <v>67.723646968605209</v>
      </c>
      <c r="CB101" s="22">
        <f t="shared" si="64"/>
        <v>611.85914647032064</v>
      </c>
      <c r="CC101" s="60">
        <f t="shared" si="65"/>
        <v>888.69580540495201</v>
      </c>
      <c r="CD101" s="60">
        <f ca="1">AVERAGE(OFFSET($CC$3,0,0,'Données projet'!$E$12+1,1))-AVERAGE(OFFSET($H$3,0,0,'Données projet'!$E$12+1,1))</f>
        <v>496.33873798282525</v>
      </c>
      <c r="CE101" s="60">
        <f t="shared" si="94"/>
        <v>280.25465074992246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4.9000000000000004</v>
      </c>
      <c r="CT101" s="13">
        <f>IF('Données projet'!$A$140&gt;35,CT100+CS101-DB100,IF(A101&lt;'Données projet'!$A$140,$CQ$205^A101,IF(A101='Données projet'!$A$140,'Données projet'!$B$140,CT100+CS101-DB100)))</f>
        <v>293.19999999999987</v>
      </c>
      <c r="CU101" s="18">
        <f>CT101*VLOOKUP('Données projet'!$B$13,Paramètres!$A$1:$I$89,3,0)*VLOOKUP('Données projet'!$B$13,Paramètres!$A$1:$I$89,5,0)</f>
        <v>315.60047999999989</v>
      </c>
      <c r="CV101" s="14">
        <f t="shared" si="95"/>
        <v>74.437211717310802</v>
      </c>
      <c r="CW101" s="22">
        <f t="shared" si="67"/>
        <v>679.31564640764952</v>
      </c>
      <c r="CX101" s="60">
        <f t="shared" si="68"/>
        <v>956.1523053422809</v>
      </c>
      <c r="CY101" s="60">
        <f ca="1">AVERAGE(OFFSET($CX$3,0,0,'Données projet'!$E$13+1,1))-AVERAGE(OFFSET($H$3,0,0,'Données projet'!$E$13+1,1))</f>
        <v>542.90832990875208</v>
      </c>
      <c r="CZ101" s="60">
        <f t="shared" si="96"/>
        <v>304.94365539329362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0" t="e">
        <f t="shared" si="71"/>
        <v>#N/A</v>
      </c>
      <c r="DT101" s="60" t="e">
        <f ca="1">AVERAGE(OFFSET($DS$3,0,0,'Données projet'!$E$14+1,1))-AVERAGE(OFFSET($H$3,0,0,'Données projet'!$E$14+1,1))</f>
        <v>#N/A</v>
      </c>
      <c r="DU101" s="60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0" t="e">
        <f t="shared" si="74"/>
        <v>#N/A</v>
      </c>
      <c r="EO101" s="60" t="e">
        <f ca="1">AVERAGE(OFFSET($EN$3,0,0,'Données projet'!$E$15+1,1))-AVERAGE(OFFSET($H$3,0,0,'Données projet'!$E$15+1,1))</f>
        <v>#N/A</v>
      </c>
      <c r="EP101" s="60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0" t="e">
        <f t="shared" si="77"/>
        <v>#N/A</v>
      </c>
      <c r="FJ101" s="60" t="e">
        <f ca="1">AVERAGE(OFFSET($FI$3,0,0,'Données projet'!$E$16+1,1))-AVERAGE(OFFSET($H$3,0,0,'Données projet'!$E$16+1,1))</f>
        <v>#N/A</v>
      </c>
      <c r="FK101" s="60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0" t="e">
        <f t="shared" si="80"/>
        <v>#N/A</v>
      </c>
      <c r="GE101" s="60" t="e">
        <f ca="1">AVERAGE(OFFSET($GD$3,0,0,'Données projet'!$E$17+1,1))-AVERAGE(OFFSET($H$3,0,0,'Données projet'!$E$17+1,1))</f>
        <v>#N/A</v>
      </c>
      <c r="GF101" s="60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4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>
        <f>VLOOKUP(A102,'Données projet'!$A$35:$I$55,2,0)</f>
        <v>397.8692307692308</v>
      </c>
      <c r="L102" s="13">
        <f>VLOOKUP(A102,'Données projet'!$A$35:$I$55,9,0)</f>
        <v>8.271153846153851</v>
      </c>
      <c r="M102" s="13">
        <f t="array" ref="M102">INDEX(L:L,MIN(IF(ISNUMBER(L102:L298),ROW(L102:L298),"")))</f>
        <v>8.271153846153851</v>
      </c>
      <c r="N102" s="14">
        <f>IF('Données projet'!$A$36&gt;35,N101+M102-V101,IF(A102&lt;'Données projet'!$A$36,$K$205^A102,IF(A102='Données projet'!$A$36,'Données projet'!$B$36,N101+M102-V101)))</f>
        <v>397.86923076923108</v>
      </c>
      <c r="O102" s="14">
        <f>N102*VLOOKUP('Données projet'!$B$9,Paramètres!$A$1:$I$89,3,0)*VLOOKUP('Données projet'!$B$9,Paramètres!$A$1:$I$89,5,0)</f>
        <v>186.20280000000014</v>
      </c>
      <c r="P102" s="14">
        <f t="shared" si="87"/>
        <v>46.699462038644228</v>
      </c>
      <c r="Q102" s="22">
        <f t="shared" si="107"/>
        <v>405.63810638397234</v>
      </c>
      <c r="R102" s="60">
        <f t="shared" si="55"/>
        <v>682.76094573838247</v>
      </c>
      <c r="S102" s="60">
        <f ca="1">AVERAGE(OFFSET($R$3,0,0,'Données projet'!$E$9+1,1))-AVERAGE(OFFSET($H$3,0,0,'Données projet'!$E$9+1,1))</f>
        <v>277.7918215389401</v>
      </c>
      <c r="T102" s="60">
        <f t="shared" si="88"/>
        <v>164.65640238394164</v>
      </c>
      <c r="U102" s="16">
        <f>IF(ISNA(VLOOKUP(A102,'Données projet'!$A$35:$I$55,3,0)),0,VLOOKUP(A102,'Données projet'!$A$35:$I$55,3,0))</f>
        <v>5</v>
      </c>
      <c r="V102" s="16">
        <f>IF(ISNA(VLOOKUP(A102,'Données projet'!$A$35:$I$55,4,0)),0,VLOOKUP(A102,'Données projet'!$A$35:$I$55,4,0))</f>
        <v>198.32307692307691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4.9000000000000004</v>
      </c>
      <c r="AI102" s="14">
        <f>IF('Données projet'!$A$62&gt;35,AI101+AH102-AQ101,IF(A102&lt;'Données projet'!$A$62,$AF$205^A102,IF(A102='Données projet'!$A$62,'Données projet'!$B$62,AI101+AH102-AQ101)))</f>
        <v>298.09999999999985</v>
      </c>
      <c r="AJ102" s="14">
        <f>AI102*VLOOKUP('Données projet'!$B$10,Paramètres!$A$1:$I$89,3,0)*VLOOKUP('Données projet'!$B$10,Paramètres!$A$1:$I$89,5,0)</f>
        <v>269.72087999999985</v>
      </c>
      <c r="AK102" s="14">
        <f t="shared" si="89"/>
        <v>64.790029413946939</v>
      </c>
      <c r="AL102" s="22">
        <f t="shared" si="58"/>
        <v>582.60650056262409</v>
      </c>
      <c r="AM102" s="60">
        <f t="shared" si="59"/>
        <v>859.72933991703417</v>
      </c>
      <c r="AN102" s="60">
        <f ca="1">AVERAGE(OFFSET($AM$3,0,0,'Données projet'!$E$10+1,1))-AVERAGE(OFFSET($H$3,0,0,'Données projet'!$E$10+1,1))</f>
        <v>469.67944008675863</v>
      </c>
      <c r="AO102" s="60">
        <f t="shared" si="90"/>
        <v>266.11908070867173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0" t="e">
        <f t="shared" si="62"/>
        <v>#NUM!</v>
      </c>
      <c r="BI102" s="60">
        <f ca="1">AVERAGE(OFFSET($BH$3,0,0,'Données projet'!$E$11+1,1))-AVERAGE(OFFSET($H$3,0,0,'Données projet'!$E$11+1,1))</f>
        <v>216.36762889365235</v>
      </c>
      <c r="BJ102" s="60">
        <f t="shared" si="92"/>
        <v>333.29599352215496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3.4427462134755467</v>
      </c>
      <c r="BQ102" s="23">
        <f>EXP(-LN(2)/25)*BQ101+(1-EXP(-LN(2)/25))/(LN(2)/25)*Calculateur!BL102*Calculateur!BN102*VLOOKUP('Données projet'!$B$11,Paramètres!$A$1:$I$89,3,0)*0.475*44/12</f>
        <v>1.4392482439993861</v>
      </c>
      <c r="BR102" s="23">
        <f>EXP(-LN(2)/2)*BR101+(1-EXP(-LN(2)/2))/(LN(2)/2)*BL102*BO102*VLOOKUP('Données projet'!$B$11,Paramètres!$A$1:$I$89,3,0)*0.475*44/12</f>
        <v>1.2036661242465519E-10</v>
      </c>
      <c r="BS102" s="24">
        <f t="shared" si="63"/>
        <v>4.8819944575953</v>
      </c>
      <c r="BT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4.9000000000000004</v>
      </c>
      <c r="BY102" s="13">
        <f>IF('Données projet'!$A$114&gt;35,BY101+BX102-CG101,IF(A102&lt;'Données projet'!$A$114,$BV$205^A102,IF(A102='Données projet'!$A$114,'Données projet'!$B$114,BY101+BX102-CG101)))</f>
        <v>298.09999999999985</v>
      </c>
      <c r="BZ102" s="14">
        <f>BY102*VLOOKUP('Données projet'!$B$12,Paramètres!$A$1:$I$89,3,0)*VLOOKUP('Données projet'!$B$12,Paramètres!$A$1:$I$89,5,0)</f>
        <v>288.32231999999988</v>
      </c>
      <c r="CA102" s="14">
        <f t="shared" si="93"/>
        <v>68.722745094590621</v>
      </c>
      <c r="CB102" s="22">
        <f t="shared" si="64"/>
        <v>621.85348837307845</v>
      </c>
      <c r="CC102" s="60">
        <f t="shared" si="65"/>
        <v>898.97632772748852</v>
      </c>
      <c r="CD102" s="60">
        <f ca="1">AVERAGE(OFFSET($CC$3,0,0,'Données projet'!$E$12+1,1))-AVERAGE(OFFSET($H$3,0,0,'Données projet'!$E$12+1,1))</f>
        <v>496.33873798282525</v>
      </c>
      <c r="CE102" s="60">
        <f t="shared" si="94"/>
        <v>280.25465074992246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4.9000000000000004</v>
      </c>
      <c r="CT102" s="13">
        <f>IF('Données projet'!$A$140&gt;35,CT101+CS102-DB101,IF(A102&lt;'Données projet'!$A$140,$CQ$205^A102,IF(A102='Données projet'!$A$140,'Données projet'!$B$140,CT101+CS102-DB101)))</f>
        <v>298.09999999999985</v>
      </c>
      <c r="CU102" s="18">
        <f>CT102*VLOOKUP('Données projet'!$B$13,Paramètres!$A$1:$I$89,3,0)*VLOOKUP('Données projet'!$B$13,Paramètres!$A$1:$I$89,5,0)</f>
        <v>320.87483999999984</v>
      </c>
      <c r="CV102" s="14">
        <f t="shared" si="95"/>
        <v>75.535352205297585</v>
      </c>
      <c r="CW102" s="22">
        <f t="shared" si="67"/>
        <v>690.41441809089304</v>
      </c>
      <c r="CX102" s="60">
        <f t="shared" si="68"/>
        <v>967.53725744530311</v>
      </c>
      <c r="CY102" s="60">
        <f ca="1">AVERAGE(OFFSET($CX$3,0,0,'Données projet'!$E$13+1,1))-AVERAGE(OFFSET($H$3,0,0,'Données projet'!$E$13+1,1))</f>
        <v>542.90832990875208</v>
      </c>
      <c r="CZ102" s="60">
        <f t="shared" si="96"/>
        <v>304.94365539329362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0" t="e">
        <f t="shared" si="71"/>
        <v>#N/A</v>
      </c>
      <c r="DT102" s="60" t="e">
        <f ca="1">AVERAGE(OFFSET($DS$3,0,0,'Données projet'!$E$14+1,1))-AVERAGE(OFFSET($H$3,0,0,'Données projet'!$E$14+1,1))</f>
        <v>#N/A</v>
      </c>
      <c r="DU102" s="60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0" t="e">
        <f t="shared" si="74"/>
        <v>#N/A</v>
      </c>
      <c r="EO102" s="60" t="e">
        <f ca="1">AVERAGE(OFFSET($EN$3,0,0,'Données projet'!$E$15+1,1))-AVERAGE(OFFSET($H$3,0,0,'Données projet'!$E$15+1,1))</f>
        <v>#N/A</v>
      </c>
      <c r="EP102" s="60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0" t="e">
        <f t="shared" si="77"/>
        <v>#N/A</v>
      </c>
      <c r="FJ102" s="60" t="e">
        <f ca="1">AVERAGE(OFFSET($FI$3,0,0,'Données projet'!$E$16+1,1))-AVERAGE(OFFSET($H$3,0,0,'Données projet'!$E$16+1,1))</f>
        <v>#N/A</v>
      </c>
      <c r="FK102" s="60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0" t="e">
        <f t="shared" si="80"/>
        <v>#N/A</v>
      </c>
      <c r="GE102" s="60" t="e">
        <f ca="1">AVERAGE(OFFSET($GD$3,0,0,'Données projet'!$E$17+1,1))-AVERAGE(OFFSET($H$3,0,0,'Données projet'!$E$17+1,1))</f>
        <v>#N/A</v>
      </c>
      <c r="GF102" s="60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4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207.28461538461539</v>
      </c>
      <c r="L103" s="13">
        <f>VLOOKUP(A103,'Données projet'!$A$35:$I$55,9,0)</f>
        <v>7.7384615384615074</v>
      </c>
      <c r="M103" s="13">
        <f t="array" ref="M103">INDEX(L:L,MIN(IF(ISNUMBER(L103:L299),ROW(L103:L299),"")))</f>
        <v>7.7384615384615074</v>
      </c>
      <c r="N103" s="14">
        <f>IF('Données projet'!$A$36&gt;35,N102+M103-V102,IF(A103&lt;'Données projet'!$A$36,$K$205^A103,IF(A103='Données projet'!$A$36,'Données projet'!$B$36,N102+M103-V102)))</f>
        <v>207.28461538461565</v>
      </c>
      <c r="O103" s="14">
        <f>N103*VLOOKUP('Données projet'!$B$9,Paramètres!$A$1:$I$89,3,0)*VLOOKUP('Données projet'!$B$9,Paramètres!$A$1:$I$89,5,0)</f>
        <v>97.009200000000135</v>
      </c>
      <c r="P103" s="14">
        <f t="shared" si="87"/>
        <v>26.248226424980707</v>
      </c>
      <c r="Q103" s="22">
        <f t="shared" si="107"/>
        <v>214.6733510235083</v>
      </c>
      <c r="R103" s="60">
        <f t="shared" si="55"/>
        <v>492.07740620721751</v>
      </c>
      <c r="S103" s="60">
        <f ca="1">AVERAGE(OFFSET($R$3,0,0,'Données projet'!$E$9+1,1))-AVERAGE(OFFSET($H$3,0,0,'Données projet'!$E$9+1,1))</f>
        <v>277.7918215389401</v>
      </c>
      <c r="T103" s="60">
        <f t="shared" si="88"/>
        <v>164.65640238394164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303</v>
      </c>
      <c r="AG103" s="13">
        <f>VLOOKUP(A103,'Données projet'!$A$61:$I$81,9,0)</f>
        <v>4.9000000000000004</v>
      </c>
      <c r="AH103" s="13">
        <f t="array" ref="AH103">INDEX(AG:AG,MIN(IF(ISNUMBER(AG103:AG299),ROW(AG103:AG299),"")))</f>
        <v>4.9000000000000004</v>
      </c>
      <c r="AI103" s="14">
        <f>IF('Données projet'!$A$62&gt;35,AI102+AH103-AQ102,IF(A103&lt;'Données projet'!$A$62,$AF$205^A103,IF(A103='Données projet'!$A$62,'Données projet'!$B$62,AI102+AH103-AQ102)))</f>
        <v>302.99999999999983</v>
      </c>
      <c r="AJ103" s="14">
        <f>AI103*VLOOKUP('Données projet'!$B$10,Paramètres!$A$1:$I$89,3,0)*VLOOKUP('Données projet'!$B$10,Paramètres!$A$1:$I$89,5,0)</f>
        <v>274.15439999999984</v>
      </c>
      <c r="AK103" s="14">
        <f t="shared" si="89"/>
        <v>65.730152764515779</v>
      </c>
      <c r="AL103" s="22">
        <f t="shared" si="58"/>
        <v>591.9655960648646</v>
      </c>
      <c r="AM103" s="60">
        <f t="shared" si="59"/>
        <v>869.36965124857375</v>
      </c>
      <c r="AN103" s="60">
        <f ca="1">AVERAGE(OFFSET($AM$3,0,0,'Données projet'!$E$10+1,1))-AVERAGE(OFFSET($H$3,0,0,'Données projet'!$E$10+1,1))</f>
        <v>469.67944008675863</v>
      </c>
      <c r="AO103" s="60">
        <f t="shared" si="90"/>
        <v>266.11908070867173</v>
      </c>
      <c r="AP103" s="16">
        <f>IF(ISNA(VLOOKUP(A103,'Données projet'!$A$61:$I$81,3,0)),0,VLOOKUP(A103,'Données projet'!$A$61:$I$81,3,0))</f>
        <v>8</v>
      </c>
      <c r="AQ103" s="16">
        <f>IF(ISNA(VLOOKUP(A103,'Données projet'!$A$61:$I$81,4,0)),0,VLOOKUP(A103,'Données projet'!$A$61:$I$81,4,0))</f>
        <v>42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0" t="e">
        <f t="shared" si="62"/>
        <v>#NUM!</v>
      </c>
      <c r="BI103" s="60">
        <f ca="1">AVERAGE(OFFSET($BH$3,0,0,'Données projet'!$E$11+1,1))-AVERAGE(OFFSET($H$3,0,0,'Données projet'!$E$11+1,1))</f>
        <v>216.36762889365235</v>
      </c>
      <c r="BJ103" s="60">
        <f t="shared" si="92"/>
        <v>333.29599352215496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3.3752360600971367</v>
      </c>
      <c r="BQ103" s="23">
        <f>EXP(-LN(2)/25)*BQ102+(1-EXP(-LN(2)/25))/(LN(2)/25)*Calculateur!BL103*Calculateur!BN103*VLOOKUP('Données projet'!$B$11,Paramètres!$A$1:$I$89,3,0)*0.475*44/12</f>
        <v>1.3998919250804471</v>
      </c>
      <c r="BR103" s="23">
        <f>EXP(-LN(2)/2)*BR102+(1-EXP(-LN(2)/2))/(LN(2)/2)*BL103*BO103*VLOOKUP('Données projet'!$B$11,Paramètres!$A$1:$I$89,3,0)*0.475*44/12</f>
        <v>8.5112047873926634E-11</v>
      </c>
      <c r="BS103" s="24">
        <f t="shared" si="63"/>
        <v>4.7751279852626958</v>
      </c>
      <c r="BT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303</v>
      </c>
      <c r="BW103" s="13">
        <f>VLOOKUP(A103,'Données projet'!$A$113:$I$133,9,0)</f>
        <v>4.9000000000000004</v>
      </c>
      <c r="BX103" s="13">
        <f t="array" ref="BX103">INDEX(BW:BW,MIN(IF(ISNUMBER(BW103:BW299),ROW(BW103:BW299),"")))</f>
        <v>4.9000000000000004</v>
      </c>
      <c r="BY103" s="13">
        <f>IF('Données projet'!$A$114&gt;35,BY102+BX103-CG102,IF(A103&lt;'Données projet'!$A$114,$BV$205^A103,IF(A103='Données projet'!$A$114,'Données projet'!$B$114,BY102+BX103-CG102)))</f>
        <v>302.99999999999983</v>
      </c>
      <c r="BZ103" s="14">
        <f>BY103*VLOOKUP('Données projet'!$B$12,Paramètres!$A$1:$I$89,3,0)*VLOOKUP('Données projet'!$B$12,Paramètres!$A$1:$I$89,5,0)</f>
        <v>293.06159999999983</v>
      </c>
      <c r="CA103" s="14">
        <f t="shared" si="93"/>
        <v>69.719933365116546</v>
      </c>
      <c r="CB103" s="22">
        <f t="shared" si="64"/>
        <v>631.84450394424437</v>
      </c>
      <c r="CC103" s="60">
        <f t="shared" si="65"/>
        <v>909.24855912795351</v>
      </c>
      <c r="CD103" s="60">
        <f ca="1">AVERAGE(OFFSET($CC$3,0,0,'Données projet'!$E$12+1,1))-AVERAGE(OFFSET($H$3,0,0,'Données projet'!$E$12+1,1))</f>
        <v>496.33873798282525</v>
      </c>
      <c r="CE103" s="60">
        <f t="shared" si="94"/>
        <v>280.25465074992246</v>
      </c>
      <c r="CF103" s="16">
        <f>IF(ISNA(VLOOKUP(A103,'Données projet'!$A$113:$I$133,3,0)),0,VLOOKUP(A103,'Données projet'!$A$113:$I$133,3,0))</f>
        <v>8</v>
      </c>
      <c r="CG103" s="16">
        <f>IF(ISNA(VLOOKUP(A103,'Données projet'!$A$113:$I$133,4,0)),0,VLOOKUP(A103,'Données projet'!$A$113:$I$133,4,0))</f>
        <v>42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303</v>
      </c>
      <c r="CR103" s="13">
        <f>VLOOKUP(A103,'Données projet'!$A$139:$I$159,9,0)</f>
        <v>4.9000000000000004</v>
      </c>
      <c r="CS103" s="13">
        <f t="array" ref="CS103">INDEX(CR:CR,MIN(IF(ISNUMBER(CR103:CR299),ROW(CR103:CR299),"")))</f>
        <v>4.9000000000000004</v>
      </c>
      <c r="CT103" s="13">
        <f>IF('Données projet'!$A$140&gt;35,CT102+CS103-DB102,IF(A103&lt;'Données projet'!$A$140,$CQ$205^A103,IF(A103='Données projet'!$A$140,'Données projet'!$B$140,CT102+CS103-DB102)))</f>
        <v>302.99999999999983</v>
      </c>
      <c r="CU103" s="18">
        <f>CT103*VLOOKUP('Données projet'!$B$13,Paramètres!$A$1:$I$89,3,0)*VLOOKUP('Données projet'!$B$13,Paramètres!$A$1:$I$89,5,0)</f>
        <v>326.14919999999984</v>
      </c>
      <c r="CV103" s="14">
        <f t="shared" si="95"/>
        <v>76.631393510479555</v>
      </c>
      <c r="CW103" s="22">
        <f t="shared" si="67"/>
        <v>701.50953369741819</v>
      </c>
      <c r="CX103" s="60">
        <f t="shared" si="68"/>
        <v>978.91358888112745</v>
      </c>
      <c r="CY103" s="60">
        <f ca="1">AVERAGE(OFFSET($CX$3,0,0,'Données projet'!$E$13+1,1))-AVERAGE(OFFSET($H$3,0,0,'Données projet'!$E$13+1,1))</f>
        <v>542.90832990875208</v>
      </c>
      <c r="CZ103" s="60">
        <f t="shared" si="96"/>
        <v>304.94365539329362</v>
      </c>
      <c r="DA103" s="16">
        <f>IF(ISNA(VLOOKUP(A103,'Données projet'!$A$139:$I$159,3,0)),0,VLOOKUP(A103,'Données projet'!$A$139:$I$159,3,0))</f>
        <v>8</v>
      </c>
      <c r="DB103" s="16">
        <f>IF(ISNA(VLOOKUP(A103,'Données projet'!$A$139:$I$159,4,0)),0,VLOOKUP(A103,'Données projet'!$A$139:$I$159,4,0))</f>
        <v>42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0" t="e">
        <f t="shared" si="71"/>
        <v>#N/A</v>
      </c>
      <c r="DT103" s="60" t="e">
        <f ca="1">AVERAGE(OFFSET($DS$3,0,0,'Données projet'!$E$14+1,1))-AVERAGE(OFFSET($H$3,0,0,'Données projet'!$E$14+1,1))</f>
        <v>#N/A</v>
      </c>
      <c r="DU103" s="60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0" t="e">
        <f t="shared" si="74"/>
        <v>#N/A</v>
      </c>
      <c r="EO103" s="60" t="e">
        <f ca="1">AVERAGE(OFFSET($EN$3,0,0,'Données projet'!$E$15+1,1))-AVERAGE(OFFSET($H$3,0,0,'Données projet'!$E$15+1,1))</f>
        <v>#N/A</v>
      </c>
      <c r="EP103" s="60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0" t="e">
        <f t="shared" si="77"/>
        <v>#N/A</v>
      </c>
      <c r="FJ103" s="60" t="e">
        <f ca="1">AVERAGE(OFFSET($FI$3,0,0,'Données projet'!$E$16+1,1))-AVERAGE(OFFSET($H$3,0,0,'Données projet'!$E$16+1,1))</f>
        <v>#N/A</v>
      </c>
      <c r="FK103" s="60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0" t="e">
        <f t="shared" si="80"/>
        <v>#N/A</v>
      </c>
      <c r="GE103" s="60" t="e">
        <f ca="1">AVERAGE(OFFSET($GD$3,0,0,'Données projet'!$E$17+1,1))-AVERAGE(OFFSET($H$3,0,0,'Données projet'!$E$17+1,1))</f>
        <v>#N/A</v>
      </c>
      <c r="GF103" s="60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4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5.4230769230769242</v>
      </c>
      <c r="N104" s="14">
        <f>IF('Données projet'!$A$36&gt;35,N103+M104-V103,IF(A104&lt;'Données projet'!$A$36,$K$205^A104,IF(A104='Données projet'!$A$36,'Données projet'!$B$36,N103+M104-V103)))</f>
        <v>212.70769230769258</v>
      </c>
      <c r="O104" s="14">
        <f>N104*VLOOKUP('Données projet'!$B$9,Paramètres!$A$1:$I$89,3,0)*VLOOKUP('Données projet'!$B$9,Paramètres!$A$1:$I$89,5,0)</f>
        <v>99.547200000000117</v>
      </c>
      <c r="P104" s="14">
        <f t="shared" si="87"/>
        <v>26.854095716471431</v>
      </c>
      <c r="Q104" s="22">
        <f t="shared" si="107"/>
        <v>220.1489233728546</v>
      </c>
      <c r="R104" s="60">
        <f t="shared" si="55"/>
        <v>497.829315919929</v>
      </c>
      <c r="S104" s="60">
        <f ca="1">AVERAGE(OFFSET($R$3,0,0,'Données projet'!$E$9+1,1))-AVERAGE(OFFSET($H$3,0,0,'Données projet'!$E$9+1,1))</f>
        <v>277.7918215389401</v>
      </c>
      <c r="T104" s="60">
        <f t="shared" si="88"/>
        <v>164.65640238394164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265.39999999999981</v>
      </c>
      <c r="AJ104" s="14">
        <f>AI104*VLOOKUP('Données projet'!$B$10,Paramètres!$A$1:$I$89,3,0)*VLOOKUP('Données projet'!$B$10,Paramètres!$A$1:$I$89,5,0)</f>
        <v>240.13391999999982</v>
      </c>
      <c r="AK104" s="14">
        <f t="shared" si="89"/>
        <v>58.468343087048559</v>
      </c>
      <c r="AL104" s="22">
        <f t="shared" si="58"/>
        <v>520.06560820994252</v>
      </c>
      <c r="AM104" s="60">
        <f t="shared" si="59"/>
        <v>797.74600075701687</v>
      </c>
      <c r="AN104" s="60">
        <f ca="1">AVERAGE(OFFSET($AM$3,0,0,'Données projet'!$E$10+1,1))-AVERAGE(OFFSET($H$3,0,0,'Données projet'!$E$10+1,1))</f>
        <v>469.67944008675863</v>
      </c>
      <c r="AO104" s="60">
        <f t="shared" si="90"/>
        <v>266.11908070867173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0" t="e">
        <f t="shared" si="62"/>
        <v>#NUM!</v>
      </c>
      <c r="BI104" s="60">
        <f ca="1">AVERAGE(OFFSET($BH$3,0,0,'Données projet'!$E$11+1,1))-AVERAGE(OFFSET($H$3,0,0,'Données projet'!$E$11+1,1))</f>
        <v>216.36762889365235</v>
      </c>
      <c r="BJ104" s="60">
        <f t="shared" si="92"/>
        <v>333.29599352215496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3.3090497396493497</v>
      </c>
      <c r="BQ104" s="23">
        <f>EXP(-LN(2)/25)*BQ103+(1-EXP(-LN(2)/25))/(LN(2)/25)*Calculateur!BL104*Calculateur!BN104*VLOOKUP('Données projet'!$B$11,Paramètres!$A$1:$I$89,3,0)*0.475*44/12</f>
        <v>1.3616118067720056</v>
      </c>
      <c r="BR104" s="23">
        <f>EXP(-LN(2)/2)*BR103+(1-EXP(-LN(2)/2))/(LN(2)/2)*BL104*BO104*VLOOKUP('Données projet'!$B$11,Paramètres!$A$1:$I$89,3,0)*0.475*44/12</f>
        <v>6.0183306212327597E-11</v>
      </c>
      <c r="BS104" s="24">
        <f t="shared" si="63"/>
        <v>4.6706615464815382</v>
      </c>
      <c r="BT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4.4000000000000004</v>
      </c>
      <c r="BY104" s="13">
        <f>IF('Données projet'!$A$114&gt;35,BY103+BX104-CG103,IF(A104&lt;'Données projet'!$A$114,$BV$205^A104,IF(A104='Données projet'!$A$114,'Données projet'!$B$114,BY103+BX104-CG103)))</f>
        <v>265.39999999999981</v>
      </c>
      <c r="BZ104" s="14">
        <f>BY104*VLOOKUP('Données projet'!$B$12,Paramètres!$A$1:$I$89,3,0)*VLOOKUP('Données projet'!$B$12,Paramètres!$A$1:$I$89,5,0)</f>
        <v>256.69487999999984</v>
      </c>
      <c r="CA104" s="14">
        <f t="shared" si="93"/>
        <v>62.017336223177502</v>
      </c>
      <c r="CB104" s="22">
        <f t="shared" si="64"/>
        <v>555.09044325536718</v>
      </c>
      <c r="CC104" s="60">
        <f t="shared" si="65"/>
        <v>832.77083580244152</v>
      </c>
      <c r="CD104" s="60">
        <f ca="1">AVERAGE(OFFSET($CC$3,0,0,'Données projet'!$E$12+1,1))-AVERAGE(OFFSET($H$3,0,0,'Données projet'!$E$12+1,1))</f>
        <v>496.33873798282525</v>
      </c>
      <c r="CE104" s="60">
        <f t="shared" si="94"/>
        <v>280.25465074992246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4.4000000000000004</v>
      </c>
      <c r="CT104" s="13">
        <f>IF('Données projet'!$A$140&gt;35,CT103+CS104-DB103,IF(A104&lt;'Données projet'!$A$140,$CQ$205^A104,IF(A104='Données projet'!$A$140,'Données projet'!$B$140,CT103+CS104-DB103)))</f>
        <v>265.39999999999981</v>
      </c>
      <c r="CU104" s="18">
        <f>CT104*VLOOKUP('Données projet'!$B$13,Paramètres!$A$1:$I$89,3,0)*VLOOKUP('Données projet'!$B$13,Paramètres!$A$1:$I$89,5,0)</f>
        <v>285.67655999999977</v>
      </c>
      <c r="CV104" s="14">
        <f t="shared" si="95"/>
        <v>68.165224308258956</v>
      </c>
      <c r="CW104" s="22">
        <f t="shared" si="67"/>
        <v>616.27444100355058</v>
      </c>
      <c r="CX104" s="60">
        <f t="shared" si="68"/>
        <v>893.95483355062493</v>
      </c>
      <c r="CY104" s="60">
        <f ca="1">AVERAGE(OFFSET($CX$3,0,0,'Données projet'!$E$13+1,1))-AVERAGE(OFFSET($H$3,0,0,'Données projet'!$E$13+1,1))</f>
        <v>542.90832990875208</v>
      </c>
      <c r="CZ104" s="60">
        <f t="shared" si="96"/>
        <v>304.94365539329362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0" t="e">
        <f t="shared" si="71"/>
        <v>#N/A</v>
      </c>
      <c r="DT104" s="60" t="e">
        <f ca="1">AVERAGE(OFFSET($DS$3,0,0,'Données projet'!$E$14+1,1))-AVERAGE(OFFSET($H$3,0,0,'Données projet'!$E$14+1,1))</f>
        <v>#N/A</v>
      </c>
      <c r="DU104" s="60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0" t="e">
        <f t="shared" si="74"/>
        <v>#N/A</v>
      </c>
      <c r="EO104" s="60" t="e">
        <f ca="1">AVERAGE(OFFSET($EN$3,0,0,'Données projet'!$E$15+1,1))-AVERAGE(OFFSET($H$3,0,0,'Données projet'!$E$15+1,1))</f>
        <v>#N/A</v>
      </c>
      <c r="EP104" s="60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0" t="e">
        <f t="shared" si="77"/>
        <v>#N/A</v>
      </c>
      <c r="FJ104" s="60" t="e">
        <f ca="1">AVERAGE(OFFSET($FI$3,0,0,'Données projet'!$E$16+1,1))-AVERAGE(OFFSET($H$3,0,0,'Données projet'!$E$16+1,1))</f>
        <v>#N/A</v>
      </c>
      <c r="FK104" s="60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0" t="e">
        <f t="shared" si="80"/>
        <v>#N/A</v>
      </c>
      <c r="GE104" s="60" t="e">
        <f ca="1">AVERAGE(OFFSET($GD$3,0,0,'Données projet'!$E$17+1,1))-AVERAGE(OFFSET($H$3,0,0,'Données projet'!$E$17+1,1))</f>
        <v>#N/A</v>
      </c>
      <c r="GF104" s="60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4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5.4230769230769242</v>
      </c>
      <c r="N105" s="14">
        <f>IF('Données projet'!$A$36&gt;35,N104+M105-V104,IF(A105&lt;'Données projet'!$A$36,$K$205^A105,IF(A105='Données projet'!$A$36,'Données projet'!$B$36,N104+M105-V104)))</f>
        <v>218.13076923076952</v>
      </c>
      <c r="O105" s="14">
        <f>N105*VLOOKUP('Données projet'!$B$9,Paramètres!$A$1:$I$89,3,0)*VLOOKUP('Données projet'!$B$9,Paramètres!$A$1:$I$89,5,0)</f>
        <v>102.08520000000013</v>
      </c>
      <c r="P105" s="14">
        <f t="shared" si="87"/>
        <v>27.458169447833885</v>
      </c>
      <c r="Q105" s="22">
        <f t="shared" si="107"/>
        <v>225.62136845497756</v>
      </c>
      <c r="R105" s="60">
        <f t="shared" si="55"/>
        <v>503.57330452996052</v>
      </c>
      <c r="S105" s="60">
        <f ca="1">AVERAGE(OFFSET($R$3,0,0,'Données projet'!$E$9+1,1))-AVERAGE(OFFSET($H$3,0,0,'Données projet'!$E$9+1,1))</f>
        <v>277.7918215389401</v>
      </c>
      <c r="T105" s="60">
        <f t="shared" si="88"/>
        <v>164.65640238394164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269.79999999999978</v>
      </c>
      <c r="AJ105" s="14">
        <f>AI105*VLOOKUP('Données projet'!$B$10,Paramètres!$A$1:$I$89,3,0)*VLOOKUP('Données projet'!$B$10,Paramètres!$A$1:$I$89,5,0)</f>
        <v>244.11503999999979</v>
      </c>
      <c r="AK105" s="14">
        <f t="shared" si="89"/>
        <v>59.324023461759012</v>
      </c>
      <c r="AL105" s="22">
        <f t="shared" si="58"/>
        <v>528.48970219589648</v>
      </c>
      <c r="AM105" s="60">
        <f t="shared" si="59"/>
        <v>806.44163827087937</v>
      </c>
      <c r="AN105" s="60">
        <f ca="1">AVERAGE(OFFSET($AM$3,0,0,'Données projet'!$E$10+1,1))-AVERAGE(OFFSET($H$3,0,0,'Données projet'!$E$10+1,1))</f>
        <v>469.67944008675863</v>
      </c>
      <c r="AO105" s="60">
        <f t="shared" si="90"/>
        <v>266.11908070867173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0" t="e">
        <f t="shared" si="62"/>
        <v>#NUM!</v>
      </c>
      <c r="BI105" s="60">
        <f ca="1">AVERAGE(OFFSET($BH$3,0,0,'Données projet'!$E$11+1,1))-AVERAGE(OFFSET($H$3,0,0,'Données projet'!$E$11+1,1))</f>
        <v>216.36762889365235</v>
      </c>
      <c r="BJ105" s="60">
        <f t="shared" si="92"/>
        <v>333.29599352215496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3.2441612925758743</v>
      </c>
      <c r="BQ105" s="23">
        <f>EXP(-LN(2)/25)*BQ104+(1-EXP(-LN(2)/25))/(LN(2)/25)*Calculateur!BL105*Calculateur!BN105*VLOOKUP('Données projet'!$B$11,Paramètres!$A$1:$I$89,3,0)*0.475*44/12</f>
        <v>1.3243784603117721</v>
      </c>
      <c r="BR105" s="23">
        <f>EXP(-LN(2)/2)*BR104+(1-EXP(-LN(2)/2))/(LN(2)/2)*BL105*BO105*VLOOKUP('Données projet'!$B$11,Paramètres!$A$1:$I$89,3,0)*0.475*44/12</f>
        <v>4.2556023936963317E-11</v>
      </c>
      <c r="BS105" s="24">
        <f t="shared" si="63"/>
        <v>4.568539752930203</v>
      </c>
      <c r="BT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4.4000000000000004</v>
      </c>
      <c r="BY105" s="13">
        <f>IF('Données projet'!$A$114&gt;35,BY104+BX105-CG104,IF(A105&lt;'Données projet'!$A$114,$BV$205^A105,IF(A105='Données projet'!$A$114,'Données projet'!$B$114,BY104+BX105-CG104)))</f>
        <v>269.79999999999978</v>
      </c>
      <c r="BZ105" s="14">
        <f>BY105*VLOOKUP('Données projet'!$B$12,Paramètres!$A$1:$I$89,3,0)*VLOOKUP('Données projet'!$B$12,Paramètres!$A$1:$I$89,5,0)</f>
        <v>260.95055999999983</v>
      </c>
      <c r="CA105" s="14">
        <f t="shared" si="93"/>
        <v>62.924955880176938</v>
      </c>
      <c r="CB105" s="22">
        <f t="shared" si="64"/>
        <v>564.08319015797451</v>
      </c>
      <c r="CC105" s="60">
        <f t="shared" si="65"/>
        <v>842.03512623295751</v>
      </c>
      <c r="CD105" s="60">
        <f ca="1">AVERAGE(OFFSET($CC$3,0,0,'Données projet'!$E$12+1,1))-AVERAGE(OFFSET($H$3,0,0,'Données projet'!$E$12+1,1))</f>
        <v>496.33873798282525</v>
      </c>
      <c r="CE105" s="60">
        <f t="shared" si="94"/>
        <v>280.25465074992246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4.4000000000000004</v>
      </c>
      <c r="CT105" s="13">
        <f>IF('Données projet'!$A$140&gt;35,CT104+CS105-DB104,IF(A105&lt;'Données projet'!$A$140,$CQ$205^A105,IF(A105='Données projet'!$A$140,'Données projet'!$B$140,CT104+CS105-DB104)))</f>
        <v>269.79999999999978</v>
      </c>
      <c r="CU105" s="18">
        <f>CT105*VLOOKUP('Données projet'!$B$13,Paramètres!$A$1:$I$89,3,0)*VLOOKUP('Données projet'!$B$13,Paramètres!$A$1:$I$89,5,0)</f>
        <v>290.41271999999975</v>
      </c>
      <c r="CV105" s="14">
        <f t="shared" si="95"/>
        <v>69.162817905044719</v>
      </c>
      <c r="CW105" s="22">
        <f t="shared" si="67"/>
        <v>626.26072851795254</v>
      </c>
      <c r="CX105" s="60">
        <f t="shared" si="68"/>
        <v>904.21266459293543</v>
      </c>
      <c r="CY105" s="60">
        <f ca="1">AVERAGE(OFFSET($CX$3,0,0,'Données projet'!$E$13+1,1))-AVERAGE(OFFSET($H$3,0,0,'Données projet'!$E$13+1,1))</f>
        <v>542.90832990875208</v>
      </c>
      <c r="CZ105" s="60">
        <f t="shared" si="96"/>
        <v>304.94365539329362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0" t="e">
        <f t="shared" si="71"/>
        <v>#N/A</v>
      </c>
      <c r="DT105" s="60" t="e">
        <f ca="1">AVERAGE(OFFSET($DS$3,0,0,'Données projet'!$E$14+1,1))-AVERAGE(OFFSET($H$3,0,0,'Données projet'!$E$14+1,1))</f>
        <v>#N/A</v>
      </c>
      <c r="DU105" s="60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0" t="e">
        <f t="shared" si="74"/>
        <v>#N/A</v>
      </c>
      <c r="EO105" s="60" t="e">
        <f ca="1">AVERAGE(OFFSET($EN$3,0,0,'Données projet'!$E$15+1,1))-AVERAGE(OFFSET($H$3,0,0,'Données projet'!$E$15+1,1))</f>
        <v>#N/A</v>
      </c>
      <c r="EP105" s="60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0" t="e">
        <f t="shared" si="77"/>
        <v>#N/A</v>
      </c>
      <c r="FJ105" s="60" t="e">
        <f ca="1">AVERAGE(OFFSET($FI$3,0,0,'Données projet'!$E$16+1,1))-AVERAGE(OFFSET($H$3,0,0,'Données projet'!$E$16+1,1))</f>
        <v>#N/A</v>
      </c>
      <c r="FK105" s="60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0" t="e">
        <f t="shared" si="80"/>
        <v>#N/A</v>
      </c>
      <c r="GE105" s="60" t="e">
        <f ca="1">AVERAGE(OFFSET($GD$3,0,0,'Données projet'!$E$17+1,1))-AVERAGE(OFFSET($H$3,0,0,'Données projet'!$E$17+1,1))</f>
        <v>#N/A</v>
      </c>
      <c r="GF105" s="60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4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5.4230769230769242</v>
      </c>
      <c r="N106" s="14">
        <f>IF('Données projet'!$A$36&gt;35,N105+M106-V105,IF(A106&lt;'Données projet'!$A$36,$K$205^A106,IF(A106='Données projet'!$A$36,'Données projet'!$B$36,N105+M106-V105)))</f>
        <v>223.55384615384645</v>
      </c>
      <c r="O106" s="14">
        <f>N106*VLOOKUP('Données projet'!$B$9,Paramètres!$A$1:$I$89,3,0)*VLOOKUP('Données projet'!$B$9,Paramètres!$A$1:$I$89,5,0)</f>
        <v>104.62320000000014</v>
      </c>
      <c r="P106" s="14">
        <f t="shared" si="87"/>
        <v>28.060497394023365</v>
      </c>
      <c r="Q106" s="22">
        <f t="shared" si="107"/>
        <v>231.09077296125758</v>
      </c>
      <c r="R106" s="60">
        <f t="shared" si="55"/>
        <v>509.30954189102027</v>
      </c>
      <c r="S106" s="60">
        <f ca="1">AVERAGE(OFFSET($R$3,0,0,'Données projet'!$E$9+1,1))-AVERAGE(OFFSET($H$3,0,0,'Données projet'!$E$9+1,1))</f>
        <v>277.7918215389401</v>
      </c>
      <c r="T106" s="60">
        <f t="shared" si="88"/>
        <v>164.65640238394164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274.19999999999976</v>
      </c>
      <c r="AJ106" s="14">
        <f>AI106*VLOOKUP('Données projet'!$B$10,Paramètres!$A$1:$I$89,3,0)*VLOOKUP('Données projet'!$B$10,Paramètres!$A$1:$I$89,5,0)</f>
        <v>248.0961599999998</v>
      </c>
      <c r="AK106" s="14">
        <f t="shared" si="89"/>
        <v>60.178080967364686</v>
      </c>
      <c r="AL106" s="22">
        <f t="shared" si="58"/>
        <v>536.91096968482657</v>
      </c>
      <c r="AM106" s="60">
        <f t="shared" si="59"/>
        <v>815.12973861458931</v>
      </c>
      <c r="AN106" s="60">
        <f ca="1">AVERAGE(OFFSET($AM$3,0,0,'Données projet'!$E$10+1,1))-AVERAGE(OFFSET($H$3,0,0,'Données projet'!$E$10+1,1))</f>
        <v>469.67944008675863</v>
      </c>
      <c r="AO106" s="60">
        <f t="shared" si="90"/>
        <v>266.11908070867173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0" t="e">
        <f t="shared" si="62"/>
        <v>#NUM!</v>
      </c>
      <c r="BI106" s="60">
        <f ca="1">AVERAGE(OFFSET($BH$3,0,0,'Données projet'!$E$11+1,1))-AVERAGE(OFFSET($H$3,0,0,'Données projet'!$E$11+1,1))</f>
        <v>216.36762889365235</v>
      </c>
      <c r="BJ106" s="60">
        <f t="shared" si="92"/>
        <v>333.29599352215496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3.180545268371465</v>
      </c>
      <c r="BQ106" s="23">
        <f>EXP(-LN(2)/25)*BQ105+(1-EXP(-LN(2)/25))/(LN(2)/25)*Calculateur!BL106*Calculateur!BN106*VLOOKUP('Données projet'!$B$11,Paramètres!$A$1:$I$89,3,0)*0.475*44/12</f>
        <v>1.2881632616685104</v>
      </c>
      <c r="BR106" s="23">
        <f>EXP(-LN(2)/2)*BR105+(1-EXP(-LN(2)/2))/(LN(2)/2)*BL106*BO106*VLOOKUP('Données projet'!$B$11,Paramètres!$A$1:$I$89,3,0)*0.475*44/12</f>
        <v>3.0091653106163798E-11</v>
      </c>
      <c r="BS106" s="24">
        <f t="shared" si="63"/>
        <v>4.4687085300700673</v>
      </c>
      <c r="BT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4.4000000000000004</v>
      </c>
      <c r="BY106" s="13">
        <f>IF('Données projet'!$A$114&gt;35,BY105+BX106-CG105,IF(A106&lt;'Données projet'!$A$114,$BV$205^A106,IF(A106='Données projet'!$A$114,'Données projet'!$B$114,BY105+BX106-CG105)))</f>
        <v>274.19999999999976</v>
      </c>
      <c r="BZ106" s="14">
        <f>BY106*VLOOKUP('Données projet'!$B$12,Paramètres!$A$1:$I$89,3,0)*VLOOKUP('Données projet'!$B$12,Paramètres!$A$1:$I$89,5,0)</f>
        <v>265.20623999999975</v>
      </c>
      <c r="CA106" s="14">
        <f t="shared" si="93"/>
        <v>63.830854160896386</v>
      </c>
      <c r="CB106" s="22">
        <f t="shared" si="64"/>
        <v>573.07293899689409</v>
      </c>
      <c r="CC106" s="60">
        <f t="shared" si="65"/>
        <v>851.29170792665673</v>
      </c>
      <c r="CD106" s="60">
        <f ca="1">AVERAGE(OFFSET($CC$3,0,0,'Données projet'!$E$12+1,1))-AVERAGE(OFFSET($H$3,0,0,'Données projet'!$E$12+1,1))</f>
        <v>496.33873798282525</v>
      </c>
      <c r="CE106" s="60">
        <f t="shared" si="94"/>
        <v>280.25465074992246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4.4000000000000004</v>
      </c>
      <c r="CT106" s="13">
        <f>IF('Données projet'!$A$140&gt;35,CT105+CS106-DB105,IF(A106&lt;'Données projet'!$A$140,$CQ$205^A106,IF(A106='Données projet'!$A$140,'Données projet'!$B$140,CT105+CS106-DB105)))</f>
        <v>274.19999999999976</v>
      </c>
      <c r="CU106" s="18">
        <f>CT106*VLOOKUP('Données projet'!$B$13,Paramètres!$A$1:$I$89,3,0)*VLOOKUP('Données projet'!$B$13,Paramètres!$A$1:$I$89,5,0)</f>
        <v>295.14887999999974</v>
      </c>
      <c r="CV106" s="14">
        <f t="shared" si="95"/>
        <v>70.158519482479349</v>
      </c>
      <c r="CW106" s="22">
        <f t="shared" si="67"/>
        <v>636.24372076531768</v>
      </c>
      <c r="CX106" s="60">
        <f t="shared" si="68"/>
        <v>914.46248969508042</v>
      </c>
      <c r="CY106" s="60">
        <f ca="1">AVERAGE(OFFSET($CX$3,0,0,'Données projet'!$E$13+1,1))-AVERAGE(OFFSET($H$3,0,0,'Données projet'!$E$13+1,1))</f>
        <v>542.90832990875208</v>
      </c>
      <c r="CZ106" s="60">
        <f t="shared" si="96"/>
        <v>304.94365539329362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0" t="e">
        <f t="shared" si="71"/>
        <v>#N/A</v>
      </c>
      <c r="DT106" s="60" t="e">
        <f ca="1">AVERAGE(OFFSET($DS$3,0,0,'Données projet'!$E$14+1,1))-AVERAGE(OFFSET($H$3,0,0,'Données projet'!$E$14+1,1))</f>
        <v>#N/A</v>
      </c>
      <c r="DU106" s="60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0" t="e">
        <f t="shared" si="74"/>
        <v>#N/A</v>
      </c>
      <c r="EO106" s="60" t="e">
        <f ca="1">AVERAGE(OFFSET($EN$3,0,0,'Données projet'!$E$15+1,1))-AVERAGE(OFFSET($H$3,0,0,'Données projet'!$E$15+1,1))</f>
        <v>#N/A</v>
      </c>
      <c r="EP106" s="60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0" t="e">
        <f t="shared" si="77"/>
        <v>#N/A</v>
      </c>
      <c r="FJ106" s="60" t="e">
        <f ca="1">AVERAGE(OFFSET($FI$3,0,0,'Données projet'!$E$16+1,1))-AVERAGE(OFFSET($H$3,0,0,'Données projet'!$E$16+1,1))</f>
        <v>#N/A</v>
      </c>
      <c r="FK106" s="60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0" t="e">
        <f t="shared" si="80"/>
        <v>#N/A</v>
      </c>
      <c r="GE106" s="60" t="e">
        <f ca="1">AVERAGE(OFFSET($GD$3,0,0,'Données projet'!$E$17+1,1))-AVERAGE(OFFSET($H$3,0,0,'Données projet'!$E$17+1,1))</f>
        <v>#N/A</v>
      </c>
      <c r="GF106" s="60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4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5.4230769230769242</v>
      </c>
      <c r="N107" s="14">
        <f>IF('Données projet'!$A$36&gt;35,N106+M107-V106,IF(A107&lt;'Données projet'!$A$36,$K$205^A107,IF(A107='Données projet'!$A$36,'Données projet'!$B$36,N106+M107-V106)))</f>
        <v>228.97692307692338</v>
      </c>
      <c r="O107" s="14">
        <f>N107*VLOOKUP('Données projet'!$B$9,Paramètres!$A$1:$I$89,3,0)*VLOOKUP('Données projet'!$B$9,Paramètres!$A$1:$I$89,5,0)</f>
        <v>107.16120000000015</v>
      </c>
      <c r="P107" s="14">
        <f t="shared" si="87"/>
        <v>28.661126777366903</v>
      </c>
      <c r="Q107" s="22">
        <f t="shared" si="107"/>
        <v>236.55721913724756</v>
      </c>
      <c r="R107" s="60">
        <f t="shared" si="55"/>
        <v>515.03819196830841</v>
      </c>
      <c r="S107" s="60">
        <f ca="1">AVERAGE(OFFSET($R$3,0,0,'Données projet'!$E$9+1,1))-AVERAGE(OFFSET($H$3,0,0,'Données projet'!$E$9+1,1))</f>
        <v>277.7918215389401</v>
      </c>
      <c r="T107" s="60">
        <f t="shared" si="88"/>
        <v>164.65640238394164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278.59999999999974</v>
      </c>
      <c r="AJ107" s="14">
        <f>AI107*VLOOKUP('Données projet'!$B$10,Paramètres!$A$1:$I$89,3,0)*VLOOKUP('Données projet'!$B$10,Paramètres!$A$1:$I$89,5,0)</f>
        <v>252.07727999999975</v>
      </c>
      <c r="AK107" s="14">
        <f t="shared" si="89"/>
        <v>61.03054465215493</v>
      </c>
      <c r="AL107" s="22">
        <f t="shared" si="58"/>
        <v>545.32946126916943</v>
      </c>
      <c r="AM107" s="60">
        <f t="shared" si="59"/>
        <v>823.8104341002304</v>
      </c>
      <c r="AN107" s="60">
        <f ca="1">AVERAGE(OFFSET($AM$3,0,0,'Données projet'!$E$10+1,1))-AVERAGE(OFFSET($H$3,0,0,'Données projet'!$E$10+1,1))</f>
        <v>469.67944008675863</v>
      </c>
      <c r="AO107" s="60">
        <f t="shared" si="90"/>
        <v>266.11908070867173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0" t="e">
        <f t="shared" si="62"/>
        <v>#NUM!</v>
      </c>
      <c r="BI107" s="60">
        <f ca="1">AVERAGE(OFFSET($BH$3,0,0,'Données projet'!$E$11+1,1))-AVERAGE(OFFSET($H$3,0,0,'Données projet'!$E$11+1,1))</f>
        <v>216.36762889365235</v>
      </c>
      <c r="BJ107" s="60">
        <f t="shared" si="92"/>
        <v>333.29599352215496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3.1181767155997608</v>
      </c>
      <c r="BQ107" s="23">
        <f>EXP(-LN(2)/25)*BQ106+(1-EXP(-LN(2)/25))/(LN(2)/25)*Calculateur!BL107*Calculateur!BN107*VLOOKUP('Données projet'!$B$11,Paramètres!$A$1:$I$89,3,0)*0.475*44/12</f>
        <v>1.2529383695366232</v>
      </c>
      <c r="BR107" s="23">
        <f>EXP(-LN(2)/2)*BR106+(1-EXP(-LN(2)/2))/(LN(2)/2)*BL107*BO107*VLOOKUP('Données projet'!$B$11,Paramètres!$A$1:$I$89,3,0)*0.475*44/12</f>
        <v>2.1278011968481659E-11</v>
      </c>
      <c r="BS107" s="24">
        <f t="shared" si="63"/>
        <v>4.3711150851576619</v>
      </c>
      <c r="BT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4.4000000000000004</v>
      </c>
      <c r="BY107" s="13">
        <f>IF('Données projet'!$A$114&gt;35,BY106+BX107-CG106,IF(A107&lt;'Données projet'!$A$114,$BV$205^A107,IF(A107='Données projet'!$A$114,'Données projet'!$B$114,BY106+BX107-CG106)))</f>
        <v>278.59999999999974</v>
      </c>
      <c r="BZ107" s="14">
        <f>BY107*VLOOKUP('Données projet'!$B$12,Paramètres!$A$1:$I$89,3,0)*VLOOKUP('Données projet'!$B$12,Paramètres!$A$1:$I$89,5,0)</f>
        <v>269.46191999999974</v>
      </c>
      <c r="CA107" s="14">
        <f t="shared" si="93"/>
        <v>64.735061876839055</v>
      </c>
      <c r="CB107" s="22">
        <f t="shared" si="64"/>
        <v>582.05974343549417</v>
      </c>
      <c r="CC107" s="60">
        <f t="shared" si="65"/>
        <v>860.54071626655514</v>
      </c>
      <c r="CD107" s="60">
        <f ca="1">AVERAGE(OFFSET($CC$3,0,0,'Données projet'!$E$12+1,1))-AVERAGE(OFFSET($H$3,0,0,'Données projet'!$E$12+1,1))</f>
        <v>496.33873798282525</v>
      </c>
      <c r="CE107" s="60">
        <f t="shared" si="94"/>
        <v>280.25465074992246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4.4000000000000004</v>
      </c>
      <c r="CT107" s="13">
        <f>IF('Données projet'!$A$140&gt;35,CT106+CS107-DB106,IF(A107&lt;'Données projet'!$A$140,$CQ$205^A107,IF(A107='Données projet'!$A$140,'Données projet'!$B$140,CT106+CS107-DB106)))</f>
        <v>278.59999999999974</v>
      </c>
      <c r="CU107" s="18">
        <f>CT107*VLOOKUP('Données projet'!$B$13,Paramètres!$A$1:$I$89,3,0)*VLOOKUP('Données projet'!$B$13,Paramètres!$A$1:$I$89,5,0)</f>
        <v>299.88503999999972</v>
      </c>
      <c r="CV107" s="14">
        <f t="shared" si="95"/>
        <v>71.152362906464575</v>
      </c>
      <c r="CW107" s="22">
        <f t="shared" si="67"/>
        <v>646.22347672875867</v>
      </c>
      <c r="CX107" s="60">
        <f t="shared" si="68"/>
        <v>924.70444955981952</v>
      </c>
      <c r="CY107" s="60">
        <f ca="1">AVERAGE(OFFSET($CX$3,0,0,'Données projet'!$E$13+1,1))-AVERAGE(OFFSET($H$3,0,0,'Données projet'!$E$13+1,1))</f>
        <v>542.90832990875208</v>
      </c>
      <c r="CZ107" s="60">
        <f t="shared" si="96"/>
        <v>304.94365539329362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0" t="e">
        <f t="shared" si="71"/>
        <v>#N/A</v>
      </c>
      <c r="DT107" s="60" t="e">
        <f ca="1">AVERAGE(OFFSET($DS$3,0,0,'Données projet'!$E$14+1,1))-AVERAGE(OFFSET($H$3,0,0,'Données projet'!$E$14+1,1))</f>
        <v>#N/A</v>
      </c>
      <c r="DU107" s="60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0" t="e">
        <f t="shared" si="74"/>
        <v>#N/A</v>
      </c>
      <c r="EO107" s="60" t="e">
        <f ca="1">AVERAGE(OFFSET($EN$3,0,0,'Données projet'!$E$15+1,1))-AVERAGE(OFFSET($H$3,0,0,'Données projet'!$E$15+1,1))</f>
        <v>#N/A</v>
      </c>
      <c r="EP107" s="60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0" t="e">
        <f t="shared" si="77"/>
        <v>#N/A</v>
      </c>
      <c r="FJ107" s="60" t="e">
        <f ca="1">AVERAGE(OFFSET($FI$3,0,0,'Données projet'!$E$16+1,1))-AVERAGE(OFFSET($H$3,0,0,'Données projet'!$E$16+1,1))</f>
        <v>#N/A</v>
      </c>
      <c r="FK107" s="60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0" t="e">
        <f t="shared" si="80"/>
        <v>#N/A</v>
      </c>
      <c r="GE107" s="60" t="e">
        <f ca="1">AVERAGE(OFFSET($GD$3,0,0,'Données projet'!$E$17+1,1))-AVERAGE(OFFSET($H$3,0,0,'Données projet'!$E$17+1,1))</f>
        <v>#N/A</v>
      </c>
      <c r="GF107" s="60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4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5.4230769230769242</v>
      </c>
      <c r="N108" s="14">
        <f>IF('Données projet'!$A$36&gt;35,N107+M108-V107,IF(A108&lt;'Données projet'!$A$36,$K$205^A108,IF(A108='Données projet'!$A$36,'Données projet'!$B$36,N107+M108-V107)))</f>
        <v>234.40000000000032</v>
      </c>
      <c r="O108" s="14">
        <f>N108*VLOOKUP('Données projet'!$B$9,Paramètres!$A$1:$I$89,3,0)*VLOOKUP('Données projet'!$B$9,Paramètres!$A$1:$I$89,5,0)</f>
        <v>109.69920000000015</v>
      </c>
      <c r="P108" s="14">
        <f t="shared" si="87"/>
        <v>29.260102455780611</v>
      </c>
      <c r="Q108" s="22">
        <f t="shared" si="107"/>
        <v>242.02078511048478</v>
      </c>
      <c r="R108" s="60">
        <f t="shared" si="55"/>
        <v>520.75941319135654</v>
      </c>
      <c r="S108" s="60">
        <f ca="1">AVERAGE(OFFSET($R$3,0,0,'Données projet'!$E$9+1,1))-AVERAGE(OFFSET($H$3,0,0,'Données projet'!$E$9+1,1))</f>
        <v>277.7918215389401</v>
      </c>
      <c r="T108" s="60">
        <f t="shared" si="88"/>
        <v>164.65640238394164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282.99999999999972</v>
      </c>
      <c r="AJ108" s="14">
        <f>AI108*VLOOKUP('Données projet'!$B$10,Paramètres!$A$1:$I$89,3,0)*VLOOKUP('Données projet'!$B$10,Paramètres!$A$1:$I$89,5,0)</f>
        <v>256.05839999999972</v>
      </c>
      <c r="AK108" s="14">
        <f t="shared" si="89"/>
        <v>61.881442594256434</v>
      </c>
      <c r="AL108" s="22">
        <f t="shared" si="58"/>
        <v>553.74522585166278</v>
      </c>
      <c r="AM108" s="60">
        <f t="shared" si="59"/>
        <v>832.48385393253454</v>
      </c>
      <c r="AN108" s="60">
        <f ca="1">AVERAGE(OFFSET($AM$3,0,0,'Données projet'!$E$10+1,1))-AVERAGE(OFFSET($H$3,0,0,'Données projet'!$E$10+1,1))</f>
        <v>469.67944008675863</v>
      </c>
      <c r="AO108" s="60">
        <f t="shared" si="90"/>
        <v>266.11908070867173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0" t="e">
        <f t="shared" si="62"/>
        <v>#NUM!</v>
      </c>
      <c r="BI108" s="60">
        <f ca="1">AVERAGE(OFFSET($BH$3,0,0,'Données projet'!$E$11+1,1))-AVERAGE(OFFSET($H$3,0,0,'Données projet'!$E$11+1,1))</f>
        <v>216.36762889365235</v>
      </c>
      <c r="BJ108" s="60">
        <f t="shared" si="92"/>
        <v>333.29599352215496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3.057031172106849</v>
      </c>
      <c r="BQ108" s="23">
        <f>EXP(-LN(2)/25)*BQ107+(1-EXP(-LN(2)/25))/(LN(2)/25)*Calculateur!BL108*Calculateur!BN108*VLOOKUP('Données projet'!$B$11,Paramètres!$A$1:$I$89,3,0)*0.475*44/12</f>
        <v>1.2186767039324791</v>
      </c>
      <c r="BR108" s="23">
        <f>EXP(-LN(2)/2)*BR107+(1-EXP(-LN(2)/2))/(LN(2)/2)*BL108*BO108*VLOOKUP('Données projet'!$B$11,Paramètres!$A$1:$I$89,3,0)*0.475*44/12</f>
        <v>1.5045826553081899E-11</v>
      </c>
      <c r="BS108" s="24">
        <f t="shared" si="63"/>
        <v>4.2757078760543736</v>
      </c>
      <c r="BT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4.4000000000000004</v>
      </c>
      <c r="BY108" s="13">
        <f>IF('Données projet'!$A$114&gt;35,BY107+BX108-CG107,IF(A108&lt;'Données projet'!$A$114,$BV$205^A108,IF(A108='Données projet'!$A$114,'Données projet'!$B$114,BY107+BX108-CG107)))</f>
        <v>282.99999999999972</v>
      </c>
      <c r="BZ108" s="14">
        <f>BY108*VLOOKUP('Données projet'!$B$12,Paramètres!$A$1:$I$89,3,0)*VLOOKUP('Données projet'!$B$12,Paramètres!$A$1:$I$89,5,0)</f>
        <v>273.71759999999972</v>
      </c>
      <c r="CA108" s="14">
        <f t="shared" si="93"/>
        <v>65.637608810456612</v>
      </c>
      <c r="CB108" s="22">
        <f t="shared" si="64"/>
        <v>591.04365534487806</v>
      </c>
      <c r="CC108" s="60">
        <f t="shared" si="65"/>
        <v>869.78228342574982</v>
      </c>
      <c r="CD108" s="60">
        <f ca="1">AVERAGE(OFFSET($CC$3,0,0,'Données projet'!$E$12+1,1))-AVERAGE(OFFSET($H$3,0,0,'Données projet'!$E$12+1,1))</f>
        <v>496.33873798282525</v>
      </c>
      <c r="CE108" s="60">
        <f t="shared" si="94"/>
        <v>280.25465074992246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4.4000000000000004</v>
      </c>
      <c r="CT108" s="13">
        <f>IF('Données projet'!$A$140&gt;35,CT107+CS108-DB107,IF(A108&lt;'Données projet'!$A$140,$CQ$205^A108,IF(A108='Données projet'!$A$140,'Données projet'!$B$140,CT107+CS108-DB107)))</f>
        <v>282.99999999999972</v>
      </c>
      <c r="CU108" s="18">
        <f>CT108*VLOOKUP('Données projet'!$B$13,Paramètres!$A$1:$I$89,3,0)*VLOOKUP('Données projet'!$B$13,Paramètres!$A$1:$I$89,5,0)</f>
        <v>304.62119999999965</v>
      </c>
      <c r="CV108" s="14">
        <f t="shared" si="95"/>
        <v>72.144380911839335</v>
      </c>
      <c r="CW108" s="22">
        <f t="shared" si="67"/>
        <v>656.20005342145294</v>
      </c>
      <c r="CX108" s="60">
        <f t="shared" si="68"/>
        <v>934.9386815023247</v>
      </c>
      <c r="CY108" s="60">
        <f ca="1">AVERAGE(OFFSET($CX$3,0,0,'Données projet'!$E$13+1,1))-AVERAGE(OFFSET($H$3,0,0,'Données projet'!$E$13+1,1))</f>
        <v>542.90832990875208</v>
      </c>
      <c r="CZ108" s="60">
        <f t="shared" si="96"/>
        <v>304.94365539329362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0" t="e">
        <f t="shared" si="71"/>
        <v>#N/A</v>
      </c>
      <c r="DT108" s="60" t="e">
        <f ca="1">AVERAGE(OFFSET($DS$3,0,0,'Données projet'!$E$14+1,1))-AVERAGE(OFFSET($H$3,0,0,'Données projet'!$E$14+1,1))</f>
        <v>#N/A</v>
      </c>
      <c r="DU108" s="60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0" t="e">
        <f t="shared" si="74"/>
        <v>#N/A</v>
      </c>
      <c r="EO108" s="60" t="e">
        <f ca="1">AVERAGE(OFFSET($EN$3,0,0,'Données projet'!$E$15+1,1))-AVERAGE(OFFSET($H$3,0,0,'Données projet'!$E$15+1,1))</f>
        <v>#N/A</v>
      </c>
      <c r="EP108" s="60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0" t="e">
        <f t="shared" si="77"/>
        <v>#N/A</v>
      </c>
      <c r="FJ108" s="60" t="e">
        <f ca="1">AVERAGE(OFFSET($FI$3,0,0,'Données projet'!$E$16+1,1))-AVERAGE(OFFSET($H$3,0,0,'Données projet'!$E$16+1,1))</f>
        <v>#N/A</v>
      </c>
      <c r="FK108" s="60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0" t="e">
        <f t="shared" si="80"/>
        <v>#N/A</v>
      </c>
      <c r="GE108" s="60" t="e">
        <f ca="1">AVERAGE(OFFSET($GD$3,0,0,'Données projet'!$E$17+1,1))-AVERAGE(OFFSET($H$3,0,0,'Données projet'!$E$17+1,1))</f>
        <v>#N/A</v>
      </c>
      <c r="GF108" s="60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4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5.4230769230769242</v>
      </c>
      <c r="N109" s="14">
        <f>IF('Données projet'!$A$36&gt;35,N108+M109-V108,IF(A109&lt;'Données projet'!$A$36,$K$205^A109,IF(A109='Données projet'!$A$36,'Données projet'!$B$36,N108+M109-V108)))</f>
        <v>239.82307692307725</v>
      </c>
      <c r="O109" s="14">
        <f>N109*VLOOKUP('Données projet'!$B$9,Paramètres!$A$1:$I$89,3,0)*VLOOKUP('Données projet'!$B$9,Paramètres!$A$1:$I$89,5,0)</f>
        <v>112.23720000000016</v>
      </c>
      <c r="P109" s="14">
        <f t="shared" si="87"/>
        <v>29.857467093078018</v>
      </c>
      <c r="Q109" s="22">
        <f t="shared" si="107"/>
        <v>247.48154518711115</v>
      </c>
      <c r="R109" s="60">
        <f t="shared" si="55"/>
        <v>526.47335877524029</v>
      </c>
      <c r="S109" s="60">
        <f ca="1">AVERAGE(OFFSET($R$3,0,0,'Données projet'!$E$9+1,1))-AVERAGE(OFFSET($H$3,0,0,'Données projet'!$E$9+1,1))</f>
        <v>277.7918215389401</v>
      </c>
      <c r="T109" s="60">
        <f t="shared" si="88"/>
        <v>164.65640238394164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4.4000000000000004</v>
      </c>
      <c r="AI109" s="14">
        <f>IF('Données projet'!$A$62&gt;35,AI108+AH109-AQ108,IF(A109&lt;'Données projet'!$A$62,$AF$205^A109,IF(A109='Données projet'!$A$62,'Données projet'!$B$62,AI108+AH109-AQ108)))</f>
        <v>287.39999999999969</v>
      </c>
      <c r="AJ109" s="14">
        <f>AI109*VLOOKUP('Données projet'!$B$10,Paramètres!$A$1:$I$89,3,0)*VLOOKUP('Données projet'!$B$10,Paramètres!$A$1:$I$89,5,0)</f>
        <v>260.0395199999997</v>
      </c>
      <c r="AK109" s="14">
        <f t="shared" si="89"/>
        <v>62.730801948604821</v>
      </c>
      <c r="AL109" s="22">
        <f t="shared" si="58"/>
        <v>562.15831072715287</v>
      </c>
      <c r="AM109" s="60">
        <f t="shared" si="59"/>
        <v>841.15012431528203</v>
      </c>
      <c r="AN109" s="60">
        <f ca="1">AVERAGE(OFFSET($AM$3,0,0,'Données projet'!$E$10+1,1))-AVERAGE(OFFSET($H$3,0,0,'Données projet'!$E$10+1,1))</f>
        <v>469.67944008675863</v>
      </c>
      <c r="AO109" s="60">
        <f t="shared" si="90"/>
        <v>266.11908070867173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0" t="e">
        <f t="shared" si="62"/>
        <v>#NUM!</v>
      </c>
      <c r="BI109" s="60">
        <f ca="1">AVERAGE(OFFSET($BH$3,0,0,'Données projet'!$E$11+1,1))-AVERAGE(OFFSET($H$3,0,0,'Données projet'!$E$11+1,1))</f>
        <v>216.36762889365235</v>
      </c>
      <c r="BJ109" s="60">
        <f t="shared" si="92"/>
        <v>333.29599352215496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2.9970846554267343</v>
      </c>
      <c r="BQ109" s="23">
        <f>EXP(-LN(2)/25)*BQ108+(1-EXP(-LN(2)/25))/(LN(2)/25)*Calculateur!BL109*Calculateur!BN109*VLOOKUP('Données projet'!$B$11,Paramètres!$A$1:$I$89,3,0)*0.475*44/12</f>
        <v>1.185351925376023</v>
      </c>
      <c r="BR109" s="23">
        <f>EXP(-LN(2)/2)*BR108+(1-EXP(-LN(2)/2))/(LN(2)/2)*BL109*BO109*VLOOKUP('Données projet'!$B$11,Paramètres!$A$1:$I$89,3,0)*0.475*44/12</f>
        <v>1.0639005984240829E-11</v>
      </c>
      <c r="BS109" s="24">
        <f t="shared" si="63"/>
        <v>4.1824365808133956</v>
      </c>
      <c r="BT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4.4000000000000004</v>
      </c>
      <c r="BY109" s="13">
        <f>IF('Données projet'!$A$114&gt;35,BY108+BX109-CG108,IF(A109&lt;'Données projet'!$A$114,$BV$205^A109,IF(A109='Données projet'!$A$114,'Données projet'!$B$114,BY108+BX109-CG108)))</f>
        <v>287.39999999999969</v>
      </c>
      <c r="BZ109" s="14">
        <f>BY109*VLOOKUP('Données projet'!$B$12,Paramètres!$A$1:$I$89,3,0)*VLOOKUP('Données projet'!$B$12,Paramètres!$A$1:$I$89,5,0)</f>
        <v>277.9732799999997</v>
      </c>
      <c r="CA109" s="14">
        <f t="shared" si="93"/>
        <v>66.538523764973135</v>
      </c>
      <c r="CB109" s="22">
        <f t="shared" si="64"/>
        <v>600.0247248906611</v>
      </c>
      <c r="CC109" s="60">
        <f t="shared" si="65"/>
        <v>879.01653847879015</v>
      </c>
      <c r="CD109" s="60">
        <f ca="1">AVERAGE(OFFSET($CC$3,0,0,'Données projet'!$E$12+1,1))-AVERAGE(OFFSET($H$3,0,0,'Données projet'!$E$12+1,1))</f>
        <v>496.33873798282525</v>
      </c>
      <c r="CE109" s="60">
        <f t="shared" si="94"/>
        <v>280.25465074992246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4.4000000000000004</v>
      </c>
      <c r="CT109" s="13">
        <f>IF('Données projet'!$A$140&gt;35,CT108+CS109-DB108,IF(A109&lt;'Données projet'!$A$140,$CQ$205^A109,IF(A109='Données projet'!$A$140,'Données projet'!$B$140,CT108+CS109-DB108)))</f>
        <v>287.39999999999969</v>
      </c>
      <c r="CU109" s="18">
        <f>CT109*VLOOKUP('Données projet'!$B$13,Paramètres!$A$1:$I$89,3,0)*VLOOKUP('Données projet'!$B$13,Paramètres!$A$1:$I$89,5,0)</f>
        <v>309.35735999999969</v>
      </c>
      <c r="CV109" s="14">
        <f t="shared" si="95"/>
        <v>73.134605157142161</v>
      </c>
      <c r="CW109" s="22">
        <f t="shared" si="67"/>
        <v>666.17350598202211</v>
      </c>
      <c r="CX109" s="60">
        <f t="shared" si="68"/>
        <v>945.16531957015127</v>
      </c>
      <c r="CY109" s="60">
        <f ca="1">AVERAGE(OFFSET($CX$3,0,0,'Données projet'!$E$13+1,1))-AVERAGE(OFFSET($H$3,0,0,'Données projet'!$E$13+1,1))</f>
        <v>542.90832990875208</v>
      </c>
      <c r="CZ109" s="60">
        <f t="shared" si="96"/>
        <v>304.94365539329362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0" t="e">
        <f t="shared" si="71"/>
        <v>#N/A</v>
      </c>
      <c r="DT109" s="60" t="e">
        <f ca="1">AVERAGE(OFFSET($DS$3,0,0,'Données projet'!$E$14+1,1))-AVERAGE(OFFSET($H$3,0,0,'Données projet'!$E$14+1,1))</f>
        <v>#N/A</v>
      </c>
      <c r="DU109" s="60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0" t="e">
        <f t="shared" si="74"/>
        <v>#N/A</v>
      </c>
      <c r="EO109" s="60" t="e">
        <f ca="1">AVERAGE(OFFSET($EN$3,0,0,'Données projet'!$E$15+1,1))-AVERAGE(OFFSET($H$3,0,0,'Données projet'!$E$15+1,1))</f>
        <v>#N/A</v>
      </c>
      <c r="EP109" s="60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0" t="e">
        <f t="shared" si="77"/>
        <v>#N/A</v>
      </c>
      <c r="FJ109" s="60" t="e">
        <f ca="1">AVERAGE(OFFSET($FI$3,0,0,'Données projet'!$E$16+1,1))-AVERAGE(OFFSET($H$3,0,0,'Données projet'!$E$16+1,1))</f>
        <v>#N/A</v>
      </c>
      <c r="FK109" s="60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0" t="e">
        <f t="shared" si="80"/>
        <v>#N/A</v>
      </c>
      <c r="GE109" s="60" t="e">
        <f ca="1">AVERAGE(OFFSET($GD$3,0,0,'Données projet'!$E$17+1,1))-AVERAGE(OFFSET($H$3,0,0,'Données projet'!$E$17+1,1))</f>
        <v>#N/A</v>
      </c>
      <c r="GF109" s="60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4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5.4230769230769242</v>
      </c>
      <c r="N110" s="14">
        <f>IF('Données projet'!$A$36&gt;35,N109+M110-V109,IF(A110&lt;'Données projet'!$A$36,$K$205^A110,IF(A110='Données projet'!$A$36,'Données projet'!$B$36,N109+M110-V109)))</f>
        <v>245.24615384615419</v>
      </c>
      <c r="O110" s="14">
        <f>N110*VLOOKUP('Données projet'!$B$9,Paramètres!$A$1:$I$89,3,0)*VLOOKUP('Données projet'!$B$9,Paramètres!$A$1:$I$89,5,0)</f>
        <v>114.77520000000015</v>
      </c>
      <c r="P110" s="14">
        <f t="shared" si="87"/>
        <v>30.453261313439196</v>
      </c>
      <c r="Q110" s="22">
        <f t="shared" si="107"/>
        <v>252.93957012090684</v>
      </c>
      <c r="R110" s="60">
        <f t="shared" si="55"/>
        <v>532.18017701378051</v>
      </c>
      <c r="S110" s="60">
        <f ca="1">AVERAGE(OFFSET($R$3,0,0,'Données projet'!$E$9+1,1))-AVERAGE(OFFSET($H$3,0,0,'Données projet'!$E$9+1,1))</f>
        <v>277.7918215389401</v>
      </c>
      <c r="T110" s="60">
        <f t="shared" si="88"/>
        <v>164.65640238394164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4.4000000000000004</v>
      </c>
      <c r="AI110" s="14">
        <f>IF('Données projet'!$A$62&gt;35,AI109+AH110-AQ109,IF(A110&lt;'Données projet'!$A$62,$AF$205^A110,IF(A110='Données projet'!$A$62,'Données projet'!$B$62,AI109+AH110-AQ109)))</f>
        <v>291.79999999999967</v>
      </c>
      <c r="AJ110" s="14">
        <f>AI110*VLOOKUP('Données projet'!$B$10,Paramètres!$A$1:$I$89,3,0)*VLOOKUP('Données projet'!$B$10,Paramètres!$A$1:$I$89,5,0)</f>
        <v>264.02063999999967</v>
      </c>
      <c r="AK110" s="14">
        <f t="shared" si="89"/>
        <v>63.57864899095906</v>
      </c>
      <c r="AL110" s="22">
        <f t="shared" si="58"/>
        <v>570.56876165925303</v>
      </c>
      <c r="AM110" s="60">
        <f t="shared" si="59"/>
        <v>849.80936855212667</v>
      </c>
      <c r="AN110" s="60">
        <f ca="1">AVERAGE(OFFSET($AM$3,0,0,'Données projet'!$E$10+1,1))-AVERAGE(OFFSET($H$3,0,0,'Données projet'!$E$10+1,1))</f>
        <v>469.67944008675863</v>
      </c>
      <c r="AO110" s="60">
        <f t="shared" si="90"/>
        <v>266.11908070867173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0" t="e">
        <f t="shared" si="62"/>
        <v>#NUM!</v>
      </c>
      <c r="BI110" s="60">
        <f ca="1">AVERAGE(OFFSET($BH$3,0,0,'Données projet'!$E$11+1,1))-AVERAGE(OFFSET($H$3,0,0,'Données projet'!$E$11+1,1))</f>
        <v>216.36762889365235</v>
      </c>
      <c r="BJ110" s="60">
        <f t="shared" si="92"/>
        <v>333.29599352215496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2.9383136533749519</v>
      </c>
      <c r="BQ110" s="23">
        <f>EXP(-LN(2)/25)*BQ109+(1-EXP(-LN(2)/25))/(LN(2)/25)*Calculateur!BL110*Calculateur!BN110*VLOOKUP('Données projet'!$B$11,Paramètres!$A$1:$I$89,3,0)*0.475*44/12</f>
        <v>1.152938414641667</v>
      </c>
      <c r="BR110" s="23">
        <f>EXP(-LN(2)/2)*BR109+(1-EXP(-LN(2)/2))/(LN(2)/2)*BL110*BO110*VLOOKUP('Données projet'!$B$11,Paramètres!$A$1:$I$89,3,0)*0.475*44/12</f>
        <v>7.5229132765409496E-12</v>
      </c>
      <c r="BS110" s="24">
        <f t="shared" si="63"/>
        <v>4.0912520680241418</v>
      </c>
      <c r="BT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4.4000000000000004</v>
      </c>
      <c r="BY110" s="13">
        <f>IF('Données projet'!$A$114&gt;35,BY109+BX110-CG109,IF(A110&lt;'Données projet'!$A$114,$BV$205^A110,IF(A110='Données projet'!$A$114,'Données projet'!$B$114,BY109+BX110-CG109)))</f>
        <v>291.79999999999967</v>
      </c>
      <c r="BZ110" s="14">
        <f>BY110*VLOOKUP('Données projet'!$B$12,Paramètres!$A$1:$I$89,3,0)*VLOOKUP('Données projet'!$B$12,Paramètres!$A$1:$I$89,5,0)</f>
        <v>282.22895999999969</v>
      </c>
      <c r="CA110" s="14">
        <f t="shared" si="93"/>
        <v>67.437834611070301</v>
      </c>
      <c r="CB110" s="22">
        <f t="shared" si="64"/>
        <v>609.00300061428027</v>
      </c>
      <c r="CC110" s="60">
        <f t="shared" si="65"/>
        <v>888.24360750715391</v>
      </c>
      <c r="CD110" s="60">
        <f ca="1">AVERAGE(OFFSET($CC$3,0,0,'Données projet'!$E$12+1,1))-AVERAGE(OFFSET($H$3,0,0,'Données projet'!$E$12+1,1))</f>
        <v>496.33873798282525</v>
      </c>
      <c r="CE110" s="60">
        <f t="shared" si="94"/>
        <v>280.25465074992246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4.4000000000000004</v>
      </c>
      <c r="CT110" s="13">
        <f>IF('Données projet'!$A$140&gt;35,CT109+CS110-DB109,IF(A110&lt;'Données projet'!$A$140,$CQ$205^A110,IF(A110='Données projet'!$A$140,'Données projet'!$B$140,CT109+CS110-DB109)))</f>
        <v>291.79999999999967</v>
      </c>
      <c r="CU110" s="18">
        <f>CT110*VLOOKUP('Données projet'!$B$13,Paramètres!$A$1:$I$89,3,0)*VLOOKUP('Données projet'!$B$13,Paramètres!$A$1:$I$89,5,0)</f>
        <v>314.09351999999961</v>
      </c>
      <c r="CV110" s="14">
        <f t="shared" si="95"/>
        <v>74.123066275924458</v>
      </c>
      <c r="CW110" s="22">
        <f t="shared" si="67"/>
        <v>676.14388776390103</v>
      </c>
      <c r="CX110" s="60">
        <f t="shared" si="68"/>
        <v>955.38449465677468</v>
      </c>
      <c r="CY110" s="60">
        <f ca="1">AVERAGE(OFFSET($CX$3,0,0,'Données projet'!$E$13+1,1))-AVERAGE(OFFSET($H$3,0,0,'Données projet'!$E$13+1,1))</f>
        <v>542.90832990875208</v>
      </c>
      <c r="CZ110" s="60">
        <f t="shared" si="96"/>
        <v>304.94365539329362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0" t="e">
        <f t="shared" si="71"/>
        <v>#N/A</v>
      </c>
      <c r="DT110" s="60" t="e">
        <f ca="1">AVERAGE(OFFSET($DS$3,0,0,'Données projet'!$E$14+1,1))-AVERAGE(OFFSET($H$3,0,0,'Données projet'!$E$14+1,1))</f>
        <v>#N/A</v>
      </c>
      <c r="DU110" s="60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0" t="e">
        <f t="shared" si="74"/>
        <v>#N/A</v>
      </c>
      <c r="EO110" s="60" t="e">
        <f ca="1">AVERAGE(OFFSET($EN$3,0,0,'Données projet'!$E$15+1,1))-AVERAGE(OFFSET($H$3,0,0,'Données projet'!$E$15+1,1))</f>
        <v>#N/A</v>
      </c>
      <c r="EP110" s="60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0" t="e">
        <f t="shared" si="77"/>
        <v>#N/A</v>
      </c>
      <c r="FJ110" s="60" t="e">
        <f ca="1">AVERAGE(OFFSET($FI$3,0,0,'Données projet'!$E$16+1,1))-AVERAGE(OFFSET($H$3,0,0,'Données projet'!$E$16+1,1))</f>
        <v>#N/A</v>
      </c>
      <c r="FK110" s="60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0" t="e">
        <f t="shared" si="80"/>
        <v>#N/A</v>
      </c>
      <c r="GE110" s="60" t="e">
        <f ca="1">AVERAGE(OFFSET($GD$3,0,0,'Données projet'!$E$17+1,1))-AVERAGE(OFFSET($H$3,0,0,'Données projet'!$E$17+1,1))</f>
        <v>#N/A</v>
      </c>
      <c r="GF110" s="60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4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5.4230769230769242</v>
      </c>
      <c r="N111" s="14">
        <f>IF('Données projet'!$A$36&gt;35,N110+M111-V110,IF(A111&lt;'Données projet'!$A$36,$K$205^A111,IF(A111='Données projet'!$A$36,'Données projet'!$B$36,N110+M111-V110)))</f>
        <v>250.66923076923112</v>
      </c>
      <c r="O111" s="14">
        <f>N111*VLOOKUP('Données projet'!$B$9,Paramètres!$A$1:$I$89,3,0)*VLOOKUP('Données projet'!$B$9,Paramètres!$A$1:$I$89,5,0)</f>
        <v>117.31320000000015</v>
      </c>
      <c r="P111" s="14">
        <f t="shared" si="87"/>
        <v>31.04752384183195</v>
      </c>
      <c r="Q111" s="22">
        <f t="shared" si="107"/>
        <v>258.39492735785757</v>
      </c>
      <c r="R111" s="60">
        <f t="shared" si="55"/>
        <v>537.88001154785684</v>
      </c>
      <c r="S111" s="60">
        <f ca="1">AVERAGE(OFFSET($R$3,0,0,'Données projet'!$E$9+1,1))-AVERAGE(OFFSET($H$3,0,0,'Données projet'!$E$9+1,1))</f>
        <v>277.7918215389401</v>
      </c>
      <c r="T111" s="60">
        <f t="shared" si="88"/>
        <v>164.65640238394164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4.4000000000000004</v>
      </c>
      <c r="AI111" s="14">
        <f>IF('Données projet'!$A$62&gt;35,AI110+AH111-AQ110,IF(A111&lt;'Données projet'!$A$62,$AF$205^A111,IF(A111='Données projet'!$A$62,'Données projet'!$B$62,AI110+AH111-AQ110)))</f>
        <v>296.19999999999965</v>
      </c>
      <c r="AJ111" s="14">
        <f>AI111*VLOOKUP('Données projet'!$B$10,Paramètres!$A$1:$I$89,3,0)*VLOOKUP('Données projet'!$B$10,Paramètres!$A$1:$I$89,5,0)</f>
        <v>268.00175999999971</v>
      </c>
      <c r="AK111" s="14">
        <f t="shared" si="89"/>
        <v>64.425009159185521</v>
      </c>
      <c r="AL111" s="22">
        <f t="shared" si="58"/>
        <v>578.97662295224757</v>
      </c>
      <c r="AM111" s="60">
        <f t="shared" si="59"/>
        <v>858.46170714224695</v>
      </c>
      <c r="AN111" s="60">
        <f ca="1">AVERAGE(OFFSET($AM$3,0,0,'Données projet'!$E$10+1,1))-AVERAGE(OFFSET($H$3,0,0,'Données projet'!$E$10+1,1))</f>
        <v>469.67944008675863</v>
      </c>
      <c r="AO111" s="60">
        <f t="shared" si="90"/>
        <v>266.11908070867173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0" t="e">
        <f t="shared" si="62"/>
        <v>#NUM!</v>
      </c>
      <c r="BI111" s="60">
        <f ca="1">AVERAGE(OFFSET($BH$3,0,0,'Données projet'!$E$11+1,1))-AVERAGE(OFFSET($H$3,0,0,'Données projet'!$E$11+1,1))</f>
        <v>216.36762889365235</v>
      </c>
      <c r="BJ111" s="60">
        <f t="shared" si="92"/>
        <v>333.29599352215496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2.8806951148266333</v>
      </c>
      <c r="BQ111" s="23">
        <f>EXP(-LN(2)/25)*BQ110+(1-EXP(-LN(2)/25))/(LN(2)/25)*Calculateur!BL111*Calculateur!BN111*VLOOKUP('Données projet'!$B$11,Paramètres!$A$1:$I$89,3,0)*0.475*44/12</f>
        <v>1.1214112530628946</v>
      </c>
      <c r="BR111" s="23">
        <f>EXP(-LN(2)/2)*BR110+(1-EXP(-LN(2)/2))/(LN(2)/2)*BL111*BO111*VLOOKUP('Données projet'!$B$11,Paramètres!$A$1:$I$89,3,0)*0.475*44/12</f>
        <v>5.3195029921204146E-12</v>
      </c>
      <c r="BS111" s="24">
        <f t="shared" si="63"/>
        <v>4.0021063678948474</v>
      </c>
      <c r="BT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4.4000000000000004</v>
      </c>
      <c r="BY111" s="13">
        <f>IF('Données projet'!$A$114&gt;35,BY110+BX111-CG110,IF(A111&lt;'Données projet'!$A$114,$BV$205^A111,IF(A111='Données projet'!$A$114,'Données projet'!$B$114,BY110+BX111-CG110)))</f>
        <v>296.19999999999965</v>
      </c>
      <c r="BZ111" s="14">
        <f>BY111*VLOOKUP('Données projet'!$B$12,Paramètres!$A$1:$I$89,3,0)*VLOOKUP('Données projet'!$B$12,Paramètres!$A$1:$I$89,5,0)</f>
        <v>286.48463999999967</v>
      </c>
      <c r="CA111" s="14">
        <f t="shared" si="93"/>
        <v>68.335568330677432</v>
      </c>
      <c r="CB111" s="22">
        <f t="shared" si="64"/>
        <v>617.97852950926267</v>
      </c>
      <c r="CC111" s="60">
        <f t="shared" si="65"/>
        <v>897.46361369926194</v>
      </c>
      <c r="CD111" s="60">
        <f ca="1">AVERAGE(OFFSET($CC$3,0,0,'Données projet'!$E$12+1,1))-AVERAGE(OFFSET($H$3,0,0,'Données projet'!$E$12+1,1))</f>
        <v>496.33873798282525</v>
      </c>
      <c r="CE111" s="60">
        <f t="shared" si="94"/>
        <v>280.25465074992246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4.4000000000000004</v>
      </c>
      <c r="CT111" s="13">
        <f>IF('Données projet'!$A$140&gt;35,CT110+CS111-DB110,IF(A111&lt;'Données projet'!$A$140,$CQ$205^A111,IF(A111='Données projet'!$A$140,'Données projet'!$B$140,CT110+CS111-DB110)))</f>
        <v>296.19999999999965</v>
      </c>
      <c r="CU111" s="18">
        <f>CT111*VLOOKUP('Données projet'!$B$13,Paramètres!$A$1:$I$89,3,0)*VLOOKUP('Données projet'!$B$13,Paramètres!$A$1:$I$89,5,0)</f>
        <v>318.8296799999996</v>
      </c>
      <c r="CV111" s="14">
        <f t="shared" si="95"/>
        <v>75.109793924882112</v>
      </c>
      <c r="CW111" s="22">
        <f t="shared" si="67"/>
        <v>686.11125041916887</v>
      </c>
      <c r="CX111" s="60">
        <f t="shared" si="68"/>
        <v>965.59633460916825</v>
      </c>
      <c r="CY111" s="60">
        <f ca="1">AVERAGE(OFFSET($CX$3,0,0,'Données projet'!$E$13+1,1))-AVERAGE(OFFSET($H$3,0,0,'Données projet'!$E$13+1,1))</f>
        <v>542.90832990875208</v>
      </c>
      <c r="CZ111" s="60">
        <f t="shared" si="96"/>
        <v>304.94365539329362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0" t="e">
        <f t="shared" si="71"/>
        <v>#N/A</v>
      </c>
      <c r="DT111" s="60" t="e">
        <f ca="1">AVERAGE(OFFSET($DS$3,0,0,'Données projet'!$E$14+1,1))-AVERAGE(OFFSET($H$3,0,0,'Données projet'!$E$14+1,1))</f>
        <v>#N/A</v>
      </c>
      <c r="DU111" s="60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0" t="e">
        <f t="shared" si="74"/>
        <v>#N/A</v>
      </c>
      <c r="EO111" s="60" t="e">
        <f ca="1">AVERAGE(OFFSET($EN$3,0,0,'Données projet'!$E$15+1,1))-AVERAGE(OFFSET($H$3,0,0,'Données projet'!$E$15+1,1))</f>
        <v>#N/A</v>
      </c>
      <c r="EP111" s="60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0" t="e">
        <f t="shared" si="77"/>
        <v>#N/A</v>
      </c>
      <c r="FJ111" s="60" t="e">
        <f ca="1">AVERAGE(OFFSET($FI$3,0,0,'Données projet'!$E$16+1,1))-AVERAGE(OFFSET($H$3,0,0,'Données projet'!$E$16+1,1))</f>
        <v>#N/A</v>
      </c>
      <c r="FK111" s="60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0" t="e">
        <f t="shared" si="80"/>
        <v>#N/A</v>
      </c>
      <c r="GE111" s="60" t="e">
        <f ca="1">AVERAGE(OFFSET($GD$3,0,0,'Données projet'!$E$17+1,1))-AVERAGE(OFFSET($H$3,0,0,'Données projet'!$E$17+1,1))</f>
        <v>#N/A</v>
      </c>
      <c r="GF111" s="60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4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>
        <f>VLOOKUP(A112,'Données projet'!$A$35:$I$55,2,0)</f>
        <v>256.09230769230771</v>
      </c>
      <c r="L112" s="13">
        <f>VLOOKUP(A112,'Données projet'!$A$35:$I$55,9,0)</f>
        <v>5.4230769230769242</v>
      </c>
      <c r="M112" s="13">
        <f t="array" ref="M112">INDEX(L:L,MIN(IF(ISNUMBER(L112:L308),ROW(L112:L308),"")))</f>
        <v>5.4230769230769242</v>
      </c>
      <c r="N112" s="14">
        <f>IF('Données projet'!$A$36&gt;35,N111+M112-V111,IF(A112&lt;'Données projet'!$A$36,$K$205^A112,IF(A112='Données projet'!$A$36,'Données projet'!$B$36,N111+M112-V111)))</f>
        <v>256.09230769230805</v>
      </c>
      <c r="O112" s="14">
        <f>N112*VLOOKUP('Données projet'!$B$9,Paramètres!$A$1:$I$89,3,0)*VLOOKUP('Données projet'!$B$9,Paramètres!$A$1:$I$89,5,0)</f>
        <v>119.85120000000016</v>
      </c>
      <c r="P112" s="14">
        <f t="shared" si="87"/>
        <v>31.640291631938243</v>
      </c>
      <c r="Q112" s="22">
        <f t="shared" si="107"/>
        <v>263.84768125895937</v>
      </c>
      <c r="R112" s="60">
        <f t="shared" si="55"/>
        <v>543.57300161154865</v>
      </c>
      <c r="S112" s="60">
        <f ca="1">AVERAGE(OFFSET($R$3,0,0,'Données projet'!$E$9+1,1))-AVERAGE(OFFSET($H$3,0,0,'Données projet'!$E$9+1,1))</f>
        <v>277.7918215389401</v>
      </c>
      <c r="T112" s="60">
        <f t="shared" si="88"/>
        <v>164.65640238394164</v>
      </c>
      <c r="U112" s="16">
        <f>IF(ISNA(VLOOKUP(A112,'Données projet'!$A$35:$I$55,3,0)),0,VLOOKUP(A112,'Données projet'!$A$35:$I$55,3,0))</f>
        <v>6</v>
      </c>
      <c r="V112" s="16">
        <f>IF(ISNA(VLOOKUP(A112,'Données projet'!$A$35:$I$55,4,0)),0,VLOOKUP(A112,'Données projet'!$A$35:$I$55,4,0))</f>
        <v>256.09230769230771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4.4000000000000004</v>
      </c>
      <c r="AI112" s="14">
        <f>IF('Données projet'!$A$62&gt;35,AI111+AH112-AQ111,IF(A112&lt;'Données projet'!$A$62,$AF$205^A112,IF(A112='Données projet'!$A$62,'Données projet'!$B$62,AI111+AH112-AQ111)))</f>
        <v>300.59999999999962</v>
      </c>
      <c r="AJ112" s="14">
        <f>AI112*VLOOKUP('Données projet'!$B$10,Paramètres!$A$1:$I$89,3,0)*VLOOKUP('Données projet'!$B$10,Paramètres!$A$1:$I$89,5,0)</f>
        <v>271.98287999999962</v>
      </c>
      <c r="AK112" s="14">
        <f t="shared" si="89"/>
        <v>65.269907092018684</v>
      </c>
      <c r="AL112" s="22">
        <f t="shared" si="58"/>
        <v>587.38193751859842</v>
      </c>
      <c r="AM112" s="60">
        <f t="shared" si="59"/>
        <v>867.1072578711877</v>
      </c>
      <c r="AN112" s="60">
        <f ca="1">AVERAGE(OFFSET($AM$3,0,0,'Données projet'!$E$10+1,1))-AVERAGE(OFFSET($H$3,0,0,'Données projet'!$E$10+1,1))</f>
        <v>469.67944008675863</v>
      </c>
      <c r="AO112" s="60">
        <f t="shared" si="90"/>
        <v>266.11908070867173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0" t="e">
        <f t="shared" si="62"/>
        <v>#NUM!</v>
      </c>
      <c r="BI112" s="60">
        <f ca="1">AVERAGE(OFFSET($BH$3,0,0,'Données projet'!$E$11+1,1))-AVERAGE(OFFSET($H$3,0,0,'Données projet'!$E$11+1,1))</f>
        <v>216.36762889365235</v>
      </c>
      <c r="BJ112" s="60">
        <f t="shared" si="92"/>
        <v>333.29599352215496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2.8242064406754088</v>
      </c>
      <c r="BQ112" s="23">
        <f>EXP(-LN(2)/25)*BQ111+(1-EXP(-LN(2)/25))/(LN(2)/25)*Calculateur!BL112*Calculateur!BN112*VLOOKUP('Données projet'!$B$11,Paramètres!$A$1:$I$89,3,0)*0.475*44/12</f>
        <v>1.0907462033754349</v>
      </c>
      <c r="BR112" s="23">
        <f>EXP(-LN(2)/2)*BR111+(1-EXP(-LN(2)/2))/(LN(2)/2)*BL112*BO112*VLOOKUP('Données projet'!$B$11,Paramètres!$A$1:$I$89,3,0)*0.475*44/12</f>
        <v>3.7614566382704748E-12</v>
      </c>
      <c r="BS112" s="24">
        <f t="shared" si="63"/>
        <v>3.9149526440546052</v>
      </c>
      <c r="BT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4.4000000000000004</v>
      </c>
      <c r="BY112" s="13">
        <f>IF('Données projet'!$A$114&gt;35,BY111+BX112-CG111,IF(A112&lt;'Données projet'!$A$114,$BV$205^A112,IF(A112='Données projet'!$A$114,'Données projet'!$B$114,BY111+BX112-CG111)))</f>
        <v>300.59999999999962</v>
      </c>
      <c r="BZ112" s="14">
        <f>BY112*VLOOKUP('Données projet'!$B$12,Paramètres!$A$1:$I$89,3,0)*VLOOKUP('Données projet'!$B$12,Paramètres!$A$1:$I$89,5,0)</f>
        <v>290.74031999999966</v>
      </c>
      <c r="CA112" s="14">
        <f t="shared" si="93"/>
        <v>69.231751058085507</v>
      </c>
      <c r="CB112" s="22">
        <f t="shared" si="64"/>
        <v>626.95135709283159</v>
      </c>
      <c r="CC112" s="60">
        <f t="shared" si="65"/>
        <v>906.67667744542086</v>
      </c>
      <c r="CD112" s="60">
        <f ca="1">AVERAGE(OFFSET($CC$3,0,0,'Données projet'!$E$12+1,1))-AVERAGE(OFFSET($H$3,0,0,'Données projet'!$E$12+1,1))</f>
        <v>496.33873798282525</v>
      </c>
      <c r="CE112" s="60">
        <f t="shared" si="94"/>
        <v>280.25465074992246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4.4000000000000004</v>
      </c>
      <c r="CT112" s="13">
        <f>IF('Données projet'!$A$140&gt;35,CT111+CS112-DB111,IF(A112&lt;'Données projet'!$A$140,$CQ$205^A112,IF(A112='Données projet'!$A$140,'Données projet'!$B$140,CT111+CS112-DB111)))</f>
        <v>300.59999999999962</v>
      </c>
      <c r="CU112" s="18">
        <f>CT112*VLOOKUP('Données projet'!$B$13,Paramètres!$A$1:$I$89,3,0)*VLOOKUP('Données projet'!$B$13,Paramètres!$A$1:$I$89,5,0)</f>
        <v>323.56583999999958</v>
      </c>
      <c r="CV112" s="14">
        <f t="shared" si="95"/>
        <v>76.094816829044248</v>
      </c>
      <c r="CW112" s="22">
        <f t="shared" si="67"/>
        <v>696.07564397725127</v>
      </c>
      <c r="CX112" s="60">
        <f t="shared" si="68"/>
        <v>975.80096432984055</v>
      </c>
      <c r="CY112" s="60">
        <f ca="1">AVERAGE(OFFSET($CX$3,0,0,'Données projet'!$E$13+1,1))-AVERAGE(OFFSET($H$3,0,0,'Données projet'!$E$13+1,1))</f>
        <v>542.90832990875208</v>
      </c>
      <c r="CZ112" s="60">
        <f t="shared" si="96"/>
        <v>304.94365539329362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0" t="e">
        <f t="shared" si="71"/>
        <v>#N/A</v>
      </c>
      <c r="DT112" s="60" t="e">
        <f ca="1">AVERAGE(OFFSET($DS$3,0,0,'Données projet'!$E$14+1,1))-AVERAGE(OFFSET($H$3,0,0,'Données projet'!$E$14+1,1))</f>
        <v>#N/A</v>
      </c>
      <c r="DU112" s="60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0" t="e">
        <f t="shared" si="74"/>
        <v>#N/A</v>
      </c>
      <c r="EO112" s="60" t="e">
        <f ca="1">AVERAGE(OFFSET($EN$3,0,0,'Données projet'!$E$15+1,1))-AVERAGE(OFFSET($H$3,0,0,'Données projet'!$E$15+1,1))</f>
        <v>#N/A</v>
      </c>
      <c r="EP112" s="60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0" t="e">
        <f t="shared" si="77"/>
        <v>#N/A</v>
      </c>
      <c r="FJ112" s="60" t="e">
        <f ca="1">AVERAGE(OFFSET($FI$3,0,0,'Données projet'!$E$16+1,1))-AVERAGE(OFFSET($H$3,0,0,'Données projet'!$E$16+1,1))</f>
        <v>#N/A</v>
      </c>
      <c r="FK112" s="60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0" t="e">
        <f t="shared" si="80"/>
        <v>#N/A</v>
      </c>
      <c r="GE112" s="60" t="e">
        <f ca="1">AVERAGE(OFFSET($GD$3,0,0,'Données projet'!$E$17+1,1))-AVERAGE(OFFSET($H$3,0,0,'Données projet'!$E$17+1,1))</f>
        <v>#N/A</v>
      </c>
      <c r="GF112" s="60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4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3.4106051316484809E-13</v>
      </c>
      <c r="O113" s="14">
        <f>N113*VLOOKUP('Données projet'!$B$9,Paramètres!$A$1:$I$89,3,0)*VLOOKUP('Données projet'!$B$9,Paramètres!$A$1:$I$89,5,0)</f>
        <v>1.5961632016114892E-13</v>
      </c>
      <c r="P113" s="14">
        <f t="shared" si="87"/>
        <v>2.2708641912150958E-12</v>
      </c>
      <c r="Q113" s="22">
        <f t="shared" si="107"/>
        <v>4.2330868906469593E-12</v>
      </c>
      <c r="R113" s="60">
        <f t="shared" si="55"/>
        <v>279.96138895485007</v>
      </c>
      <c r="S113" s="60">
        <f ca="1">AVERAGE(OFFSET($R$3,0,0,'Données projet'!$E$9+1,1))-AVERAGE(OFFSET($H$3,0,0,'Données projet'!$E$9+1,1))</f>
        <v>277.7918215389401</v>
      </c>
      <c r="T113" s="60">
        <f t="shared" si="88"/>
        <v>164.65640238394164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305</v>
      </c>
      <c r="AG113" s="13">
        <f>VLOOKUP(A113,'Données projet'!$A$61:$I$81,9,0)</f>
        <v>4.4000000000000004</v>
      </c>
      <c r="AH113" s="13">
        <f t="array" ref="AH113">INDEX(AG:AG,MIN(IF(ISNUMBER(AG113:AG309),ROW(AG113:AG309),"")))</f>
        <v>4.4000000000000004</v>
      </c>
      <c r="AI113" s="14">
        <f>IF('Données projet'!$A$62&gt;35,AI112+AH113-AQ112,IF(A113&lt;'Données projet'!$A$62,$AF$205^A113,IF(A113='Données projet'!$A$62,'Données projet'!$B$62,AI112+AH113-AQ112)))</f>
        <v>304.9999999999996</v>
      </c>
      <c r="AJ113" s="14">
        <f>AI113*VLOOKUP('Données projet'!$B$10,Paramètres!$A$1:$I$89,3,0)*VLOOKUP('Données projet'!$B$10,Paramètres!$A$1:$I$89,5,0)</f>
        <v>275.9639999999996</v>
      </c>
      <c r="AK113" s="14">
        <f t="shared" si="89"/>
        <v>66.113366665488797</v>
      </c>
      <c r="AL113" s="22">
        <f t="shared" si="58"/>
        <v>595.7847469423923</v>
      </c>
      <c r="AM113" s="60">
        <f t="shared" si="59"/>
        <v>875.74613589723822</v>
      </c>
      <c r="AN113" s="60">
        <f ca="1">AVERAGE(OFFSET($AM$3,0,0,'Données projet'!$E$10+1,1))-AVERAGE(OFFSET($H$3,0,0,'Données projet'!$E$10+1,1))</f>
        <v>469.67944008675863</v>
      </c>
      <c r="AO113" s="60">
        <f t="shared" si="90"/>
        <v>266.11908070867173</v>
      </c>
      <c r="AP113" s="16">
        <f>IF(ISNA(VLOOKUP(A113,'Données projet'!$A$61:$I$81,3,0)),0,VLOOKUP(A113,'Données projet'!$A$61:$I$81,3,0))</f>
        <v>9</v>
      </c>
      <c r="AQ113" s="16">
        <f>IF(ISNA(VLOOKUP(A113,'Données projet'!$A$61:$I$81,4,0)),0,VLOOKUP(A113,'Données projet'!$A$61:$I$81,4,0))</f>
        <v>39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0" t="e">
        <f t="shared" si="62"/>
        <v>#NUM!</v>
      </c>
      <c r="BI113" s="60">
        <f ca="1">AVERAGE(OFFSET($BH$3,0,0,'Données projet'!$E$11+1,1))-AVERAGE(OFFSET($H$3,0,0,'Données projet'!$E$11+1,1))</f>
        <v>216.36762889365235</v>
      </c>
      <c r="BJ113" s="60">
        <f t="shared" si="92"/>
        <v>333.29599352215496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2.7688254749696006</v>
      </c>
      <c r="BQ113" s="23">
        <f>EXP(-LN(2)/25)*BQ112+(1-EXP(-LN(2)/25))/(LN(2)/25)*Calculateur!BL113*Calculateur!BN113*VLOOKUP('Données projet'!$B$11,Paramètres!$A$1:$I$89,3,0)*0.475*44/12</f>
        <v>1.0609196910842837</v>
      </c>
      <c r="BR113" s="23">
        <f>EXP(-LN(2)/2)*BR112+(1-EXP(-LN(2)/2))/(LN(2)/2)*BL113*BO113*VLOOKUP('Données projet'!$B$11,Paramètres!$A$1:$I$89,3,0)*0.475*44/12</f>
        <v>2.6597514960602073E-12</v>
      </c>
      <c r="BS113" s="24">
        <f t="shared" si="63"/>
        <v>3.829745166056544</v>
      </c>
      <c r="BT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305</v>
      </c>
      <c r="BW113" s="13">
        <f>VLOOKUP(A113,'Données projet'!$A$113:$I$133,9,0)</f>
        <v>4.4000000000000004</v>
      </c>
      <c r="BX113" s="13">
        <f t="array" ref="BX113">INDEX(BW:BW,MIN(IF(ISNUMBER(BW113:BW309),ROW(BW113:BW309),"")))</f>
        <v>4.4000000000000004</v>
      </c>
      <c r="BY113" s="13">
        <f>IF('Données projet'!$A$114&gt;35,BY112+BX113-CG112,IF(A113&lt;'Données projet'!$A$114,$BV$205^A113,IF(A113='Données projet'!$A$114,'Données projet'!$B$114,BY112+BX113-CG112)))</f>
        <v>304.9999999999996</v>
      </c>
      <c r="BZ113" s="14">
        <f>BY113*VLOOKUP('Données projet'!$B$12,Paramètres!$A$1:$I$89,3,0)*VLOOKUP('Données projet'!$B$12,Paramètres!$A$1:$I$89,5,0)</f>
        <v>294.99599999999958</v>
      </c>
      <c r="CA113" s="14">
        <f t="shared" si="93"/>
        <v>70.126408118585317</v>
      </c>
      <c r="CB113" s="22">
        <f t="shared" si="64"/>
        <v>635.92152747320199</v>
      </c>
      <c r="CC113" s="60">
        <f t="shared" si="65"/>
        <v>915.88291642804779</v>
      </c>
      <c r="CD113" s="60">
        <f ca="1">AVERAGE(OFFSET($CC$3,0,0,'Données projet'!$E$12+1,1))-AVERAGE(OFFSET($H$3,0,0,'Données projet'!$E$12+1,1))</f>
        <v>496.33873798282525</v>
      </c>
      <c r="CE113" s="60">
        <f t="shared" si="94"/>
        <v>280.25465074992246</v>
      </c>
      <c r="CF113" s="16">
        <f>IF(ISNA(VLOOKUP(A113,'Données projet'!$A$113:$I$133,3,0)),0,VLOOKUP(A113,'Données projet'!$A$113:$I$133,3,0))</f>
        <v>9</v>
      </c>
      <c r="CG113" s="16">
        <f>IF(ISNA(VLOOKUP(A113,'Données projet'!$A$113:$I$133,4,0)),0,VLOOKUP(A113,'Données projet'!$A$113:$I$133,4,0))</f>
        <v>39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305</v>
      </c>
      <c r="CR113" s="13">
        <f>VLOOKUP(A113,'Données projet'!$A$139:$I$159,9,0)</f>
        <v>4.4000000000000004</v>
      </c>
      <c r="CS113" s="13">
        <f t="array" ref="CS113">INDEX(CR:CR,MIN(IF(ISNUMBER(CR113:CR309),ROW(CR113:CR309),"")))</f>
        <v>4.4000000000000004</v>
      </c>
      <c r="CT113" s="13">
        <f>IF('Données projet'!$A$140&gt;35,CT112+CS113-DB112,IF(A113&lt;'Données projet'!$A$140,$CQ$205^A113,IF(A113='Données projet'!$A$140,'Données projet'!$B$140,CT112+CS113-DB112)))</f>
        <v>304.9999999999996</v>
      </c>
      <c r="CU113" s="18">
        <f>CT113*VLOOKUP('Données projet'!$B$13,Paramètres!$A$1:$I$89,3,0)*VLOOKUP('Données projet'!$B$13,Paramètres!$A$1:$I$89,5,0)</f>
        <v>328.30199999999957</v>
      </c>
      <c r="CV113" s="14">
        <f t="shared" si="95"/>
        <v>77.078162824242781</v>
      </c>
      <c r="CW113" s="22">
        <f t="shared" si="67"/>
        <v>706.03711691888873</v>
      </c>
      <c r="CX113" s="60">
        <f t="shared" si="68"/>
        <v>985.99850587373453</v>
      </c>
      <c r="CY113" s="60">
        <f ca="1">AVERAGE(OFFSET($CX$3,0,0,'Données projet'!$E$13+1,1))-AVERAGE(OFFSET($H$3,0,0,'Données projet'!$E$13+1,1))</f>
        <v>542.90832990875208</v>
      </c>
      <c r="CZ113" s="60">
        <f t="shared" si="96"/>
        <v>304.94365539329362</v>
      </c>
      <c r="DA113" s="16">
        <f>IF(ISNA(VLOOKUP(A113,'Données projet'!$A$139:$I$159,3,0)),0,VLOOKUP(A113,'Données projet'!$A$139:$I$159,3,0))</f>
        <v>9</v>
      </c>
      <c r="DB113" s="16">
        <f>IF(ISNA(VLOOKUP(A113,'Données projet'!$A$139:$I$159,4,0)),0,VLOOKUP(A113,'Données projet'!$A$139:$I$159,4,0))</f>
        <v>39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0" t="e">
        <f t="shared" si="71"/>
        <v>#N/A</v>
      </c>
      <c r="DT113" s="60" t="e">
        <f ca="1">AVERAGE(OFFSET($DS$3,0,0,'Données projet'!$E$14+1,1))-AVERAGE(OFFSET($H$3,0,0,'Données projet'!$E$14+1,1))</f>
        <v>#N/A</v>
      </c>
      <c r="DU113" s="60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0" t="e">
        <f t="shared" si="74"/>
        <v>#N/A</v>
      </c>
      <c r="EO113" s="60" t="e">
        <f ca="1">AVERAGE(OFFSET($EN$3,0,0,'Données projet'!$E$15+1,1))-AVERAGE(OFFSET($H$3,0,0,'Données projet'!$E$15+1,1))</f>
        <v>#N/A</v>
      </c>
      <c r="EP113" s="60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0" t="e">
        <f t="shared" si="77"/>
        <v>#N/A</v>
      </c>
      <c r="FJ113" s="60" t="e">
        <f ca="1">AVERAGE(OFFSET($FI$3,0,0,'Données projet'!$E$16+1,1))-AVERAGE(OFFSET($H$3,0,0,'Données projet'!$E$16+1,1))</f>
        <v>#N/A</v>
      </c>
      <c r="FK113" s="60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0" t="e">
        <f t="shared" si="80"/>
        <v>#N/A</v>
      </c>
      <c r="GE113" s="60" t="e">
        <f ca="1">AVERAGE(OFFSET($GD$3,0,0,'Données projet'!$E$17+1,1))-AVERAGE(OFFSET($H$3,0,0,'Données projet'!$E$17+1,1))</f>
        <v>#N/A</v>
      </c>
      <c r="GF113" s="60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4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3.4106051316484809E-13</v>
      </c>
      <c r="O114" s="14">
        <f>N114*VLOOKUP('Données projet'!$B$9,Paramètres!$A$1:$I$89,3,0)*VLOOKUP('Données projet'!$B$9,Paramètres!$A$1:$I$89,5,0)</f>
        <v>1.5961632016114892E-13</v>
      </c>
      <c r="P114" s="14">
        <f t="shared" si="87"/>
        <v>2.2708641912150958E-12</v>
      </c>
      <c r="Q114" s="22">
        <f t="shared" si="107"/>
        <v>4.2330868906469593E-12</v>
      </c>
      <c r="R114" s="60">
        <f t="shared" si="55"/>
        <v>280.19336229462778</v>
      </c>
      <c r="S114" s="60">
        <f ca="1">AVERAGE(OFFSET($R$3,0,0,'Données projet'!$E$9+1,1))-AVERAGE(OFFSET($H$3,0,0,'Données projet'!$E$9+1,1))</f>
        <v>277.7918215389401</v>
      </c>
      <c r="T114" s="60">
        <f t="shared" si="88"/>
        <v>164.65640238394164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3.7</v>
      </c>
      <c r="AI114" s="14">
        <f>IF('Données projet'!$A$62&gt;35,AI113+AH114-AQ113,IF(A114&lt;'Données projet'!$A$62,$AF$205^A114,IF(A114='Données projet'!$A$62,'Données projet'!$B$62,AI113+AH114-AQ113)))</f>
        <v>269.69999999999959</v>
      </c>
      <c r="AJ114" s="14">
        <f>AI114*VLOOKUP('Données projet'!$B$10,Paramètres!$A$1:$I$89,3,0)*VLOOKUP('Données projet'!$B$10,Paramètres!$A$1:$I$89,5,0)</f>
        <v>244.02455999999964</v>
      </c>
      <c r="AK114" s="14">
        <f t="shared" si="89"/>
        <v>59.304594314969229</v>
      </c>
      <c r="AL114" s="22">
        <f t="shared" si="58"/>
        <v>528.29827709857079</v>
      </c>
      <c r="AM114" s="60">
        <f t="shared" si="59"/>
        <v>808.49163939319442</v>
      </c>
      <c r="AN114" s="60">
        <f ca="1">AVERAGE(OFFSET($AM$3,0,0,'Données projet'!$E$10+1,1))-AVERAGE(OFFSET($H$3,0,0,'Données projet'!$E$10+1,1))</f>
        <v>469.67944008675863</v>
      </c>
      <c r="AO114" s="60">
        <f t="shared" si="90"/>
        <v>266.11908070867173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0" t="e">
        <f t="shared" si="62"/>
        <v>#NUM!</v>
      </c>
      <c r="BI114" s="60">
        <f ca="1">AVERAGE(OFFSET($BH$3,0,0,'Données projet'!$E$11+1,1))-AVERAGE(OFFSET($H$3,0,0,'Données projet'!$E$11+1,1))</f>
        <v>216.36762889365235</v>
      </c>
      <c r="BJ114" s="60">
        <f t="shared" si="92"/>
        <v>333.29599352215496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2.7145304962222299</v>
      </c>
      <c r="BQ114" s="23">
        <f>EXP(-LN(2)/25)*BQ113+(1-EXP(-LN(2)/25))/(LN(2)/25)*Calculateur!BL114*Calculateur!BN114*VLOOKUP('Données projet'!$B$11,Paramètres!$A$1:$I$89,3,0)*0.475*44/12</f>
        <v>1.0319087863402423</v>
      </c>
      <c r="BR114" s="23">
        <f>EXP(-LN(2)/2)*BR113+(1-EXP(-LN(2)/2))/(LN(2)/2)*BL114*BO114*VLOOKUP('Données projet'!$B$11,Paramètres!$A$1:$I$89,3,0)*0.475*44/12</f>
        <v>1.8807283191352374E-12</v>
      </c>
      <c r="BS114" s="24">
        <f t="shared" si="63"/>
        <v>3.7464392825643529</v>
      </c>
      <c r="BT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3.7</v>
      </c>
      <c r="BY114" s="13">
        <f>IF('Données projet'!$A$114&gt;35,BY113+BX114-CG113,IF(A114&lt;'Données projet'!$A$114,$BV$205^A114,IF(A114='Données projet'!$A$114,'Données projet'!$B$114,BY113+BX114-CG113)))</f>
        <v>269.69999999999959</v>
      </c>
      <c r="BZ114" s="14">
        <f>BY114*VLOOKUP('Données projet'!$B$12,Paramètres!$A$1:$I$89,3,0)*VLOOKUP('Données projet'!$B$12,Paramètres!$A$1:$I$89,5,0)</f>
        <v>260.85383999999959</v>
      </c>
      <c r="CA114" s="14">
        <f t="shared" si="93"/>
        <v>62.904347395903649</v>
      </c>
      <c r="CB114" s="22">
        <f t="shared" si="64"/>
        <v>563.87884304786473</v>
      </c>
      <c r="CC114" s="60">
        <f t="shared" si="65"/>
        <v>844.07220534248836</v>
      </c>
      <c r="CD114" s="60">
        <f ca="1">AVERAGE(OFFSET($CC$3,0,0,'Données projet'!$E$12+1,1))-AVERAGE(OFFSET($H$3,0,0,'Données projet'!$E$12+1,1))</f>
        <v>496.33873798282525</v>
      </c>
      <c r="CE114" s="60">
        <f t="shared" si="94"/>
        <v>280.25465074992246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3.7</v>
      </c>
      <c r="CT114" s="13">
        <f>IF('Données projet'!$A$140&gt;35,CT113+CS114-DB113,IF(A114&lt;'Données projet'!$A$140,$CQ$205^A114,IF(A114='Données projet'!$A$140,'Données projet'!$B$140,CT113+CS114-DB113)))</f>
        <v>269.69999999999959</v>
      </c>
      <c r="CU114" s="18">
        <f>CT114*VLOOKUP('Données projet'!$B$13,Paramètres!$A$1:$I$89,3,0)*VLOOKUP('Données projet'!$B$13,Paramètres!$A$1:$I$89,5,0)</f>
        <v>290.30507999999958</v>
      </c>
      <c r="CV114" s="14">
        <f t="shared" si="95"/>
        <v>69.140166465323375</v>
      </c>
      <c r="CW114" s="22">
        <f t="shared" si="67"/>
        <v>626.03380426043748</v>
      </c>
      <c r="CX114" s="60">
        <f t="shared" si="68"/>
        <v>906.2271665550611</v>
      </c>
      <c r="CY114" s="60">
        <f ca="1">AVERAGE(OFFSET($CX$3,0,0,'Données projet'!$E$13+1,1))-AVERAGE(OFFSET($H$3,0,0,'Données projet'!$E$13+1,1))</f>
        <v>542.90832990875208</v>
      </c>
      <c r="CZ114" s="60">
        <f t="shared" si="96"/>
        <v>304.94365539329362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0" t="e">
        <f t="shared" si="71"/>
        <v>#N/A</v>
      </c>
      <c r="DT114" s="60" t="e">
        <f ca="1">AVERAGE(OFFSET($DS$3,0,0,'Données projet'!$E$14+1,1))-AVERAGE(OFFSET($H$3,0,0,'Données projet'!$E$14+1,1))</f>
        <v>#N/A</v>
      </c>
      <c r="DU114" s="60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0" t="e">
        <f t="shared" si="74"/>
        <v>#N/A</v>
      </c>
      <c r="EO114" s="60" t="e">
        <f ca="1">AVERAGE(OFFSET($EN$3,0,0,'Données projet'!$E$15+1,1))-AVERAGE(OFFSET($H$3,0,0,'Données projet'!$E$15+1,1))</f>
        <v>#N/A</v>
      </c>
      <c r="EP114" s="60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0" t="e">
        <f t="shared" si="77"/>
        <v>#N/A</v>
      </c>
      <c r="FJ114" s="60" t="e">
        <f ca="1">AVERAGE(OFFSET($FI$3,0,0,'Données projet'!$E$16+1,1))-AVERAGE(OFFSET($H$3,0,0,'Données projet'!$E$16+1,1))</f>
        <v>#N/A</v>
      </c>
      <c r="FK114" s="60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0" t="e">
        <f t="shared" si="80"/>
        <v>#N/A</v>
      </c>
      <c r="GE114" s="60" t="e">
        <f ca="1">AVERAGE(OFFSET($GD$3,0,0,'Données projet'!$E$17+1,1))-AVERAGE(OFFSET($H$3,0,0,'Données projet'!$E$17+1,1))</f>
        <v>#N/A</v>
      </c>
      <c r="GF114" s="60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4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3.4106051316484809E-13</v>
      </c>
      <c r="O115" s="14">
        <f>N115*VLOOKUP('Données projet'!$B$9,Paramètres!$A$1:$I$89,3,0)*VLOOKUP('Données projet'!$B$9,Paramètres!$A$1:$I$89,5,0)</f>
        <v>1.5961632016114892E-13</v>
      </c>
      <c r="P115" s="14">
        <f t="shared" si="87"/>
        <v>2.2708641912150958E-12</v>
      </c>
      <c r="Q115" s="22">
        <f t="shared" si="107"/>
        <v>4.2330868906469593E-12</v>
      </c>
      <c r="R115" s="60">
        <f t="shared" si="55"/>
        <v>280.42131141557508</v>
      </c>
      <c r="S115" s="60">
        <f ca="1">AVERAGE(OFFSET($R$3,0,0,'Données projet'!$E$9+1,1))-AVERAGE(OFFSET($H$3,0,0,'Données projet'!$E$9+1,1))</f>
        <v>277.7918215389401</v>
      </c>
      <c r="T115" s="60">
        <f t="shared" si="88"/>
        <v>164.65640238394164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3.7</v>
      </c>
      <c r="AI115" s="14">
        <f>IF('Données projet'!$A$62&gt;35,AI114+AH115-AQ114,IF(A115&lt;'Données projet'!$A$62,$AF$205^A115,IF(A115='Données projet'!$A$62,'Données projet'!$B$62,AI114+AH115-AQ114)))</f>
        <v>273.39999999999958</v>
      </c>
      <c r="AJ115" s="14">
        <f>AI115*VLOOKUP('Données projet'!$B$10,Paramètres!$A$1:$I$89,3,0)*VLOOKUP('Données projet'!$B$10,Paramètres!$A$1:$I$89,5,0)</f>
        <v>247.3723199999996</v>
      </c>
      <c r="AK115" s="14">
        <f t="shared" si="89"/>
        <v>60.022917171130942</v>
      </c>
      <c r="AL115" s="22">
        <f t="shared" si="58"/>
        <v>535.38003807305233</v>
      </c>
      <c r="AM115" s="60">
        <f t="shared" si="59"/>
        <v>815.80134948862315</v>
      </c>
      <c r="AN115" s="60">
        <f ca="1">AVERAGE(OFFSET($AM$3,0,0,'Données projet'!$E$10+1,1))-AVERAGE(OFFSET($H$3,0,0,'Données projet'!$E$10+1,1))</f>
        <v>469.67944008675863</v>
      </c>
      <c r="AO115" s="60">
        <f t="shared" si="90"/>
        <v>266.11908070867173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0" t="e">
        <f t="shared" si="62"/>
        <v>#NUM!</v>
      </c>
      <c r="BI115" s="60">
        <f ca="1">AVERAGE(OFFSET($BH$3,0,0,'Données projet'!$E$11+1,1))-AVERAGE(OFFSET($H$3,0,0,'Données projet'!$E$11+1,1))</f>
        <v>216.36762889365235</v>
      </c>
      <c r="BJ115" s="60">
        <f t="shared" si="92"/>
        <v>333.29599352215496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2.6613002088914279</v>
      </c>
      <c r="BQ115" s="23">
        <f>EXP(-LN(2)/25)*BQ114+(1-EXP(-LN(2)/25))/(LN(2)/25)*Calculateur!BL115*Calculateur!BN115*VLOOKUP('Données projet'!$B$11,Paramètres!$A$1:$I$89,3,0)*0.475*44/12</f>
        <v>1.0036911863120437</v>
      </c>
      <c r="BR115" s="23">
        <f>EXP(-LN(2)/2)*BR114+(1-EXP(-LN(2)/2))/(LN(2)/2)*BL115*BO115*VLOOKUP('Données projet'!$B$11,Paramètres!$A$1:$I$89,3,0)*0.475*44/12</f>
        <v>1.3298757480301037E-12</v>
      </c>
      <c r="BS115" s="24">
        <f t="shared" si="63"/>
        <v>3.6649913952048014</v>
      </c>
      <c r="BT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3.7</v>
      </c>
      <c r="BY115" s="13">
        <f>IF('Données projet'!$A$114&gt;35,BY114+BX115-CG114,IF(A115&lt;'Données projet'!$A$114,$BV$205^A115,IF(A115='Données projet'!$A$114,'Données projet'!$B$114,BY114+BX115-CG114)))</f>
        <v>273.39999999999958</v>
      </c>
      <c r="BZ115" s="14">
        <f>BY115*VLOOKUP('Données projet'!$B$12,Paramètres!$A$1:$I$89,3,0)*VLOOKUP('Données projet'!$B$12,Paramètres!$A$1:$I$89,5,0)</f>
        <v>264.4324799999996</v>
      </c>
      <c r="CA115" s="14">
        <f t="shared" si="93"/>
        <v>63.666272015882292</v>
      </c>
      <c r="CB115" s="22">
        <f t="shared" si="64"/>
        <v>571.43865976099426</v>
      </c>
      <c r="CC115" s="60">
        <f t="shared" si="65"/>
        <v>851.85997117656507</v>
      </c>
      <c r="CD115" s="60">
        <f ca="1">AVERAGE(OFFSET($CC$3,0,0,'Données projet'!$E$12+1,1))-AVERAGE(OFFSET($H$3,0,0,'Données projet'!$E$12+1,1))</f>
        <v>496.33873798282525</v>
      </c>
      <c r="CE115" s="60">
        <f t="shared" si="94"/>
        <v>280.25465074992246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3.7</v>
      </c>
      <c r="CT115" s="13">
        <f>IF('Données projet'!$A$140&gt;35,CT114+CS115-DB114,IF(A115&lt;'Données projet'!$A$140,$CQ$205^A115,IF(A115='Données projet'!$A$140,'Données projet'!$B$140,CT114+CS115-DB114)))</f>
        <v>273.39999999999958</v>
      </c>
      <c r="CU115" s="18">
        <f>CT115*VLOOKUP('Données projet'!$B$13,Paramètres!$A$1:$I$89,3,0)*VLOOKUP('Données projet'!$B$13,Paramètres!$A$1:$I$89,5,0)</f>
        <v>294.28775999999954</v>
      </c>
      <c r="CV115" s="14">
        <f t="shared" si="95"/>
        <v>69.977622018717668</v>
      </c>
      <c r="CW115" s="22">
        <f t="shared" si="67"/>
        <v>634.42887368259915</v>
      </c>
      <c r="CX115" s="60">
        <f t="shared" si="68"/>
        <v>914.85018509816996</v>
      </c>
      <c r="CY115" s="60">
        <f ca="1">AVERAGE(OFFSET($CX$3,0,0,'Données projet'!$E$13+1,1))-AVERAGE(OFFSET($H$3,0,0,'Données projet'!$E$13+1,1))</f>
        <v>542.90832990875208</v>
      </c>
      <c r="CZ115" s="60">
        <f t="shared" si="96"/>
        <v>304.94365539329362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0" t="e">
        <f t="shared" si="71"/>
        <v>#N/A</v>
      </c>
      <c r="DT115" s="60" t="e">
        <f ca="1">AVERAGE(OFFSET($DS$3,0,0,'Données projet'!$E$14+1,1))-AVERAGE(OFFSET($H$3,0,0,'Données projet'!$E$14+1,1))</f>
        <v>#N/A</v>
      </c>
      <c r="DU115" s="60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0" t="e">
        <f t="shared" si="74"/>
        <v>#N/A</v>
      </c>
      <c r="EO115" s="60" t="e">
        <f ca="1">AVERAGE(OFFSET($EN$3,0,0,'Données projet'!$E$15+1,1))-AVERAGE(OFFSET($H$3,0,0,'Données projet'!$E$15+1,1))</f>
        <v>#N/A</v>
      </c>
      <c r="EP115" s="60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0" t="e">
        <f t="shared" si="77"/>
        <v>#N/A</v>
      </c>
      <c r="FJ115" s="60" t="e">
        <f ca="1">AVERAGE(OFFSET($FI$3,0,0,'Données projet'!$E$16+1,1))-AVERAGE(OFFSET($H$3,0,0,'Données projet'!$E$16+1,1))</f>
        <v>#N/A</v>
      </c>
      <c r="FK115" s="60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0" t="e">
        <f t="shared" si="80"/>
        <v>#N/A</v>
      </c>
      <c r="GE115" s="60" t="e">
        <f ca="1">AVERAGE(OFFSET($GD$3,0,0,'Données projet'!$E$17+1,1))-AVERAGE(OFFSET($H$3,0,0,'Données projet'!$E$17+1,1))</f>
        <v>#N/A</v>
      </c>
      <c r="GF115" s="60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4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3.4106051316484809E-13</v>
      </c>
      <c r="O116" s="14">
        <f>N116*VLOOKUP('Données projet'!$B$9,Paramètres!$A$1:$I$89,3,0)*VLOOKUP('Données projet'!$B$9,Paramètres!$A$1:$I$89,5,0)</f>
        <v>1.5961632016114892E-13</v>
      </c>
      <c r="P116" s="14">
        <f t="shared" si="87"/>
        <v>2.2708641912150958E-12</v>
      </c>
      <c r="Q116" s="22">
        <f t="shared" si="107"/>
        <v>4.2330868906469593E-12</v>
      </c>
      <c r="R116" s="60">
        <f t="shared" si="55"/>
        <v>280.64530612889183</v>
      </c>
      <c r="S116" s="60">
        <f ca="1">AVERAGE(OFFSET($R$3,0,0,'Données projet'!$E$9+1,1))-AVERAGE(OFFSET($H$3,0,0,'Données projet'!$E$9+1,1))</f>
        <v>277.7918215389401</v>
      </c>
      <c r="T116" s="60">
        <f t="shared" si="88"/>
        <v>164.65640238394164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3.7</v>
      </c>
      <c r="AI116" s="14">
        <f>IF('Données projet'!$A$62&gt;35,AI115+AH116-AQ115,IF(A116&lt;'Données projet'!$A$62,$AF$205^A116,IF(A116='Données projet'!$A$62,'Données projet'!$B$62,AI115+AH116-AQ115)))</f>
        <v>277.09999999999957</v>
      </c>
      <c r="AJ116" s="14">
        <f>AI116*VLOOKUP('Données projet'!$B$10,Paramètres!$A$1:$I$89,3,0)*VLOOKUP('Données projet'!$B$10,Paramètres!$A$1:$I$89,5,0)</f>
        <v>250.7200799999996</v>
      </c>
      <c r="AK116" s="14">
        <f t="shared" si="89"/>
        <v>60.740109326032709</v>
      </c>
      <c r="AL116" s="22">
        <f t="shared" si="58"/>
        <v>542.45982974283959</v>
      </c>
      <c r="AM116" s="60">
        <f t="shared" si="59"/>
        <v>823.10513587172727</v>
      </c>
      <c r="AN116" s="60">
        <f ca="1">AVERAGE(OFFSET($AM$3,0,0,'Données projet'!$E$10+1,1))-AVERAGE(OFFSET($H$3,0,0,'Données projet'!$E$10+1,1))</f>
        <v>469.67944008675863</v>
      </c>
      <c r="AO116" s="60">
        <f t="shared" si="90"/>
        <v>266.11908070867173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0" t="e">
        <f t="shared" si="62"/>
        <v>#NUM!</v>
      </c>
      <c r="BI116" s="60">
        <f ca="1">AVERAGE(OFFSET($BH$3,0,0,'Données projet'!$E$11+1,1))-AVERAGE(OFFSET($H$3,0,0,'Données projet'!$E$11+1,1))</f>
        <v>216.36762889365235</v>
      </c>
      <c r="BJ116" s="60">
        <f t="shared" si="92"/>
        <v>333.29599352215496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2.6091137350279134</v>
      </c>
      <c r="BQ116" s="23">
        <f>EXP(-LN(2)/25)*BQ115+(1-EXP(-LN(2)/25))/(LN(2)/25)*Calculateur!BL116*Calculateur!BN116*VLOOKUP('Données projet'!$B$11,Paramètres!$A$1:$I$89,3,0)*0.475*44/12</f>
        <v>0.97624519804051535</v>
      </c>
      <c r="BR116" s="23">
        <f>EXP(-LN(2)/2)*BR115+(1-EXP(-LN(2)/2))/(LN(2)/2)*BL116*BO116*VLOOKUP('Données projet'!$B$11,Paramètres!$A$1:$I$89,3,0)*0.475*44/12</f>
        <v>9.403641595676187E-13</v>
      </c>
      <c r="BS116" s="24">
        <f t="shared" si="63"/>
        <v>3.5853589330693696</v>
      </c>
      <c r="BT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3.7</v>
      </c>
      <c r="BY116" s="13">
        <f>IF('Données projet'!$A$114&gt;35,BY115+BX116-CG115,IF(A116&lt;'Données projet'!$A$114,$BV$205^A116,IF(A116='Données projet'!$A$114,'Données projet'!$B$114,BY115+BX116-CG115)))</f>
        <v>277.09999999999957</v>
      </c>
      <c r="BZ116" s="14">
        <f>BY116*VLOOKUP('Données projet'!$B$12,Paramètres!$A$1:$I$89,3,0)*VLOOKUP('Données projet'!$B$12,Paramètres!$A$1:$I$89,5,0)</f>
        <v>268.01111999999961</v>
      </c>
      <c r="CA116" s="14">
        <f t="shared" si="93"/>
        <v>64.426997301716796</v>
      </c>
      <c r="CB116" s="22">
        <f t="shared" si="64"/>
        <v>578.99638763382268</v>
      </c>
      <c r="CC116" s="60">
        <f t="shared" si="65"/>
        <v>859.64169376271025</v>
      </c>
      <c r="CD116" s="60">
        <f ca="1">AVERAGE(OFFSET($CC$3,0,0,'Données projet'!$E$12+1,1))-AVERAGE(OFFSET($H$3,0,0,'Données projet'!$E$12+1,1))</f>
        <v>496.33873798282525</v>
      </c>
      <c r="CE116" s="60">
        <f t="shared" si="94"/>
        <v>280.25465074992246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3.7</v>
      </c>
      <c r="CT116" s="13">
        <f>IF('Données projet'!$A$140&gt;35,CT115+CS116-DB115,IF(A116&lt;'Données projet'!$A$140,$CQ$205^A116,IF(A116='Données projet'!$A$140,'Données projet'!$B$140,CT115+CS116-DB115)))</f>
        <v>277.09999999999957</v>
      </c>
      <c r="CU116" s="18">
        <f>CT116*VLOOKUP('Données projet'!$B$13,Paramètres!$A$1:$I$89,3,0)*VLOOKUP('Données projet'!$B$13,Paramètres!$A$1:$I$89,5,0)</f>
        <v>298.27043999999955</v>
      </c>
      <c r="CV116" s="14">
        <f t="shared" si="95"/>
        <v>70.813759345855914</v>
      </c>
      <c r="CW116" s="22">
        <f t="shared" si="67"/>
        <v>642.82164719403158</v>
      </c>
      <c r="CX116" s="60">
        <f t="shared" si="68"/>
        <v>923.46695332291915</v>
      </c>
      <c r="CY116" s="60">
        <f ca="1">AVERAGE(OFFSET($CX$3,0,0,'Données projet'!$E$13+1,1))-AVERAGE(OFFSET($H$3,0,0,'Données projet'!$E$13+1,1))</f>
        <v>542.90832990875208</v>
      </c>
      <c r="CZ116" s="60">
        <f t="shared" si="96"/>
        <v>304.94365539329362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0" t="e">
        <f t="shared" si="71"/>
        <v>#N/A</v>
      </c>
      <c r="DT116" s="60" t="e">
        <f ca="1">AVERAGE(OFFSET($DS$3,0,0,'Données projet'!$E$14+1,1))-AVERAGE(OFFSET($H$3,0,0,'Données projet'!$E$14+1,1))</f>
        <v>#N/A</v>
      </c>
      <c r="DU116" s="60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0" t="e">
        <f t="shared" si="74"/>
        <v>#N/A</v>
      </c>
      <c r="EO116" s="60" t="e">
        <f ca="1">AVERAGE(OFFSET($EN$3,0,0,'Données projet'!$E$15+1,1))-AVERAGE(OFFSET($H$3,0,0,'Données projet'!$E$15+1,1))</f>
        <v>#N/A</v>
      </c>
      <c r="EP116" s="60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0" t="e">
        <f t="shared" si="77"/>
        <v>#N/A</v>
      </c>
      <c r="FJ116" s="60" t="e">
        <f ca="1">AVERAGE(OFFSET($FI$3,0,0,'Données projet'!$E$16+1,1))-AVERAGE(OFFSET($H$3,0,0,'Données projet'!$E$16+1,1))</f>
        <v>#N/A</v>
      </c>
      <c r="FK116" s="60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0" t="e">
        <f t="shared" si="80"/>
        <v>#N/A</v>
      </c>
      <c r="GE116" s="60" t="e">
        <f ca="1">AVERAGE(OFFSET($GD$3,0,0,'Données projet'!$E$17+1,1))-AVERAGE(OFFSET($H$3,0,0,'Données projet'!$E$17+1,1))</f>
        <v>#N/A</v>
      </c>
      <c r="GF116" s="60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4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3.4106051316484809E-13</v>
      </c>
      <c r="O117" s="14">
        <f>N117*VLOOKUP('Données projet'!$B$9,Paramètres!$A$1:$I$89,3,0)*VLOOKUP('Données projet'!$B$9,Paramètres!$A$1:$I$89,5,0)</f>
        <v>1.5961632016114892E-13</v>
      </c>
      <c r="P117" s="14">
        <f t="shared" si="87"/>
        <v>2.2708641912150958E-12</v>
      </c>
      <c r="Q117" s="22">
        <f t="shared" si="107"/>
        <v>4.2330868906469593E-12</v>
      </c>
      <c r="R117" s="60">
        <f t="shared" si="55"/>
        <v>280.86541503470966</v>
      </c>
      <c r="S117" s="60">
        <f ca="1">AVERAGE(OFFSET($R$3,0,0,'Données projet'!$E$9+1,1))-AVERAGE(OFFSET($H$3,0,0,'Données projet'!$E$9+1,1))</f>
        <v>277.7918215389401</v>
      </c>
      <c r="T117" s="60">
        <f t="shared" si="88"/>
        <v>164.65640238394164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3.7</v>
      </c>
      <c r="AI117" s="14">
        <f>IF('Données projet'!$A$62&gt;35,AI116+AH117-AQ116,IF(A117&lt;'Données projet'!$A$62,$AF$205^A117,IF(A117='Données projet'!$A$62,'Données projet'!$B$62,AI116+AH117-AQ116)))</f>
        <v>280.79999999999956</v>
      </c>
      <c r="AJ117" s="14">
        <f>AI117*VLOOKUP('Données projet'!$B$10,Paramètres!$A$1:$I$89,3,0)*VLOOKUP('Données projet'!$B$10,Paramètres!$A$1:$I$89,5,0)</f>
        <v>254.06783999999956</v>
      </c>
      <c r="AK117" s="14">
        <f t="shared" si="89"/>
        <v>61.456187622750669</v>
      </c>
      <c r="AL117" s="22">
        <f t="shared" si="58"/>
        <v>549.53768144295657</v>
      </c>
      <c r="AM117" s="60">
        <f t="shared" si="59"/>
        <v>830.40309647766207</v>
      </c>
      <c r="AN117" s="60">
        <f ca="1">AVERAGE(OFFSET($AM$3,0,0,'Données projet'!$E$10+1,1))-AVERAGE(OFFSET($H$3,0,0,'Données projet'!$E$10+1,1))</f>
        <v>469.67944008675863</v>
      </c>
      <c r="AO117" s="60">
        <f t="shared" si="90"/>
        <v>266.11908070867173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0" t="e">
        <f t="shared" si="62"/>
        <v>#NUM!</v>
      </c>
      <c r="BI117" s="60">
        <f ca="1">AVERAGE(OFFSET($BH$3,0,0,'Données projet'!$E$11+1,1))-AVERAGE(OFFSET($H$3,0,0,'Données projet'!$E$11+1,1))</f>
        <v>216.36762889365235</v>
      </c>
      <c r="BJ117" s="60">
        <f t="shared" si="92"/>
        <v>333.29599352215496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2.5579506060862567</v>
      </c>
      <c r="BQ117" s="23">
        <f>EXP(-LN(2)/25)*BQ116+(1-EXP(-LN(2)/25))/(LN(2)/25)*Calculateur!BL117*Calculateur!BN117*VLOOKUP('Données projet'!$B$11,Paramètres!$A$1:$I$89,3,0)*0.475*44/12</f>
        <v>0.94954972176159369</v>
      </c>
      <c r="BR117" s="23">
        <f>EXP(-LN(2)/2)*BR116+(1-EXP(-LN(2)/2))/(LN(2)/2)*BL117*BO117*VLOOKUP('Données projet'!$B$11,Paramètres!$A$1:$I$89,3,0)*0.475*44/12</f>
        <v>6.6493787401505183E-13</v>
      </c>
      <c r="BS117" s="24">
        <f t="shared" si="63"/>
        <v>3.5075003278485153</v>
      </c>
      <c r="BT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3.7</v>
      </c>
      <c r="BY117" s="13">
        <f>IF('Données projet'!$A$114&gt;35,BY116+BX117-CG116,IF(A117&lt;'Données projet'!$A$114,$BV$205^A117,IF(A117='Données projet'!$A$114,'Données projet'!$B$114,BY116+BX117-CG116)))</f>
        <v>280.79999999999956</v>
      </c>
      <c r="BZ117" s="14">
        <f>BY117*VLOOKUP('Données projet'!$B$12,Paramètres!$A$1:$I$89,3,0)*VLOOKUP('Données projet'!$B$12,Paramètres!$A$1:$I$89,5,0)</f>
        <v>271.58975999999956</v>
      </c>
      <c r="CA117" s="14">
        <f t="shared" si="93"/>
        <v>65.186541118848012</v>
      </c>
      <c r="CB117" s="22">
        <f t="shared" si="64"/>
        <v>586.55205778199286</v>
      </c>
      <c r="CC117" s="60">
        <f t="shared" si="65"/>
        <v>867.41747281669836</v>
      </c>
      <c r="CD117" s="60">
        <f ca="1">AVERAGE(OFFSET($CC$3,0,0,'Données projet'!$E$12+1,1))-AVERAGE(OFFSET($H$3,0,0,'Données projet'!$E$12+1,1))</f>
        <v>496.33873798282525</v>
      </c>
      <c r="CE117" s="60">
        <f t="shared" si="94"/>
        <v>280.25465074992246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3.7</v>
      </c>
      <c r="CT117" s="13">
        <f>IF('Données projet'!$A$140&gt;35,CT116+CS117-DB116,IF(A117&lt;'Données projet'!$A$140,$CQ$205^A117,IF(A117='Données projet'!$A$140,'Données projet'!$B$140,CT116+CS117-DB116)))</f>
        <v>280.79999999999956</v>
      </c>
      <c r="CU117" s="18">
        <f>CT117*VLOOKUP('Données projet'!$B$13,Paramètres!$A$1:$I$89,3,0)*VLOOKUP('Données projet'!$B$13,Paramètres!$A$1:$I$89,5,0)</f>
        <v>302.25311999999951</v>
      </c>
      <c r="CV117" s="14">
        <f t="shared" si="95"/>
        <v>71.648598083211283</v>
      </c>
      <c r="CW117" s="22">
        <f t="shared" si="67"/>
        <v>651.21215899492529</v>
      </c>
      <c r="CX117" s="60">
        <f t="shared" si="68"/>
        <v>932.0775740296308</v>
      </c>
      <c r="CY117" s="60">
        <f ca="1">AVERAGE(OFFSET($CX$3,0,0,'Données projet'!$E$13+1,1))-AVERAGE(OFFSET($H$3,0,0,'Données projet'!$E$13+1,1))</f>
        <v>542.90832990875208</v>
      </c>
      <c r="CZ117" s="60">
        <f t="shared" si="96"/>
        <v>304.94365539329362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0" t="e">
        <f t="shared" si="71"/>
        <v>#N/A</v>
      </c>
      <c r="DT117" s="60" t="e">
        <f ca="1">AVERAGE(OFFSET($DS$3,0,0,'Données projet'!$E$14+1,1))-AVERAGE(OFFSET($H$3,0,0,'Données projet'!$E$14+1,1))</f>
        <v>#N/A</v>
      </c>
      <c r="DU117" s="60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0" t="e">
        <f t="shared" si="74"/>
        <v>#N/A</v>
      </c>
      <c r="EO117" s="60" t="e">
        <f ca="1">AVERAGE(OFFSET($EN$3,0,0,'Données projet'!$E$15+1,1))-AVERAGE(OFFSET($H$3,0,0,'Données projet'!$E$15+1,1))</f>
        <v>#N/A</v>
      </c>
      <c r="EP117" s="60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0" t="e">
        <f t="shared" si="77"/>
        <v>#N/A</v>
      </c>
      <c r="FJ117" s="60" t="e">
        <f ca="1">AVERAGE(OFFSET($FI$3,0,0,'Données projet'!$E$16+1,1))-AVERAGE(OFFSET($H$3,0,0,'Données projet'!$E$16+1,1))</f>
        <v>#N/A</v>
      </c>
      <c r="FK117" s="60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0" t="e">
        <f t="shared" si="80"/>
        <v>#N/A</v>
      </c>
      <c r="GE117" s="60" t="e">
        <f ca="1">AVERAGE(OFFSET($GD$3,0,0,'Données projet'!$E$17+1,1))-AVERAGE(OFFSET($H$3,0,0,'Données projet'!$E$17+1,1))</f>
        <v>#N/A</v>
      </c>
      <c r="GF117" s="60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4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3.4106051316484809E-13</v>
      </c>
      <c r="O118" s="14">
        <f>N118*VLOOKUP('Données projet'!$B$9,Paramètres!$A$1:$I$89,3,0)*VLOOKUP('Données projet'!$B$9,Paramètres!$A$1:$I$89,5,0)</f>
        <v>1.5961632016114892E-13</v>
      </c>
      <c r="P118" s="14">
        <f t="shared" si="87"/>
        <v>2.2708641912150958E-12</v>
      </c>
      <c r="Q118" s="22">
        <f t="shared" si="107"/>
        <v>4.2330868906469593E-12</v>
      </c>
      <c r="R118" s="60">
        <f t="shared" si="55"/>
        <v>281.08170554310146</v>
      </c>
      <c r="S118" s="60">
        <f ca="1">AVERAGE(OFFSET($R$3,0,0,'Données projet'!$E$9+1,1))-AVERAGE(OFFSET($H$3,0,0,'Données projet'!$E$9+1,1))</f>
        <v>277.7918215389401</v>
      </c>
      <c r="T118" s="60">
        <f t="shared" si="88"/>
        <v>164.65640238394164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3.7</v>
      </c>
      <c r="AI118" s="14">
        <f>IF('Données projet'!$A$62&gt;35,AI117+AH118-AQ117,IF(A118&lt;'Données projet'!$A$62,$AF$205^A118,IF(A118='Données projet'!$A$62,'Données projet'!$B$62,AI117+AH118-AQ117)))</f>
        <v>284.49999999999955</v>
      </c>
      <c r="AJ118" s="14">
        <f>AI118*VLOOKUP('Données projet'!$B$10,Paramètres!$A$1:$I$89,3,0)*VLOOKUP('Données projet'!$B$10,Paramètres!$A$1:$I$89,5,0)</f>
        <v>257.41559999999959</v>
      </c>
      <c r="AK118" s="14">
        <f t="shared" si="89"/>
        <v>62.171168434977062</v>
      </c>
      <c r="AL118" s="22">
        <f t="shared" si="58"/>
        <v>556.61362169091774</v>
      </c>
      <c r="AM118" s="60">
        <f t="shared" si="59"/>
        <v>837.69532723401494</v>
      </c>
      <c r="AN118" s="60">
        <f ca="1">AVERAGE(OFFSET($AM$3,0,0,'Données projet'!$E$10+1,1))-AVERAGE(OFFSET($H$3,0,0,'Données projet'!$E$10+1,1))</f>
        <v>469.67944008675863</v>
      </c>
      <c r="AO118" s="60">
        <f t="shared" si="90"/>
        <v>266.11908070867173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0" t="e">
        <f t="shared" si="62"/>
        <v>#NUM!</v>
      </c>
      <c r="BI118" s="60">
        <f ca="1">AVERAGE(OFFSET($BH$3,0,0,'Données projet'!$E$11+1,1))-AVERAGE(OFFSET($H$3,0,0,'Données projet'!$E$11+1,1))</f>
        <v>216.36762889365235</v>
      </c>
      <c r="BJ118" s="60">
        <f t="shared" si="92"/>
        <v>333.29599352215496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2.5077907548967184</v>
      </c>
      <c r="BQ118" s="23">
        <f>EXP(-LN(2)/25)*BQ117+(1-EXP(-LN(2)/25))/(LN(2)/25)*Calculateur!BL118*Calculateur!BN118*VLOOKUP('Données projet'!$B$11,Paramètres!$A$1:$I$89,3,0)*0.475*44/12</f>
        <v>0.92358423468537332</v>
      </c>
      <c r="BR118" s="23">
        <f>EXP(-LN(2)/2)*BR117+(1-EXP(-LN(2)/2))/(LN(2)/2)*BL118*BO118*VLOOKUP('Données projet'!$B$11,Paramètres!$A$1:$I$89,3,0)*0.475*44/12</f>
        <v>4.7018207978380935E-13</v>
      </c>
      <c r="BS118" s="24">
        <f t="shared" si="63"/>
        <v>3.431374989582562</v>
      </c>
      <c r="BT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3.7</v>
      </c>
      <c r="BY118" s="13">
        <f>IF('Données projet'!$A$114&gt;35,BY117+BX118-CG117,IF(A118&lt;'Données projet'!$A$114,$BV$205^A118,IF(A118='Données projet'!$A$114,'Données projet'!$B$114,BY117+BX118-CG117)))</f>
        <v>284.49999999999955</v>
      </c>
      <c r="BZ118" s="14">
        <f>BY118*VLOOKUP('Données projet'!$B$12,Paramètres!$A$1:$I$89,3,0)*VLOOKUP('Données projet'!$B$12,Paramètres!$A$1:$I$89,5,0)</f>
        <v>275.16839999999956</v>
      </c>
      <c r="CA118" s="14">
        <f t="shared" si="93"/>
        <v>65.944920834841554</v>
      </c>
      <c r="CB118" s="22">
        <f t="shared" si="64"/>
        <v>594.10570045401494</v>
      </c>
      <c r="CC118" s="60">
        <f t="shared" si="65"/>
        <v>875.18740599711214</v>
      </c>
      <c r="CD118" s="60">
        <f ca="1">AVERAGE(OFFSET($CC$3,0,0,'Données projet'!$E$12+1,1))-AVERAGE(OFFSET($H$3,0,0,'Données projet'!$E$12+1,1))</f>
        <v>496.33873798282525</v>
      </c>
      <c r="CE118" s="60">
        <f t="shared" si="94"/>
        <v>280.25465074992246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3.7</v>
      </c>
      <c r="CT118" s="13">
        <f>IF('Données projet'!$A$140&gt;35,CT117+CS118-DB117,IF(A118&lt;'Données projet'!$A$140,$CQ$205^A118,IF(A118='Données projet'!$A$140,'Données projet'!$B$140,CT117+CS118-DB117)))</f>
        <v>284.49999999999955</v>
      </c>
      <c r="CU118" s="18">
        <f>CT118*VLOOKUP('Données projet'!$B$13,Paramètres!$A$1:$I$89,3,0)*VLOOKUP('Données projet'!$B$13,Paramètres!$A$1:$I$89,5,0)</f>
        <v>306.23579999999947</v>
      </c>
      <c r="CV118" s="14">
        <f t="shared" si="95"/>
        <v>72.482157320026886</v>
      </c>
      <c r="CW118" s="22">
        <f t="shared" si="67"/>
        <v>659.6004423323792</v>
      </c>
      <c r="CX118" s="60">
        <f t="shared" si="68"/>
        <v>940.6821478754764</v>
      </c>
      <c r="CY118" s="60">
        <f ca="1">AVERAGE(OFFSET($CX$3,0,0,'Données projet'!$E$13+1,1))-AVERAGE(OFFSET($H$3,0,0,'Données projet'!$E$13+1,1))</f>
        <v>542.90832990875208</v>
      </c>
      <c r="CZ118" s="60">
        <f t="shared" si="96"/>
        <v>304.94365539329362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0" t="e">
        <f t="shared" si="71"/>
        <v>#N/A</v>
      </c>
      <c r="DT118" s="60" t="e">
        <f ca="1">AVERAGE(OFFSET($DS$3,0,0,'Données projet'!$E$14+1,1))-AVERAGE(OFFSET($H$3,0,0,'Données projet'!$E$14+1,1))</f>
        <v>#N/A</v>
      </c>
      <c r="DU118" s="60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0" t="e">
        <f t="shared" si="74"/>
        <v>#N/A</v>
      </c>
      <c r="EO118" s="60" t="e">
        <f ca="1">AVERAGE(OFFSET($EN$3,0,0,'Données projet'!$E$15+1,1))-AVERAGE(OFFSET($H$3,0,0,'Données projet'!$E$15+1,1))</f>
        <v>#N/A</v>
      </c>
      <c r="EP118" s="60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0" t="e">
        <f t="shared" si="77"/>
        <v>#N/A</v>
      </c>
      <c r="FJ118" s="60" t="e">
        <f ca="1">AVERAGE(OFFSET($FI$3,0,0,'Données projet'!$E$16+1,1))-AVERAGE(OFFSET($H$3,0,0,'Données projet'!$E$16+1,1))</f>
        <v>#N/A</v>
      </c>
      <c r="FK118" s="60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0" t="e">
        <f t="shared" si="80"/>
        <v>#N/A</v>
      </c>
      <c r="GE118" s="60" t="e">
        <f ca="1">AVERAGE(OFFSET($GD$3,0,0,'Données projet'!$E$17+1,1))-AVERAGE(OFFSET($H$3,0,0,'Données projet'!$E$17+1,1))</f>
        <v>#N/A</v>
      </c>
      <c r="GF118" s="60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4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3.4106051316484809E-13</v>
      </c>
      <c r="O119" s="14">
        <f>N119*VLOOKUP('Données projet'!$B$9,Paramètres!$A$1:$I$89,3,0)*VLOOKUP('Données projet'!$B$9,Paramètres!$A$1:$I$89,5,0)</f>
        <v>1.5961632016114892E-13</v>
      </c>
      <c r="P119" s="14">
        <f t="shared" si="87"/>
        <v>2.2708641912150958E-12</v>
      </c>
      <c r="Q119" s="22">
        <f t="shared" si="107"/>
        <v>4.2330868906469593E-12</v>
      </c>
      <c r="R119" s="60">
        <f t="shared" si="55"/>
        <v>281.2942438947257</v>
      </c>
      <c r="S119" s="60">
        <f ca="1">AVERAGE(OFFSET($R$3,0,0,'Données projet'!$E$9+1,1))-AVERAGE(OFFSET($H$3,0,0,'Données projet'!$E$9+1,1))</f>
        <v>277.7918215389401</v>
      </c>
      <c r="T119" s="60">
        <f t="shared" si="88"/>
        <v>164.65640238394164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3.7</v>
      </c>
      <c r="AI119" s="14">
        <f>IF('Données projet'!$A$62&gt;35,AI118+AH119-AQ118,IF(A119&lt;'Données projet'!$A$62,$AF$205^A119,IF(A119='Données projet'!$A$62,'Données projet'!$B$62,AI118+AH119-AQ118)))</f>
        <v>288.19999999999953</v>
      </c>
      <c r="AJ119" s="14">
        <f>AI119*VLOOKUP('Données projet'!$B$10,Paramètres!$A$1:$I$89,3,0)*VLOOKUP('Données projet'!$B$10,Paramètres!$A$1:$I$89,5,0)</f>
        <v>260.76335999999958</v>
      </c>
      <c r="AK119" s="14">
        <f t="shared" si="89"/>
        <v>62.885067686031896</v>
      </c>
      <c r="AL119" s="22">
        <f t="shared" si="58"/>
        <v>563.68767821983818</v>
      </c>
      <c r="AM119" s="60">
        <f t="shared" si="59"/>
        <v>844.98192211455967</v>
      </c>
      <c r="AN119" s="60">
        <f ca="1">AVERAGE(OFFSET($AM$3,0,0,'Données projet'!$E$10+1,1))-AVERAGE(OFFSET($H$3,0,0,'Données projet'!$E$10+1,1))</f>
        <v>469.67944008675863</v>
      </c>
      <c r="AO119" s="60">
        <f t="shared" si="90"/>
        <v>266.11908070867173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0" t="e">
        <f t="shared" si="62"/>
        <v>#NUM!</v>
      </c>
      <c r="BI119" s="60">
        <f ca="1">AVERAGE(OFFSET($BH$3,0,0,'Données projet'!$E$11+1,1))-AVERAGE(OFFSET($H$3,0,0,'Données projet'!$E$11+1,1))</f>
        <v>216.36762889365235</v>
      </c>
      <c r="BJ119" s="60">
        <f t="shared" si="92"/>
        <v>333.29599352215496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2.4586145077945187</v>
      </c>
      <c r="BQ119" s="23">
        <f>EXP(-LN(2)/25)*BQ118+(1-EXP(-LN(2)/25))/(LN(2)/25)*Calculateur!BL119*Calculateur!BN119*VLOOKUP('Données projet'!$B$11,Paramètres!$A$1:$I$89,3,0)*0.475*44/12</f>
        <v>0.89832877521871779</v>
      </c>
      <c r="BR119" s="23">
        <f>EXP(-LN(2)/2)*BR118+(1-EXP(-LN(2)/2))/(LN(2)/2)*BL119*BO119*VLOOKUP('Données projet'!$B$11,Paramètres!$A$1:$I$89,3,0)*0.475*44/12</f>
        <v>3.3246893700752591E-13</v>
      </c>
      <c r="BS119" s="24">
        <f t="shared" si="63"/>
        <v>3.3569432830135693</v>
      </c>
      <c r="BT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3.7</v>
      </c>
      <c r="BY119" s="13">
        <f>IF('Données projet'!$A$114&gt;35,BY118+BX119-CG118,IF(A119&lt;'Données projet'!$A$114,$BV$205^A119,IF(A119='Données projet'!$A$114,'Données projet'!$B$114,BY118+BX119-CG118)))</f>
        <v>288.19999999999953</v>
      </c>
      <c r="BZ119" s="14">
        <f>BY119*VLOOKUP('Données projet'!$B$12,Paramètres!$A$1:$I$89,3,0)*VLOOKUP('Données projet'!$B$12,Paramètres!$A$1:$I$89,5,0)</f>
        <v>278.74703999999957</v>
      </c>
      <c r="CA119" s="14">
        <f t="shared" si="93"/>
        <v>66.702153339553135</v>
      </c>
      <c r="CB119" s="22">
        <f t="shared" si="64"/>
        <v>601.65734506638762</v>
      </c>
      <c r="CC119" s="60">
        <f t="shared" si="65"/>
        <v>882.95158896110911</v>
      </c>
      <c r="CD119" s="60">
        <f ca="1">AVERAGE(OFFSET($CC$3,0,0,'Données projet'!$E$12+1,1))-AVERAGE(OFFSET($H$3,0,0,'Données projet'!$E$12+1,1))</f>
        <v>496.33873798282525</v>
      </c>
      <c r="CE119" s="60">
        <f t="shared" si="94"/>
        <v>280.25465074992246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3.7</v>
      </c>
      <c r="CT119" s="13">
        <f>IF('Données projet'!$A$140&gt;35,CT118+CS119-DB118,IF(A119&lt;'Données projet'!$A$140,$CQ$205^A119,IF(A119='Données projet'!$A$140,'Données projet'!$B$140,CT118+CS119-DB118)))</f>
        <v>288.19999999999953</v>
      </c>
      <c r="CU119" s="18">
        <f>CT119*VLOOKUP('Données projet'!$B$13,Paramètres!$A$1:$I$89,3,0)*VLOOKUP('Données projet'!$B$13,Paramètres!$A$1:$I$89,5,0)</f>
        <v>310.21847999999949</v>
      </c>
      <c r="CV119" s="14">
        <f t="shared" si="95"/>
        <v>73.314455620479848</v>
      </c>
      <c r="CW119" s="22">
        <f t="shared" si="67"/>
        <v>667.98652953900148</v>
      </c>
      <c r="CX119" s="60">
        <f t="shared" si="68"/>
        <v>949.28077343372297</v>
      </c>
      <c r="CY119" s="60">
        <f ca="1">AVERAGE(OFFSET($CX$3,0,0,'Données projet'!$E$13+1,1))-AVERAGE(OFFSET($H$3,0,0,'Données projet'!$E$13+1,1))</f>
        <v>542.90832990875208</v>
      </c>
      <c r="CZ119" s="60">
        <f t="shared" si="96"/>
        <v>304.94365539329362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0" t="e">
        <f t="shared" si="71"/>
        <v>#N/A</v>
      </c>
      <c r="DT119" s="60" t="e">
        <f ca="1">AVERAGE(OFFSET($DS$3,0,0,'Données projet'!$E$14+1,1))-AVERAGE(OFFSET($H$3,0,0,'Données projet'!$E$14+1,1))</f>
        <v>#N/A</v>
      </c>
      <c r="DU119" s="60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0" t="e">
        <f t="shared" si="74"/>
        <v>#N/A</v>
      </c>
      <c r="EO119" s="60" t="e">
        <f ca="1">AVERAGE(OFFSET($EN$3,0,0,'Données projet'!$E$15+1,1))-AVERAGE(OFFSET($H$3,0,0,'Données projet'!$E$15+1,1))</f>
        <v>#N/A</v>
      </c>
      <c r="EP119" s="60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0" t="e">
        <f t="shared" si="77"/>
        <v>#N/A</v>
      </c>
      <c r="FJ119" s="60" t="e">
        <f ca="1">AVERAGE(OFFSET($FI$3,0,0,'Données projet'!$E$16+1,1))-AVERAGE(OFFSET($H$3,0,0,'Données projet'!$E$16+1,1))</f>
        <v>#N/A</v>
      </c>
      <c r="FK119" s="60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0" t="e">
        <f t="shared" si="80"/>
        <v>#N/A</v>
      </c>
      <c r="GE119" s="60" t="e">
        <f ca="1">AVERAGE(OFFSET($GD$3,0,0,'Données projet'!$E$17+1,1))-AVERAGE(OFFSET($H$3,0,0,'Données projet'!$E$17+1,1))</f>
        <v>#N/A</v>
      </c>
      <c r="GF119" s="60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4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3.4106051316484809E-13</v>
      </c>
      <c r="O120" s="14">
        <f>N120*VLOOKUP('Données projet'!$B$9,Paramètres!$A$1:$I$89,3,0)*VLOOKUP('Données projet'!$B$9,Paramètres!$A$1:$I$89,5,0)</f>
        <v>1.5961632016114892E-13</v>
      </c>
      <c r="P120" s="14">
        <f t="shared" si="87"/>
        <v>2.2708641912150958E-12</v>
      </c>
      <c r="Q120" s="22">
        <f t="shared" si="107"/>
        <v>4.2330868906469593E-12</v>
      </c>
      <c r="R120" s="60">
        <f t="shared" si="55"/>
        <v>281.50309518111385</v>
      </c>
      <c r="S120" s="60">
        <f ca="1">AVERAGE(OFFSET($R$3,0,0,'Données projet'!$E$9+1,1))-AVERAGE(OFFSET($H$3,0,0,'Données projet'!$E$9+1,1))</f>
        <v>277.7918215389401</v>
      </c>
      <c r="T120" s="60">
        <f t="shared" si="88"/>
        <v>164.65640238394164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3.7</v>
      </c>
      <c r="AI120" s="14">
        <f>IF('Données projet'!$A$62&gt;35,AI119+AH120-AQ119,IF(A120&lt;'Données projet'!$A$62,$AF$205^A120,IF(A120='Données projet'!$A$62,'Données projet'!$B$62,AI119+AH120-AQ119)))</f>
        <v>291.89999999999952</v>
      </c>
      <c r="AJ120" s="14">
        <f>AI120*VLOOKUP('Données projet'!$B$10,Paramètres!$A$1:$I$89,3,0)*VLOOKUP('Données projet'!$B$10,Paramètres!$A$1:$I$89,5,0)</f>
        <v>264.11111999999957</v>
      </c>
      <c r="AK120" s="14">
        <f t="shared" si="89"/>
        <v>63.597900866870546</v>
      </c>
      <c r="AL120" s="22">
        <f t="shared" si="58"/>
        <v>570.75987800979885</v>
      </c>
      <c r="AM120" s="60">
        <f t="shared" si="59"/>
        <v>852.2629731909085</v>
      </c>
      <c r="AN120" s="60">
        <f ca="1">AVERAGE(OFFSET($AM$3,0,0,'Données projet'!$E$10+1,1))-AVERAGE(OFFSET($H$3,0,0,'Données projet'!$E$10+1,1))</f>
        <v>469.67944008675863</v>
      </c>
      <c r="AO120" s="60">
        <f t="shared" si="90"/>
        <v>266.11908070867173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0" t="e">
        <f t="shared" si="62"/>
        <v>#NUM!</v>
      </c>
      <c r="BI120" s="60">
        <f ca="1">AVERAGE(OFFSET($BH$3,0,0,'Données projet'!$E$11+1,1))-AVERAGE(OFFSET($H$3,0,0,'Données projet'!$E$11+1,1))</f>
        <v>216.36762889365235</v>
      </c>
      <c r="BJ120" s="60">
        <f t="shared" si="92"/>
        <v>333.29599352215496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2.4104025769034441</v>
      </c>
      <c r="BQ120" s="23">
        <f>EXP(-LN(2)/25)*BQ119+(1-EXP(-LN(2)/25))/(LN(2)/25)*Calculateur!BL120*Calculateur!BN120*VLOOKUP('Données projet'!$B$11,Paramètres!$A$1:$I$89,3,0)*0.475*44/12</f>
        <v>0.87376392761930477</v>
      </c>
      <c r="BR120" s="23">
        <f>EXP(-LN(2)/2)*BR119+(1-EXP(-LN(2)/2))/(LN(2)/2)*BL120*BO120*VLOOKUP('Données projet'!$B$11,Paramètres!$A$1:$I$89,3,0)*0.475*44/12</f>
        <v>2.3509103989190468E-13</v>
      </c>
      <c r="BS120" s="24">
        <f t="shared" si="63"/>
        <v>3.2841665045229838</v>
      </c>
      <c r="BT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3.7</v>
      </c>
      <c r="BY120" s="13">
        <f>IF('Données projet'!$A$114&gt;35,BY119+BX120-CG119,IF(A120&lt;'Données projet'!$A$114,$BV$205^A120,IF(A120='Données projet'!$A$114,'Données projet'!$B$114,BY119+BX120-CG119)))</f>
        <v>291.89999999999952</v>
      </c>
      <c r="BZ120" s="14">
        <f>BY120*VLOOKUP('Données projet'!$B$12,Paramètres!$A$1:$I$89,3,0)*VLOOKUP('Données projet'!$B$12,Paramètres!$A$1:$I$89,5,0)</f>
        <v>282.32567999999952</v>
      </c>
      <c r="CA120" s="14">
        <f t="shared" si="93"/>
        <v>67.458255064229917</v>
      </c>
      <c r="CB120" s="22">
        <f t="shared" si="64"/>
        <v>609.20702023686624</v>
      </c>
      <c r="CC120" s="60">
        <f t="shared" si="65"/>
        <v>890.71011541797589</v>
      </c>
      <c r="CD120" s="60">
        <f ca="1">AVERAGE(OFFSET($CC$3,0,0,'Données projet'!$E$12+1,1))-AVERAGE(OFFSET($H$3,0,0,'Données projet'!$E$12+1,1))</f>
        <v>496.33873798282525</v>
      </c>
      <c r="CE120" s="60">
        <f t="shared" si="94"/>
        <v>280.25465074992246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3.7</v>
      </c>
      <c r="CT120" s="13">
        <f>IF('Données projet'!$A$140&gt;35,CT119+CS120-DB119,IF(A120&lt;'Données projet'!$A$140,$CQ$205^A120,IF(A120='Données projet'!$A$140,'Données projet'!$B$140,CT119+CS120-DB119)))</f>
        <v>291.89999999999952</v>
      </c>
      <c r="CU120" s="18">
        <f>CT120*VLOOKUP('Données projet'!$B$13,Paramètres!$A$1:$I$89,3,0)*VLOOKUP('Données projet'!$B$13,Paramètres!$A$1:$I$89,5,0)</f>
        <v>314.2011599999995</v>
      </c>
      <c r="CV120" s="14">
        <f t="shared" si="95"/>
        <v>74.145511044675771</v>
      </c>
      <c r="CW120" s="22">
        <f t="shared" si="67"/>
        <v>676.37045206947607</v>
      </c>
      <c r="CX120" s="60">
        <f t="shared" si="68"/>
        <v>957.87354725058572</v>
      </c>
      <c r="CY120" s="60">
        <f ca="1">AVERAGE(OFFSET($CX$3,0,0,'Données projet'!$E$13+1,1))-AVERAGE(OFFSET($H$3,0,0,'Données projet'!$E$13+1,1))</f>
        <v>542.90832990875208</v>
      </c>
      <c r="CZ120" s="60">
        <f t="shared" si="96"/>
        <v>304.94365539329362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0" t="e">
        <f t="shared" si="71"/>
        <v>#N/A</v>
      </c>
      <c r="DT120" s="60" t="e">
        <f ca="1">AVERAGE(OFFSET($DS$3,0,0,'Données projet'!$E$14+1,1))-AVERAGE(OFFSET($H$3,0,0,'Données projet'!$E$14+1,1))</f>
        <v>#N/A</v>
      </c>
      <c r="DU120" s="60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0" t="e">
        <f t="shared" si="74"/>
        <v>#N/A</v>
      </c>
      <c r="EO120" s="60" t="e">
        <f ca="1">AVERAGE(OFFSET($EN$3,0,0,'Données projet'!$E$15+1,1))-AVERAGE(OFFSET($H$3,0,0,'Données projet'!$E$15+1,1))</f>
        <v>#N/A</v>
      </c>
      <c r="EP120" s="60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0" t="e">
        <f t="shared" si="77"/>
        <v>#N/A</v>
      </c>
      <c r="FJ120" s="60" t="e">
        <f ca="1">AVERAGE(OFFSET($FI$3,0,0,'Données projet'!$E$16+1,1))-AVERAGE(OFFSET($H$3,0,0,'Données projet'!$E$16+1,1))</f>
        <v>#N/A</v>
      </c>
      <c r="FK120" s="60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0" t="e">
        <f t="shared" si="80"/>
        <v>#N/A</v>
      </c>
      <c r="GE120" s="60" t="e">
        <f ca="1">AVERAGE(OFFSET($GD$3,0,0,'Données projet'!$E$17+1,1))-AVERAGE(OFFSET($H$3,0,0,'Données projet'!$E$17+1,1))</f>
        <v>#N/A</v>
      </c>
      <c r="GF120" s="60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4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3.4106051316484809E-13</v>
      </c>
      <c r="O121" s="14">
        <f>N121*VLOOKUP('Données projet'!$B$9,Paramètres!$A$1:$I$89,3,0)*VLOOKUP('Données projet'!$B$9,Paramètres!$A$1:$I$89,5,0)</f>
        <v>1.5961632016114892E-13</v>
      </c>
      <c r="P121" s="14">
        <f t="shared" si="87"/>
        <v>2.2708641912150958E-12</v>
      </c>
      <c r="Q121" s="22">
        <f t="shared" si="107"/>
        <v>4.2330868906469593E-12</v>
      </c>
      <c r="R121" s="60">
        <f t="shared" si="55"/>
        <v>281.70832336460461</v>
      </c>
      <c r="S121" s="60">
        <f ca="1">AVERAGE(OFFSET($R$3,0,0,'Données projet'!$E$9+1,1))-AVERAGE(OFFSET($H$3,0,0,'Données projet'!$E$9+1,1))</f>
        <v>277.7918215389401</v>
      </c>
      <c r="T121" s="60">
        <f t="shared" si="88"/>
        <v>164.65640238394164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3.7</v>
      </c>
      <c r="AI121" s="14">
        <f>IF('Données projet'!$A$62&gt;35,AI120+AH121-AQ120,IF(A121&lt;'Données projet'!$A$62,$AF$205^A121,IF(A121='Données projet'!$A$62,'Données projet'!$B$62,AI120+AH121-AQ120)))</f>
        <v>295.59999999999951</v>
      </c>
      <c r="AJ121" s="14">
        <f>AI121*VLOOKUP('Données projet'!$B$10,Paramètres!$A$1:$I$89,3,0)*VLOOKUP('Données projet'!$B$10,Paramètres!$A$1:$I$89,5,0)</f>
        <v>267.45887999999951</v>
      </c>
      <c r="AK121" s="14">
        <f t="shared" si="89"/>
        <v>64.309683053152327</v>
      </c>
      <c r="AL121" s="22">
        <f t="shared" si="58"/>
        <v>577.8302473175728</v>
      </c>
      <c r="AM121" s="60">
        <f t="shared" si="59"/>
        <v>859.53857068217326</v>
      </c>
      <c r="AN121" s="60">
        <f ca="1">AVERAGE(OFFSET($AM$3,0,0,'Données projet'!$E$10+1,1))-AVERAGE(OFFSET($H$3,0,0,'Données projet'!$E$10+1,1))</f>
        <v>469.67944008675863</v>
      </c>
      <c r="AO121" s="60">
        <f t="shared" si="90"/>
        <v>266.11908070867173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0" t="e">
        <f t="shared" si="62"/>
        <v>#NUM!</v>
      </c>
      <c r="BI121" s="60">
        <f ca="1">AVERAGE(OFFSET($BH$3,0,0,'Données projet'!$E$11+1,1))-AVERAGE(OFFSET($H$3,0,0,'Données projet'!$E$11+1,1))</f>
        <v>216.36762889365235</v>
      </c>
      <c r="BJ121" s="60">
        <f t="shared" si="92"/>
        <v>333.29599352215496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2.3631360525707694</v>
      </c>
      <c r="BQ121" s="23">
        <f>EXP(-LN(2)/25)*BQ120+(1-EXP(-LN(2)/25))/(LN(2)/25)*Calculateur!BL121*Calculateur!BN121*VLOOKUP('Données projet'!$B$11,Paramètres!$A$1:$I$89,3,0)*0.475*44/12</f>
        <v>0.84987080706930695</v>
      </c>
      <c r="BR121" s="23">
        <f>EXP(-LN(2)/2)*BR120+(1-EXP(-LN(2)/2))/(LN(2)/2)*BL121*BO121*VLOOKUP('Données projet'!$B$11,Paramètres!$A$1:$I$89,3,0)*0.475*44/12</f>
        <v>1.6623446850376296E-13</v>
      </c>
      <c r="BS121" s="24">
        <f t="shared" si="63"/>
        <v>3.2130068596402426</v>
      </c>
      <c r="BT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3.7</v>
      </c>
      <c r="BY121" s="13">
        <f>IF('Données projet'!$A$114&gt;35,BY120+BX121-CG120,IF(A121&lt;'Données projet'!$A$114,$BV$205^A121,IF(A121='Données projet'!$A$114,'Données projet'!$B$114,BY120+BX121-CG120)))</f>
        <v>295.59999999999951</v>
      </c>
      <c r="BZ121" s="14">
        <f>BY121*VLOOKUP('Données projet'!$B$12,Paramètres!$A$1:$I$89,3,0)*VLOOKUP('Données projet'!$B$12,Paramètres!$A$1:$I$89,5,0)</f>
        <v>285.90431999999953</v>
      </c>
      <c r="CA121" s="14">
        <f t="shared" si="93"/>
        <v>68.213241999614453</v>
      </c>
      <c r="CB121" s="22">
        <f t="shared" si="64"/>
        <v>616.75475381599438</v>
      </c>
      <c r="CC121" s="60">
        <f t="shared" si="65"/>
        <v>898.46307718059484</v>
      </c>
      <c r="CD121" s="60">
        <f ca="1">AVERAGE(OFFSET($CC$3,0,0,'Données projet'!$E$12+1,1))-AVERAGE(OFFSET($H$3,0,0,'Données projet'!$E$12+1,1))</f>
        <v>496.33873798282525</v>
      </c>
      <c r="CE121" s="60">
        <f t="shared" si="94"/>
        <v>280.25465074992246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3.7</v>
      </c>
      <c r="CT121" s="13">
        <f>IF('Données projet'!$A$140&gt;35,CT120+CS121-DB120,IF(A121&lt;'Données projet'!$A$140,$CQ$205^A121,IF(A121='Données projet'!$A$140,'Données projet'!$B$140,CT120+CS121-DB120)))</f>
        <v>295.59999999999951</v>
      </c>
      <c r="CU121" s="18">
        <f>CT121*VLOOKUP('Données projet'!$B$13,Paramètres!$A$1:$I$89,3,0)*VLOOKUP('Données projet'!$B$13,Paramètres!$A$1:$I$89,5,0)</f>
        <v>318.18383999999946</v>
      </c>
      <c r="CV121" s="14">
        <f t="shared" si="95"/>
        <v>74.975341168547786</v>
      </c>
      <c r="CW121" s="22">
        <f t="shared" si="67"/>
        <v>684.75224053521981</v>
      </c>
      <c r="CX121" s="60">
        <f t="shared" si="68"/>
        <v>966.46056389982027</v>
      </c>
      <c r="CY121" s="60">
        <f ca="1">AVERAGE(OFFSET($CX$3,0,0,'Données projet'!$E$13+1,1))-AVERAGE(OFFSET($H$3,0,0,'Données projet'!$E$13+1,1))</f>
        <v>542.90832990875208</v>
      </c>
      <c r="CZ121" s="60">
        <f t="shared" si="96"/>
        <v>304.94365539329362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0" t="e">
        <f t="shared" si="71"/>
        <v>#N/A</v>
      </c>
      <c r="DT121" s="60" t="e">
        <f ca="1">AVERAGE(OFFSET($DS$3,0,0,'Données projet'!$E$14+1,1))-AVERAGE(OFFSET($H$3,0,0,'Données projet'!$E$14+1,1))</f>
        <v>#N/A</v>
      </c>
      <c r="DU121" s="60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0" t="e">
        <f t="shared" si="74"/>
        <v>#N/A</v>
      </c>
      <c r="EO121" s="60" t="e">
        <f ca="1">AVERAGE(OFFSET($EN$3,0,0,'Données projet'!$E$15+1,1))-AVERAGE(OFFSET($H$3,0,0,'Données projet'!$E$15+1,1))</f>
        <v>#N/A</v>
      </c>
      <c r="EP121" s="60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0" t="e">
        <f t="shared" si="77"/>
        <v>#N/A</v>
      </c>
      <c r="FJ121" s="60" t="e">
        <f ca="1">AVERAGE(OFFSET($FI$3,0,0,'Données projet'!$E$16+1,1))-AVERAGE(OFFSET($H$3,0,0,'Données projet'!$E$16+1,1))</f>
        <v>#N/A</v>
      </c>
      <c r="FK121" s="60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0" t="e">
        <f t="shared" si="80"/>
        <v>#N/A</v>
      </c>
      <c r="GE121" s="60" t="e">
        <f ca="1">AVERAGE(OFFSET($GD$3,0,0,'Données projet'!$E$17+1,1))-AVERAGE(OFFSET($H$3,0,0,'Données projet'!$E$17+1,1))</f>
        <v>#N/A</v>
      </c>
      <c r="GF121" s="60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4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3.4106051316484809E-13</v>
      </c>
      <c r="O122" s="14">
        <f>N122*VLOOKUP('Données projet'!$B$9,Paramètres!$A$1:$I$89,3,0)*VLOOKUP('Données projet'!$B$9,Paramètres!$A$1:$I$89,5,0)</f>
        <v>1.5961632016114892E-13</v>
      </c>
      <c r="P122" s="14">
        <f t="shared" si="87"/>
        <v>2.2708641912150958E-12</v>
      </c>
      <c r="Q122" s="22">
        <f t="shared" si="107"/>
        <v>4.2330868906469593E-12</v>
      </c>
      <c r="R122" s="60">
        <f t="shared" si="55"/>
        <v>281.90999129793335</v>
      </c>
      <c r="S122" s="60">
        <f ca="1">AVERAGE(OFFSET($R$3,0,0,'Données projet'!$E$9+1,1))-AVERAGE(OFFSET($H$3,0,0,'Données projet'!$E$9+1,1))</f>
        <v>277.7918215389401</v>
      </c>
      <c r="T122" s="60">
        <f t="shared" si="88"/>
        <v>164.65640238394164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3.7</v>
      </c>
      <c r="AI122" s="14">
        <f>IF('Données projet'!$A$62&gt;35,AI121+AH122-AQ121,IF(A122&lt;'Données projet'!$A$62,$AF$205^A122,IF(A122='Données projet'!$A$62,'Données projet'!$B$62,AI121+AH122-AQ121)))</f>
        <v>299.2999999999995</v>
      </c>
      <c r="AJ122" s="14">
        <f>AI122*VLOOKUP('Données projet'!$B$10,Paramètres!$A$1:$I$89,3,0)*VLOOKUP('Données projet'!$B$10,Paramètres!$A$1:$I$89,5,0)</f>
        <v>270.80663999999956</v>
      </c>
      <c r="AK122" s="14">
        <f t="shared" si="89"/>
        <v>65.020428921429911</v>
      </c>
      <c r="AL122" s="22">
        <f t="shared" si="58"/>
        <v>584.89881170482306</v>
      </c>
      <c r="AM122" s="60">
        <f t="shared" si="59"/>
        <v>866.80880300275226</v>
      </c>
      <c r="AN122" s="60">
        <f ca="1">AVERAGE(OFFSET($AM$3,0,0,'Données projet'!$E$10+1,1))-AVERAGE(OFFSET($H$3,0,0,'Données projet'!$E$10+1,1))</f>
        <v>469.67944008675863</v>
      </c>
      <c r="AO122" s="60">
        <f t="shared" si="90"/>
        <v>266.11908070867173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0" t="e">
        <f t="shared" si="62"/>
        <v>#NUM!</v>
      </c>
      <c r="BI122" s="60">
        <f ca="1">AVERAGE(OFFSET($BH$3,0,0,'Données projet'!$E$11+1,1))-AVERAGE(OFFSET($H$3,0,0,'Données projet'!$E$11+1,1))</f>
        <v>216.36762889365235</v>
      </c>
      <c r="BJ122" s="60">
        <f t="shared" si="92"/>
        <v>333.29599352215496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2.3167963959505253</v>
      </c>
      <c r="BQ122" s="23">
        <f>EXP(-LN(2)/25)*BQ121+(1-EXP(-LN(2)/25))/(LN(2)/25)*Calculateur!BL122*Calculateur!BN122*VLOOKUP('Données projet'!$B$11,Paramètres!$A$1:$I$89,3,0)*0.475*44/12</f>
        <v>0.8266310451572334</v>
      </c>
      <c r="BR122" s="23">
        <f>EXP(-LN(2)/2)*BR121+(1-EXP(-LN(2)/2))/(LN(2)/2)*BL122*BO122*VLOOKUP('Données projet'!$B$11,Paramètres!$A$1:$I$89,3,0)*0.475*44/12</f>
        <v>1.1754551994595234E-13</v>
      </c>
      <c r="BS122" s="24">
        <f t="shared" si="63"/>
        <v>3.1434274411078764</v>
      </c>
      <c r="BT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3.7</v>
      </c>
      <c r="BY122" s="13">
        <f>IF('Données projet'!$A$114&gt;35,BY121+BX122-CG121,IF(A122&lt;'Données projet'!$A$114,$BV$205^A122,IF(A122='Données projet'!$A$114,'Données projet'!$B$114,BY121+BX122-CG121)))</f>
        <v>299.2999999999995</v>
      </c>
      <c r="BZ122" s="14">
        <f>BY122*VLOOKUP('Données projet'!$B$12,Paramètres!$A$1:$I$89,3,0)*VLOOKUP('Données projet'!$B$12,Paramètres!$A$1:$I$89,5,0)</f>
        <v>289.48295999999954</v>
      </c>
      <c r="CA122" s="14">
        <f t="shared" si="93"/>
        <v>68.967129713117401</v>
      </c>
      <c r="CB122" s="22">
        <f t="shared" si="64"/>
        <v>624.300572917012</v>
      </c>
      <c r="CC122" s="60">
        <f t="shared" si="65"/>
        <v>906.21056421494109</v>
      </c>
      <c r="CD122" s="60">
        <f ca="1">AVERAGE(OFFSET($CC$3,0,0,'Données projet'!$E$12+1,1))-AVERAGE(OFFSET($H$3,0,0,'Données projet'!$E$12+1,1))</f>
        <v>496.33873798282525</v>
      </c>
      <c r="CE122" s="60">
        <f t="shared" si="94"/>
        <v>280.25465074992246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3.7</v>
      </c>
      <c r="CT122" s="13">
        <f>IF('Données projet'!$A$140&gt;35,CT121+CS122-DB121,IF(A122&lt;'Données projet'!$A$140,$CQ$205^A122,IF(A122='Données projet'!$A$140,'Données projet'!$B$140,CT121+CS122-DB121)))</f>
        <v>299.2999999999995</v>
      </c>
      <c r="CU122" s="18">
        <f>CT122*VLOOKUP('Données projet'!$B$13,Paramètres!$A$1:$I$89,3,0)*VLOOKUP('Données projet'!$B$13,Paramètres!$A$1:$I$89,5,0)</f>
        <v>322.16651999999942</v>
      </c>
      <c r="CV122" s="14">
        <f t="shared" si="95"/>
        <v>75.803963102731529</v>
      </c>
      <c r="CW122" s="22">
        <f t="shared" si="67"/>
        <v>693.13192473725633</v>
      </c>
      <c r="CX122" s="60">
        <f t="shared" si="68"/>
        <v>975.04191603518552</v>
      </c>
      <c r="CY122" s="60">
        <f ca="1">AVERAGE(OFFSET($CX$3,0,0,'Données projet'!$E$13+1,1))-AVERAGE(OFFSET($H$3,0,0,'Données projet'!$E$13+1,1))</f>
        <v>542.90832990875208</v>
      </c>
      <c r="CZ122" s="60">
        <f t="shared" si="96"/>
        <v>304.94365539329362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0" t="e">
        <f t="shared" si="71"/>
        <v>#N/A</v>
      </c>
      <c r="DT122" s="60" t="e">
        <f ca="1">AVERAGE(OFFSET($DS$3,0,0,'Données projet'!$E$14+1,1))-AVERAGE(OFFSET($H$3,0,0,'Données projet'!$E$14+1,1))</f>
        <v>#N/A</v>
      </c>
      <c r="DU122" s="60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0" t="e">
        <f t="shared" si="74"/>
        <v>#N/A</v>
      </c>
      <c r="EO122" s="60" t="e">
        <f ca="1">AVERAGE(OFFSET($EN$3,0,0,'Données projet'!$E$15+1,1))-AVERAGE(OFFSET($H$3,0,0,'Données projet'!$E$15+1,1))</f>
        <v>#N/A</v>
      </c>
      <c r="EP122" s="60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0" t="e">
        <f t="shared" si="77"/>
        <v>#N/A</v>
      </c>
      <c r="FJ122" s="60" t="e">
        <f ca="1">AVERAGE(OFFSET($FI$3,0,0,'Données projet'!$E$16+1,1))-AVERAGE(OFFSET($H$3,0,0,'Données projet'!$E$16+1,1))</f>
        <v>#N/A</v>
      </c>
      <c r="FK122" s="60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0" t="e">
        <f t="shared" si="80"/>
        <v>#N/A</v>
      </c>
      <c r="GE122" s="60" t="e">
        <f ca="1">AVERAGE(OFFSET($GD$3,0,0,'Données projet'!$E$17+1,1))-AVERAGE(OFFSET($H$3,0,0,'Données projet'!$E$17+1,1))</f>
        <v>#N/A</v>
      </c>
      <c r="GF122" s="60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4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3.4106051316484809E-13</v>
      </c>
      <c r="O123" s="14">
        <f>N123*VLOOKUP('Données projet'!$B$9,Paramètres!$A$1:$I$89,3,0)*VLOOKUP('Données projet'!$B$9,Paramètres!$A$1:$I$89,5,0)</f>
        <v>1.5961632016114892E-13</v>
      </c>
      <c r="P123" s="14">
        <f t="shared" si="87"/>
        <v>2.2708641912150958E-12</v>
      </c>
      <c r="Q123" s="22">
        <f t="shared" si="107"/>
        <v>4.2330868906469593E-12</v>
      </c>
      <c r="R123" s="60">
        <f t="shared" si="55"/>
        <v>282.10816074348082</v>
      </c>
      <c r="S123" s="60">
        <f ca="1">AVERAGE(OFFSET($R$3,0,0,'Données projet'!$E$9+1,1))-AVERAGE(OFFSET($H$3,0,0,'Données projet'!$E$9+1,1))</f>
        <v>277.7918215389401</v>
      </c>
      <c r="T123" s="60">
        <f t="shared" si="88"/>
        <v>164.65640238394164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303</v>
      </c>
      <c r="AG123" s="13">
        <f>VLOOKUP(A123,'Données projet'!$A$61:$I$81,9,0)</f>
        <v>3.7</v>
      </c>
      <c r="AH123" s="13">
        <f t="array" ref="AH123">INDEX(AG:AG,MIN(IF(ISNUMBER(AG123:AG319),ROW(AG123:AG319),"")))</f>
        <v>3.7</v>
      </c>
      <c r="AI123" s="14">
        <f>IF('Données projet'!$A$62&gt;35,AI122+AH123-AQ122,IF(A123&lt;'Données projet'!$A$62,$AF$205^A123,IF(A123='Données projet'!$A$62,'Données projet'!$B$62,AI122+AH123-AQ122)))</f>
        <v>302.99999999999949</v>
      </c>
      <c r="AJ123" s="14">
        <f>AI123*VLOOKUP('Données projet'!$B$10,Paramètres!$A$1:$I$89,3,0)*VLOOKUP('Données projet'!$B$10,Paramètres!$A$1:$I$89,5,0)</f>
        <v>274.15439999999955</v>
      </c>
      <c r="AK123" s="14">
        <f t="shared" si="89"/>
        <v>65.730152764515779</v>
      </c>
      <c r="AL123" s="22">
        <f t="shared" si="58"/>
        <v>591.96559606486414</v>
      </c>
      <c r="AM123" s="60">
        <f t="shared" si="59"/>
        <v>874.0737568083407</v>
      </c>
      <c r="AN123" s="60">
        <f ca="1">AVERAGE(OFFSET($AM$3,0,0,'Données projet'!$E$10+1,1))-AVERAGE(OFFSET($H$3,0,0,'Données projet'!$E$10+1,1))</f>
        <v>469.67944008675863</v>
      </c>
      <c r="AO123" s="60">
        <f t="shared" si="90"/>
        <v>266.11908070867173</v>
      </c>
      <c r="AP123" s="16">
        <f>IF(ISNA(VLOOKUP(A123,'Données projet'!$A$61:$I$81,3,0)),0,VLOOKUP(A123,'Données projet'!$A$61:$I$81,3,0))</f>
        <v>10</v>
      </c>
      <c r="AQ123" s="16">
        <f>IF(ISNA(VLOOKUP(A123,'Données projet'!$A$61:$I$81,4,0)),0,VLOOKUP(A123,'Données projet'!$A$61:$I$81,4,0))</f>
        <v>35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0" t="e">
        <f t="shared" si="62"/>
        <v>#NUM!</v>
      </c>
      <c r="BI123" s="60">
        <f ca="1">AVERAGE(OFFSET($BH$3,0,0,'Données projet'!$E$11+1,1))-AVERAGE(OFFSET($H$3,0,0,'Données projet'!$E$11+1,1))</f>
        <v>216.36762889365235</v>
      </c>
      <c r="BJ123" s="60">
        <f t="shared" si="92"/>
        <v>333.29599352215496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2.2713654317322045</v>
      </c>
      <c r="BQ123" s="23">
        <f>EXP(-LN(2)/25)*BQ122+(1-EXP(-LN(2)/25))/(LN(2)/25)*Calculateur!BL123*Calculateur!BN123*VLOOKUP('Données projet'!$B$11,Paramètres!$A$1:$I$89,3,0)*0.475*44/12</f>
        <v>0.80402677575677151</v>
      </c>
      <c r="BR123" s="23">
        <f>EXP(-LN(2)/2)*BR122+(1-EXP(-LN(2)/2))/(LN(2)/2)*BL123*BO123*VLOOKUP('Données projet'!$B$11,Paramètres!$A$1:$I$89,3,0)*0.475*44/12</f>
        <v>8.3117234251881479E-14</v>
      </c>
      <c r="BS123" s="24">
        <f t="shared" si="63"/>
        <v>3.0753922074890592</v>
      </c>
      <c r="BT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303</v>
      </c>
      <c r="BW123" s="13">
        <f>VLOOKUP(A123,'Données projet'!$A$113:$I$133,9,0)</f>
        <v>3.7</v>
      </c>
      <c r="BX123" s="13">
        <f t="array" ref="BX123">INDEX(BW:BW,MIN(IF(ISNUMBER(BW123:BW319),ROW(BW123:BW319),"")))</f>
        <v>3.7</v>
      </c>
      <c r="BY123" s="13">
        <f>IF('Données projet'!$A$114&gt;35,BY122+BX123-CG122,IF(A123&lt;'Données projet'!$A$114,$BV$205^A123,IF(A123='Données projet'!$A$114,'Données projet'!$B$114,BY122+BX123-CG122)))</f>
        <v>302.99999999999949</v>
      </c>
      <c r="BZ123" s="14">
        <f>BY123*VLOOKUP('Données projet'!$B$12,Paramètres!$A$1:$I$89,3,0)*VLOOKUP('Données projet'!$B$12,Paramètres!$A$1:$I$89,5,0)</f>
        <v>293.06159999999949</v>
      </c>
      <c r="CA123" s="14">
        <f t="shared" si="93"/>
        <v>69.719933365116432</v>
      </c>
      <c r="CB123" s="22">
        <f t="shared" si="64"/>
        <v>631.84450394424357</v>
      </c>
      <c r="CC123" s="60">
        <f t="shared" si="65"/>
        <v>913.95266468772024</v>
      </c>
      <c r="CD123" s="60">
        <f ca="1">AVERAGE(OFFSET($CC$3,0,0,'Données projet'!$E$12+1,1))-AVERAGE(OFFSET($H$3,0,0,'Données projet'!$E$12+1,1))</f>
        <v>496.33873798282525</v>
      </c>
      <c r="CE123" s="60">
        <f t="shared" si="94"/>
        <v>280.25465074992246</v>
      </c>
      <c r="CF123" s="16">
        <f>IF(ISNA(VLOOKUP(A123,'Données projet'!$A$113:$I$133,3,0)),0,VLOOKUP(A123,'Données projet'!$A$113:$I$133,3,0))</f>
        <v>10</v>
      </c>
      <c r="CG123" s="16">
        <f>IF(ISNA(VLOOKUP(A123,'Données projet'!$A$113:$I$133,4,0)),0,VLOOKUP(A123,'Données projet'!$A$113:$I$133,4,0))</f>
        <v>35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>
        <f>VLOOKUP(A123,'Données projet'!$A$139:$I$159,2,0)</f>
        <v>303</v>
      </c>
      <c r="CR123" s="13">
        <f>VLOOKUP(A123,'Données projet'!$A$139:$I$159,9,0)</f>
        <v>3.7</v>
      </c>
      <c r="CS123" s="13">
        <f t="array" ref="CS123">INDEX(CR:CR,MIN(IF(ISNUMBER(CR123:CR319),ROW(CR123:CR319),"")))</f>
        <v>3.7</v>
      </c>
      <c r="CT123" s="13">
        <f>IF('Données projet'!$A$140&gt;35,CT122+CS123-DB122,IF(A123&lt;'Données projet'!$A$140,$CQ$205^A123,IF(A123='Données projet'!$A$140,'Données projet'!$B$140,CT122+CS123-DB122)))</f>
        <v>302.99999999999949</v>
      </c>
      <c r="CU123" s="18">
        <f>CT123*VLOOKUP('Données projet'!$B$13,Paramètres!$A$1:$I$89,3,0)*VLOOKUP('Données projet'!$B$13,Paramètres!$A$1:$I$89,5,0)</f>
        <v>326.14919999999944</v>
      </c>
      <c r="CV123" s="14">
        <f t="shared" si="95"/>
        <v>76.631393510479555</v>
      </c>
      <c r="CW123" s="22">
        <f t="shared" si="67"/>
        <v>701.50953369741762</v>
      </c>
      <c r="CX123" s="60">
        <f t="shared" si="68"/>
        <v>983.61769444089418</v>
      </c>
      <c r="CY123" s="60">
        <f ca="1">AVERAGE(OFFSET($CX$3,0,0,'Données projet'!$E$13+1,1))-AVERAGE(OFFSET($H$3,0,0,'Données projet'!$E$13+1,1))</f>
        <v>542.90832990875208</v>
      </c>
      <c r="CZ123" s="60">
        <f t="shared" si="96"/>
        <v>304.94365539329362</v>
      </c>
      <c r="DA123" s="16">
        <f>IF(ISNA(VLOOKUP(A123,'Données projet'!$A$139:$I$159,3,0)),0,VLOOKUP(A123,'Données projet'!$A$139:$I$159,3,0))</f>
        <v>10</v>
      </c>
      <c r="DB123" s="16">
        <f>IF(ISNA(VLOOKUP(A123,'Données projet'!$A$139:$I$159,4,0)),0,VLOOKUP(A123,'Données projet'!$A$139:$I$159,4,0))</f>
        <v>35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0" t="e">
        <f t="shared" si="71"/>
        <v>#N/A</v>
      </c>
      <c r="DT123" s="60" t="e">
        <f ca="1">AVERAGE(OFFSET($DS$3,0,0,'Données projet'!$E$14+1,1))-AVERAGE(OFFSET($H$3,0,0,'Données projet'!$E$14+1,1))</f>
        <v>#N/A</v>
      </c>
      <c r="DU123" s="60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0" t="e">
        <f t="shared" si="74"/>
        <v>#N/A</v>
      </c>
      <c r="EO123" s="60" t="e">
        <f ca="1">AVERAGE(OFFSET($EN$3,0,0,'Données projet'!$E$15+1,1))-AVERAGE(OFFSET($H$3,0,0,'Données projet'!$E$15+1,1))</f>
        <v>#N/A</v>
      </c>
      <c r="EP123" s="60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0" t="e">
        <f t="shared" si="77"/>
        <v>#N/A</v>
      </c>
      <c r="FJ123" s="60" t="e">
        <f ca="1">AVERAGE(OFFSET($FI$3,0,0,'Données projet'!$E$16+1,1))-AVERAGE(OFFSET($H$3,0,0,'Données projet'!$E$16+1,1))</f>
        <v>#N/A</v>
      </c>
      <c r="FK123" s="60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0" t="e">
        <f t="shared" si="80"/>
        <v>#N/A</v>
      </c>
      <c r="GE123" s="60" t="e">
        <f ca="1">AVERAGE(OFFSET($GD$3,0,0,'Données projet'!$E$17+1,1))-AVERAGE(OFFSET($H$3,0,0,'Données projet'!$E$17+1,1))</f>
        <v>#N/A</v>
      </c>
      <c r="GF123" s="60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4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3.4106051316484809E-13</v>
      </c>
      <c r="O124" s="14">
        <f>N124*VLOOKUP('Données projet'!$B$9,Paramètres!$A$1:$I$89,3,0)*VLOOKUP('Données projet'!$B$9,Paramètres!$A$1:$I$89,5,0)</f>
        <v>1.5961632016114892E-13</v>
      </c>
      <c r="P124" s="14">
        <f t="shared" si="87"/>
        <v>2.2708641912150958E-12</v>
      </c>
      <c r="Q124" s="22">
        <f t="shared" si="107"/>
        <v>4.2330868906469593E-12</v>
      </c>
      <c r="R124" s="60">
        <f t="shared" si="55"/>
        <v>282.3028923921886</v>
      </c>
      <c r="S124" s="60">
        <f ca="1">AVERAGE(OFFSET($R$3,0,0,'Données projet'!$E$9+1,1))-AVERAGE(OFFSET($H$3,0,0,'Données projet'!$E$9+1,1))</f>
        <v>277.7918215389401</v>
      </c>
      <c r="T124" s="60">
        <f t="shared" si="88"/>
        <v>164.65640238394164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3.2</v>
      </c>
      <c r="AI124" s="14">
        <f>IF('Données projet'!$A$62&gt;35,AI123+AH124-AQ123,IF(A124&lt;'Données projet'!$A$62,$AF$205^A124,IF(A124='Données projet'!$A$62,'Données projet'!$B$62,AI123+AH124-AQ123)))</f>
        <v>271.19999999999948</v>
      </c>
      <c r="AJ124" s="14">
        <f>AI124*VLOOKUP('Données projet'!$B$10,Paramètres!$A$1:$I$89,3,0)*VLOOKUP('Données projet'!$B$10,Paramètres!$A$1:$I$89,5,0)</f>
        <v>245.3817599999995</v>
      </c>
      <c r="AK124" s="14">
        <f t="shared" si="89"/>
        <v>59.595943661626663</v>
      </c>
      <c r="AL124" s="22">
        <f t="shared" si="58"/>
        <v>531.16950054399888</v>
      </c>
      <c r="AM124" s="60">
        <f t="shared" si="59"/>
        <v>813.47239293618327</v>
      </c>
      <c r="AN124" s="60">
        <f ca="1">AVERAGE(OFFSET($AM$3,0,0,'Données projet'!$E$10+1,1))-AVERAGE(OFFSET($H$3,0,0,'Données projet'!$E$10+1,1))</f>
        <v>469.67944008675863</v>
      </c>
      <c r="AO124" s="60">
        <f t="shared" si="90"/>
        <v>266.11908070867173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0" t="e">
        <f t="shared" si="62"/>
        <v>#NUM!</v>
      </c>
      <c r="BI124" s="60">
        <f ca="1">AVERAGE(OFFSET($BH$3,0,0,'Données projet'!$E$11+1,1))-AVERAGE(OFFSET($H$3,0,0,'Données projet'!$E$11+1,1))</f>
        <v>216.36762889365235</v>
      </c>
      <c r="BJ124" s="60">
        <f t="shared" si="92"/>
        <v>333.29599352215496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2.2268253410120527</v>
      </c>
      <c r="BQ124" s="23">
        <f>EXP(-LN(2)/25)*BQ123+(1-EXP(-LN(2)/25))/(LN(2)/25)*Calculateur!BL124*Calculateur!BN124*VLOOKUP('Données projet'!$B$11,Paramètres!$A$1:$I$89,3,0)*0.475*44/12</f>
        <v>0.7820406212917721</v>
      </c>
      <c r="BR124" s="23">
        <f>EXP(-LN(2)/2)*BR123+(1-EXP(-LN(2)/2))/(LN(2)/2)*BL124*BO124*VLOOKUP('Données projet'!$B$11,Paramètres!$A$1:$I$89,3,0)*0.475*44/12</f>
        <v>5.8772759972976169E-14</v>
      </c>
      <c r="BS124" s="24">
        <f t="shared" si="63"/>
        <v>3.0088659623038834</v>
      </c>
      <c r="BT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3.2</v>
      </c>
      <c r="BY124" s="13">
        <f>IF('Données projet'!$A$114&gt;35,BY123+BX124-CG123,IF(A124&lt;'Données projet'!$A$114,$BV$205^A124,IF(A124='Données projet'!$A$114,'Données projet'!$B$114,BY123+BX124-CG123)))</f>
        <v>271.19999999999948</v>
      </c>
      <c r="BZ124" s="14">
        <f>BY124*VLOOKUP('Données projet'!$B$12,Paramètres!$A$1:$I$89,3,0)*VLOOKUP('Données projet'!$B$12,Paramètres!$A$1:$I$89,5,0)</f>
        <v>262.30463999999949</v>
      </c>
      <c r="CA124" s="14">
        <f t="shared" si="93"/>
        <v>63.213381472055985</v>
      </c>
      <c r="CB124" s="22">
        <f t="shared" si="64"/>
        <v>566.94388739716328</v>
      </c>
      <c r="CC124" s="60">
        <f t="shared" si="65"/>
        <v>849.24677978934767</v>
      </c>
      <c r="CD124" s="60">
        <f ca="1">AVERAGE(OFFSET($CC$3,0,0,'Données projet'!$E$12+1,1))-AVERAGE(OFFSET($H$3,0,0,'Données projet'!$E$12+1,1))</f>
        <v>496.33873798282525</v>
      </c>
      <c r="CE124" s="60">
        <f t="shared" si="94"/>
        <v>280.25465074992246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3.2</v>
      </c>
      <c r="CT124" s="13">
        <f>IF('Données projet'!$A$140&gt;35,CT123+CS124-DB123,IF(A124&lt;'Données projet'!$A$140,$CQ$205^A124,IF(A124='Données projet'!$A$140,'Données projet'!$B$140,CT123+CS124-DB123)))</f>
        <v>271.19999999999948</v>
      </c>
      <c r="CU124" s="18">
        <f>CT124*VLOOKUP('Données projet'!$B$13,Paramètres!$A$1:$I$89,3,0)*VLOOKUP('Données projet'!$B$13,Paramètres!$A$1:$I$89,5,0)</f>
        <v>291.9196799999994</v>
      </c>
      <c r="CV124" s="14">
        <f t="shared" si="95"/>
        <v>69.47983563531173</v>
      </c>
      <c r="CW124" s="22">
        <f t="shared" si="67"/>
        <v>629.43748973150025</v>
      </c>
      <c r="CX124" s="60">
        <f t="shared" si="68"/>
        <v>911.74038212368464</v>
      </c>
      <c r="CY124" s="60">
        <f ca="1">AVERAGE(OFFSET($CX$3,0,0,'Données projet'!$E$13+1,1))-AVERAGE(OFFSET($H$3,0,0,'Données projet'!$E$13+1,1))</f>
        <v>542.90832990875208</v>
      </c>
      <c r="CZ124" s="60">
        <f t="shared" si="96"/>
        <v>304.94365539329362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0" t="e">
        <f t="shared" si="71"/>
        <v>#N/A</v>
      </c>
      <c r="DT124" s="60" t="e">
        <f ca="1">AVERAGE(OFFSET($DS$3,0,0,'Données projet'!$E$14+1,1))-AVERAGE(OFFSET($H$3,0,0,'Données projet'!$E$14+1,1))</f>
        <v>#N/A</v>
      </c>
      <c r="DU124" s="60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0" t="e">
        <f t="shared" si="74"/>
        <v>#N/A</v>
      </c>
      <c r="EO124" s="60" t="e">
        <f ca="1">AVERAGE(OFFSET($EN$3,0,0,'Données projet'!$E$15+1,1))-AVERAGE(OFFSET($H$3,0,0,'Données projet'!$E$15+1,1))</f>
        <v>#N/A</v>
      </c>
      <c r="EP124" s="60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0" t="e">
        <f t="shared" si="77"/>
        <v>#N/A</v>
      </c>
      <c r="FJ124" s="60" t="e">
        <f ca="1">AVERAGE(OFFSET($FI$3,0,0,'Données projet'!$E$16+1,1))-AVERAGE(OFFSET($H$3,0,0,'Données projet'!$E$16+1,1))</f>
        <v>#N/A</v>
      </c>
      <c r="FK124" s="60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0" t="e">
        <f t="shared" si="80"/>
        <v>#N/A</v>
      </c>
      <c r="GE124" s="60" t="e">
        <f ca="1">AVERAGE(OFFSET($GD$3,0,0,'Données projet'!$E$17+1,1))-AVERAGE(OFFSET($H$3,0,0,'Données projet'!$E$17+1,1))</f>
        <v>#N/A</v>
      </c>
      <c r="GF124" s="60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4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3.4106051316484809E-13</v>
      </c>
      <c r="O125" s="14">
        <f>N125*VLOOKUP('Données projet'!$B$9,Paramètres!$A$1:$I$89,3,0)*VLOOKUP('Données projet'!$B$9,Paramètres!$A$1:$I$89,5,0)</f>
        <v>1.5961632016114892E-13</v>
      </c>
      <c r="P125" s="14">
        <f t="shared" si="87"/>
        <v>2.2708641912150958E-12</v>
      </c>
      <c r="Q125" s="22">
        <f t="shared" si="107"/>
        <v>4.2330868906469593E-12</v>
      </c>
      <c r="R125" s="60">
        <f t="shared" si="55"/>
        <v>282.494245882146</v>
      </c>
      <c r="S125" s="60">
        <f ca="1">AVERAGE(OFFSET($R$3,0,0,'Données projet'!$E$9+1,1))-AVERAGE(OFFSET($H$3,0,0,'Données projet'!$E$9+1,1))</f>
        <v>277.7918215389401</v>
      </c>
      <c r="T125" s="60">
        <f t="shared" si="88"/>
        <v>164.65640238394164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3.2</v>
      </c>
      <c r="AI125" s="14">
        <f>IF('Données projet'!$A$62&gt;35,AI124+AH125-AQ124,IF(A125&lt;'Données projet'!$A$62,$AF$205^A125,IF(A125='Données projet'!$A$62,'Données projet'!$B$62,AI124+AH125-AQ124)))</f>
        <v>274.39999999999947</v>
      </c>
      <c r="AJ125" s="14">
        <f>AI125*VLOOKUP('Données projet'!$B$10,Paramètres!$A$1:$I$89,3,0)*VLOOKUP('Données projet'!$B$10,Paramètres!$A$1:$I$89,5,0)</f>
        <v>248.27711999999951</v>
      </c>
      <c r="AK125" s="14">
        <f t="shared" si="89"/>
        <v>60.216863677580257</v>
      </c>
      <c r="AL125" s="22">
        <f t="shared" si="58"/>
        <v>537.29368823845141</v>
      </c>
      <c r="AM125" s="60">
        <f t="shared" si="59"/>
        <v>819.78793412059326</v>
      </c>
      <c r="AN125" s="60">
        <f ca="1">AVERAGE(OFFSET($AM$3,0,0,'Données projet'!$E$10+1,1))-AVERAGE(OFFSET($H$3,0,0,'Données projet'!$E$10+1,1))</f>
        <v>469.67944008675863</v>
      </c>
      <c r="AO125" s="60">
        <f t="shared" si="90"/>
        <v>266.11908070867173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0" t="e">
        <f t="shared" si="62"/>
        <v>#NUM!</v>
      </c>
      <c r="BI125" s="60">
        <f ca="1">AVERAGE(OFFSET($BH$3,0,0,'Données projet'!$E$11+1,1))-AVERAGE(OFFSET($H$3,0,0,'Données projet'!$E$11+1,1))</f>
        <v>216.36762889365235</v>
      </c>
      <c r="BJ125" s="60">
        <f t="shared" si="92"/>
        <v>333.29599352215496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2.1831586543041501</v>
      </c>
      <c r="BQ125" s="23">
        <f>EXP(-LN(2)/25)*BQ124+(1-EXP(-LN(2)/25))/(LN(2)/25)*Calculateur!BL125*Calculateur!BN125*VLOOKUP('Données projet'!$B$11,Paramètres!$A$1:$I$89,3,0)*0.475*44/12</f>
        <v>0.76065567937681966</v>
      </c>
      <c r="BR125" s="23">
        <f>EXP(-LN(2)/2)*BR124+(1-EXP(-LN(2)/2))/(LN(2)/2)*BL125*BO125*VLOOKUP('Données projet'!$B$11,Paramètres!$A$1:$I$89,3,0)*0.475*44/12</f>
        <v>4.1558617125940739E-14</v>
      </c>
      <c r="BS125" s="24">
        <f t="shared" si="63"/>
        <v>2.9438143336810114</v>
      </c>
      <c r="BT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3.2</v>
      </c>
      <c r="BY125" s="13">
        <f>IF('Données projet'!$A$114&gt;35,BY124+BX125-CG124,IF(A125&lt;'Données projet'!$A$114,$BV$205^A125,IF(A125='Données projet'!$A$114,'Données projet'!$B$114,BY124+BX125-CG124)))</f>
        <v>274.39999999999947</v>
      </c>
      <c r="BZ125" s="14">
        <f>BY125*VLOOKUP('Données projet'!$B$12,Paramètres!$A$1:$I$89,3,0)*VLOOKUP('Données projet'!$B$12,Paramètres!$A$1:$I$89,5,0)</f>
        <v>265.39967999999948</v>
      </c>
      <c r="CA125" s="14">
        <f t="shared" si="93"/>
        <v>63.87199095821434</v>
      </c>
      <c r="CB125" s="22">
        <f t="shared" si="64"/>
        <v>573.48149358555565</v>
      </c>
      <c r="CC125" s="60">
        <f t="shared" si="65"/>
        <v>855.97573946769739</v>
      </c>
      <c r="CD125" s="60">
        <f ca="1">AVERAGE(OFFSET($CC$3,0,0,'Données projet'!$E$12+1,1))-AVERAGE(OFFSET($H$3,0,0,'Données projet'!$E$12+1,1))</f>
        <v>496.33873798282525</v>
      </c>
      <c r="CE125" s="60">
        <f t="shared" si="94"/>
        <v>280.25465074992246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3.2</v>
      </c>
      <c r="CT125" s="13">
        <f>IF('Données projet'!$A$140&gt;35,CT124+CS125-DB124,IF(A125&lt;'Données projet'!$A$140,$CQ$205^A125,IF(A125='Données projet'!$A$140,'Données projet'!$B$140,CT124+CS125-DB124)))</f>
        <v>274.39999999999947</v>
      </c>
      <c r="CU125" s="18">
        <f>CT125*VLOOKUP('Données projet'!$B$13,Paramètres!$A$1:$I$89,3,0)*VLOOKUP('Données projet'!$B$13,Paramètres!$A$1:$I$89,5,0)</f>
        <v>295.3641599999994</v>
      </c>
      <c r="CV125" s="14">
        <f t="shared" si="95"/>
        <v>70.203734243178047</v>
      </c>
      <c r="CW125" s="22">
        <f t="shared" si="67"/>
        <v>636.6974158068673</v>
      </c>
      <c r="CX125" s="60">
        <f t="shared" si="68"/>
        <v>919.19166168900915</v>
      </c>
      <c r="CY125" s="60">
        <f ca="1">AVERAGE(OFFSET($CX$3,0,0,'Données projet'!$E$13+1,1))-AVERAGE(OFFSET($H$3,0,0,'Données projet'!$E$13+1,1))</f>
        <v>542.90832990875208</v>
      </c>
      <c r="CZ125" s="60">
        <f t="shared" si="96"/>
        <v>304.94365539329362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0" t="e">
        <f t="shared" si="71"/>
        <v>#N/A</v>
      </c>
      <c r="DT125" s="60" t="e">
        <f ca="1">AVERAGE(OFFSET($DS$3,0,0,'Données projet'!$E$14+1,1))-AVERAGE(OFFSET($H$3,0,0,'Données projet'!$E$14+1,1))</f>
        <v>#N/A</v>
      </c>
      <c r="DU125" s="60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0" t="e">
        <f t="shared" si="74"/>
        <v>#N/A</v>
      </c>
      <c r="EO125" s="60" t="e">
        <f ca="1">AVERAGE(OFFSET($EN$3,0,0,'Données projet'!$E$15+1,1))-AVERAGE(OFFSET($H$3,0,0,'Données projet'!$E$15+1,1))</f>
        <v>#N/A</v>
      </c>
      <c r="EP125" s="60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0" t="e">
        <f t="shared" si="77"/>
        <v>#N/A</v>
      </c>
      <c r="FJ125" s="60" t="e">
        <f ca="1">AVERAGE(OFFSET($FI$3,0,0,'Données projet'!$E$16+1,1))-AVERAGE(OFFSET($H$3,0,0,'Données projet'!$E$16+1,1))</f>
        <v>#N/A</v>
      </c>
      <c r="FK125" s="60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0" t="e">
        <f t="shared" si="80"/>
        <v>#N/A</v>
      </c>
      <c r="GE125" s="60" t="e">
        <f ca="1">AVERAGE(OFFSET($GD$3,0,0,'Données projet'!$E$17+1,1))-AVERAGE(OFFSET($H$3,0,0,'Données projet'!$E$17+1,1))</f>
        <v>#N/A</v>
      </c>
      <c r="GF125" s="60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4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3.4106051316484809E-13</v>
      </c>
      <c r="O126" s="14">
        <f>N126*VLOOKUP('Données projet'!$B$9,Paramètres!$A$1:$I$89,3,0)*VLOOKUP('Données projet'!$B$9,Paramètres!$A$1:$I$89,5,0)</f>
        <v>1.5961632016114892E-13</v>
      </c>
      <c r="P126" s="14">
        <f t="shared" si="87"/>
        <v>2.2708641912150958E-12</v>
      </c>
      <c r="Q126" s="22">
        <f t="shared" si="107"/>
        <v>4.2330868906469593E-12</v>
      </c>
      <c r="R126" s="60">
        <f t="shared" si="55"/>
        <v>282.68227981685487</v>
      </c>
      <c r="S126" s="60">
        <f ca="1">AVERAGE(OFFSET($R$3,0,0,'Données projet'!$E$9+1,1))-AVERAGE(OFFSET($H$3,0,0,'Données projet'!$E$9+1,1))</f>
        <v>277.7918215389401</v>
      </c>
      <c r="T126" s="60">
        <f t="shared" si="88"/>
        <v>164.65640238394164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3.2</v>
      </c>
      <c r="AI126" s="14">
        <f>IF('Données projet'!$A$62&gt;35,AI125+AH126-AQ125,IF(A126&lt;'Données projet'!$A$62,$AF$205^A126,IF(A126='Données projet'!$A$62,'Données projet'!$B$62,AI125+AH126-AQ125)))</f>
        <v>277.59999999999945</v>
      </c>
      <c r="AJ126" s="14">
        <f>AI126*VLOOKUP('Données projet'!$B$10,Paramètres!$A$1:$I$89,3,0)*VLOOKUP('Données projet'!$B$10,Paramètres!$A$1:$I$89,5,0)</f>
        <v>251.1724799999995</v>
      </c>
      <c r="AK126" s="14">
        <f t="shared" si="89"/>
        <v>60.836941386956575</v>
      </c>
      <c r="AL126" s="22">
        <f t="shared" si="58"/>
        <v>543.41640891561519</v>
      </c>
      <c r="AM126" s="60">
        <f t="shared" si="59"/>
        <v>826.09868873246592</v>
      </c>
      <c r="AN126" s="60">
        <f ca="1">AVERAGE(OFFSET($AM$3,0,0,'Données projet'!$E$10+1,1))-AVERAGE(OFFSET($H$3,0,0,'Données projet'!$E$10+1,1))</f>
        <v>469.67944008675863</v>
      </c>
      <c r="AO126" s="60">
        <f t="shared" si="90"/>
        <v>266.11908070867173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0" t="e">
        <f t="shared" si="62"/>
        <v>#NUM!</v>
      </c>
      <c r="BI126" s="60">
        <f ca="1">AVERAGE(OFFSET($BH$3,0,0,'Données projet'!$E$11+1,1))-AVERAGE(OFFSET($H$3,0,0,'Données projet'!$E$11+1,1))</f>
        <v>216.36762889365235</v>
      </c>
      <c r="BJ126" s="60">
        <f t="shared" si="92"/>
        <v>333.29599352215496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2.1403482446885409</v>
      </c>
      <c r="BQ126" s="23">
        <f>EXP(-LN(2)/25)*BQ125+(1-EXP(-LN(2)/25))/(LN(2)/25)*Calculateur!BL126*Calculateur!BN126*VLOOKUP('Données projet'!$B$11,Paramètres!$A$1:$I$89,3,0)*0.475*44/12</f>
        <v>0.73985550982311687</v>
      </c>
      <c r="BR126" s="23">
        <f>EXP(-LN(2)/2)*BR125+(1-EXP(-LN(2)/2))/(LN(2)/2)*BL126*BO126*VLOOKUP('Données projet'!$B$11,Paramètres!$A$1:$I$89,3,0)*0.475*44/12</f>
        <v>2.9386379986488084E-14</v>
      </c>
      <c r="BS126" s="24">
        <f t="shared" si="63"/>
        <v>2.8802037545116872</v>
      </c>
      <c r="BT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3.2</v>
      </c>
      <c r="BY126" s="13">
        <f>IF('Données projet'!$A$114&gt;35,BY125+BX126-CG125,IF(A126&lt;'Données projet'!$A$114,$BV$205^A126,IF(A126='Données projet'!$A$114,'Données projet'!$B$114,BY125+BX126-CG125)))</f>
        <v>277.59999999999945</v>
      </c>
      <c r="BZ126" s="14">
        <f>BY126*VLOOKUP('Données projet'!$B$12,Paramètres!$A$1:$I$89,3,0)*VLOOKUP('Données projet'!$B$12,Paramètres!$A$1:$I$89,5,0)</f>
        <v>268.49471999999946</v>
      </c>
      <c r="CA126" s="14">
        <f t="shared" si="93"/>
        <v>64.529707010294615</v>
      </c>
      <c r="CB126" s="22">
        <f t="shared" si="64"/>
        <v>580.01754370959543</v>
      </c>
      <c r="CC126" s="60">
        <f t="shared" si="65"/>
        <v>862.69982352644615</v>
      </c>
      <c r="CD126" s="60">
        <f ca="1">AVERAGE(OFFSET($CC$3,0,0,'Données projet'!$E$12+1,1))-AVERAGE(OFFSET($H$3,0,0,'Données projet'!$E$12+1,1))</f>
        <v>496.33873798282525</v>
      </c>
      <c r="CE126" s="60">
        <f t="shared" si="94"/>
        <v>280.25465074992246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3.2</v>
      </c>
      <c r="CT126" s="13">
        <f>IF('Données projet'!$A$140&gt;35,CT125+CS126-DB125,IF(A126&lt;'Données projet'!$A$140,$CQ$205^A126,IF(A126='Données projet'!$A$140,'Données projet'!$B$140,CT125+CS126-DB125)))</f>
        <v>277.59999999999945</v>
      </c>
      <c r="CU126" s="18">
        <f>CT126*VLOOKUP('Données projet'!$B$13,Paramètres!$A$1:$I$89,3,0)*VLOOKUP('Données projet'!$B$13,Paramètres!$A$1:$I$89,5,0)</f>
        <v>298.8086399999994</v>
      </c>
      <c r="CV126" s="14">
        <f t="shared" si="95"/>
        <v>70.926650849267929</v>
      </c>
      <c r="CW126" s="22">
        <f t="shared" si="67"/>
        <v>643.95563156247397</v>
      </c>
      <c r="CX126" s="60">
        <f t="shared" si="68"/>
        <v>926.63791137932458</v>
      </c>
      <c r="CY126" s="60">
        <f ca="1">AVERAGE(OFFSET($CX$3,0,0,'Données projet'!$E$13+1,1))-AVERAGE(OFFSET($H$3,0,0,'Données projet'!$E$13+1,1))</f>
        <v>542.90832990875208</v>
      </c>
      <c r="CZ126" s="60">
        <f t="shared" si="96"/>
        <v>304.94365539329362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0" t="e">
        <f t="shared" si="71"/>
        <v>#N/A</v>
      </c>
      <c r="DT126" s="60" t="e">
        <f ca="1">AVERAGE(OFFSET($DS$3,0,0,'Données projet'!$E$14+1,1))-AVERAGE(OFFSET($H$3,0,0,'Données projet'!$E$14+1,1))</f>
        <v>#N/A</v>
      </c>
      <c r="DU126" s="60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0" t="e">
        <f t="shared" si="74"/>
        <v>#N/A</v>
      </c>
      <c r="EO126" s="60" t="e">
        <f ca="1">AVERAGE(OFFSET($EN$3,0,0,'Données projet'!$E$15+1,1))-AVERAGE(OFFSET($H$3,0,0,'Données projet'!$E$15+1,1))</f>
        <v>#N/A</v>
      </c>
      <c r="EP126" s="60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0" t="e">
        <f t="shared" si="77"/>
        <v>#N/A</v>
      </c>
      <c r="FJ126" s="60" t="e">
        <f ca="1">AVERAGE(OFFSET($FI$3,0,0,'Données projet'!$E$16+1,1))-AVERAGE(OFFSET($H$3,0,0,'Données projet'!$E$16+1,1))</f>
        <v>#N/A</v>
      </c>
      <c r="FK126" s="60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0" t="e">
        <f t="shared" si="80"/>
        <v>#N/A</v>
      </c>
      <c r="GE126" s="60" t="e">
        <f ca="1">AVERAGE(OFFSET($GD$3,0,0,'Données projet'!$E$17+1,1))-AVERAGE(OFFSET($H$3,0,0,'Données projet'!$E$17+1,1))</f>
        <v>#N/A</v>
      </c>
      <c r="GF126" s="60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4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3.4106051316484809E-13</v>
      </c>
      <c r="O127" s="14">
        <f>N127*VLOOKUP('Données projet'!$B$9,Paramètres!$A$1:$I$89,3,0)*VLOOKUP('Données projet'!$B$9,Paramètres!$A$1:$I$89,5,0)</f>
        <v>1.5961632016114892E-13</v>
      </c>
      <c r="P127" s="14">
        <f t="shared" si="87"/>
        <v>2.2708641912150958E-12</v>
      </c>
      <c r="Q127" s="22">
        <f t="shared" si="107"/>
        <v>4.2330868906469593E-12</v>
      </c>
      <c r="R127" s="60">
        <f t="shared" si="55"/>
        <v>282.86705178317754</v>
      </c>
      <c r="S127" s="60">
        <f ca="1">AVERAGE(OFFSET($R$3,0,0,'Données projet'!$E$9+1,1))-AVERAGE(OFFSET($H$3,0,0,'Données projet'!$E$9+1,1))</f>
        <v>277.7918215389401</v>
      </c>
      <c r="T127" s="60">
        <f t="shared" si="88"/>
        <v>164.65640238394164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3.2</v>
      </c>
      <c r="AI127" s="14">
        <f>IF('Données projet'!$A$62&gt;35,AI126+AH127-AQ126,IF(A127&lt;'Données projet'!$A$62,$AF$205^A127,IF(A127='Données projet'!$A$62,'Données projet'!$B$62,AI126+AH127-AQ126)))</f>
        <v>280.79999999999944</v>
      </c>
      <c r="AJ127" s="14">
        <f>AI127*VLOOKUP('Données projet'!$B$10,Paramètres!$A$1:$I$89,3,0)*VLOOKUP('Données projet'!$B$10,Paramètres!$A$1:$I$89,5,0)</f>
        <v>254.06783999999948</v>
      </c>
      <c r="AK127" s="14">
        <f t="shared" si="89"/>
        <v>61.456187622750612</v>
      </c>
      <c r="AL127" s="22">
        <f t="shared" si="58"/>
        <v>549.53768144295634</v>
      </c>
      <c r="AM127" s="60">
        <f t="shared" si="59"/>
        <v>832.40473322612968</v>
      </c>
      <c r="AN127" s="60">
        <f ca="1">AVERAGE(OFFSET($AM$3,0,0,'Données projet'!$E$10+1,1))-AVERAGE(OFFSET($H$3,0,0,'Données projet'!$E$10+1,1))</f>
        <v>469.67944008675863</v>
      </c>
      <c r="AO127" s="60">
        <f t="shared" si="90"/>
        <v>266.11908070867173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0" t="e">
        <f t="shared" si="62"/>
        <v>#NUM!</v>
      </c>
      <c r="BI127" s="60">
        <f ca="1">AVERAGE(OFFSET($BH$3,0,0,'Données projet'!$E$11+1,1))-AVERAGE(OFFSET($H$3,0,0,'Données projet'!$E$11+1,1))</f>
        <v>216.36762889365235</v>
      </c>
      <c r="BJ127" s="60">
        <f t="shared" si="92"/>
        <v>333.29599352215496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2.098377321093722</v>
      </c>
      <c r="BQ127" s="23">
        <f>EXP(-LN(2)/25)*BQ126+(1-EXP(-LN(2)/25))/(LN(2)/25)*Calculateur!BL127*Calculateur!BN127*VLOOKUP('Données projet'!$B$11,Paramètres!$A$1:$I$89,3,0)*0.475*44/12</f>
        <v>0.7196241219996935</v>
      </c>
      <c r="BR127" s="23">
        <f>EXP(-LN(2)/2)*BR126+(1-EXP(-LN(2)/2))/(LN(2)/2)*BL127*BO127*VLOOKUP('Données projet'!$B$11,Paramètres!$A$1:$I$89,3,0)*0.475*44/12</f>
        <v>2.077930856297037E-14</v>
      </c>
      <c r="BS127" s="24">
        <f t="shared" si="63"/>
        <v>2.8180014430934364</v>
      </c>
      <c r="BT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3.2</v>
      </c>
      <c r="BY127" s="13">
        <f>IF('Données projet'!$A$114&gt;35,BY126+BX127-CG126,IF(A127&lt;'Données projet'!$A$114,$BV$205^A127,IF(A127='Données projet'!$A$114,'Données projet'!$B$114,BY126+BX127-CG126)))</f>
        <v>280.79999999999944</v>
      </c>
      <c r="BZ127" s="14">
        <f>BY127*VLOOKUP('Données projet'!$B$12,Paramètres!$A$1:$I$89,3,0)*VLOOKUP('Données projet'!$B$12,Paramètres!$A$1:$I$89,5,0)</f>
        <v>271.5897599999995</v>
      </c>
      <c r="CA127" s="14">
        <f t="shared" si="93"/>
        <v>65.186541118848012</v>
      </c>
      <c r="CB127" s="22">
        <f t="shared" si="64"/>
        <v>586.55205778199274</v>
      </c>
      <c r="CC127" s="60">
        <f t="shared" si="65"/>
        <v>869.41910956516608</v>
      </c>
      <c r="CD127" s="60">
        <f ca="1">AVERAGE(OFFSET($CC$3,0,0,'Données projet'!$E$12+1,1))-AVERAGE(OFFSET($H$3,0,0,'Données projet'!$E$12+1,1))</f>
        <v>496.33873798282525</v>
      </c>
      <c r="CE127" s="60">
        <f t="shared" si="94"/>
        <v>280.25465074992246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3.2</v>
      </c>
      <c r="CT127" s="13">
        <f>IF('Données projet'!$A$140&gt;35,CT126+CS127-DB126,IF(A127&lt;'Données projet'!$A$140,$CQ$205^A127,IF(A127='Données projet'!$A$140,'Données projet'!$B$140,CT126+CS127-DB126)))</f>
        <v>280.79999999999944</v>
      </c>
      <c r="CU127" s="18">
        <f>CT127*VLOOKUP('Données projet'!$B$13,Paramètres!$A$1:$I$89,3,0)*VLOOKUP('Données projet'!$B$13,Paramètres!$A$1:$I$89,5,0)</f>
        <v>302.2531199999994</v>
      </c>
      <c r="CV127" s="14">
        <f t="shared" si="95"/>
        <v>71.648598083211283</v>
      </c>
      <c r="CW127" s="22">
        <f t="shared" si="67"/>
        <v>651.21215899492529</v>
      </c>
      <c r="CX127" s="60">
        <f t="shared" si="68"/>
        <v>934.07921077809863</v>
      </c>
      <c r="CY127" s="60">
        <f ca="1">AVERAGE(OFFSET($CX$3,0,0,'Données projet'!$E$13+1,1))-AVERAGE(OFFSET($H$3,0,0,'Données projet'!$E$13+1,1))</f>
        <v>542.90832990875208</v>
      </c>
      <c r="CZ127" s="60">
        <f t="shared" si="96"/>
        <v>304.94365539329362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0" t="e">
        <f t="shared" si="71"/>
        <v>#N/A</v>
      </c>
      <c r="DT127" s="60" t="e">
        <f ca="1">AVERAGE(OFFSET($DS$3,0,0,'Données projet'!$E$14+1,1))-AVERAGE(OFFSET($H$3,0,0,'Données projet'!$E$14+1,1))</f>
        <v>#N/A</v>
      </c>
      <c r="DU127" s="60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0" t="e">
        <f t="shared" si="74"/>
        <v>#N/A</v>
      </c>
      <c r="EO127" s="60" t="e">
        <f ca="1">AVERAGE(OFFSET($EN$3,0,0,'Données projet'!$E$15+1,1))-AVERAGE(OFFSET($H$3,0,0,'Données projet'!$E$15+1,1))</f>
        <v>#N/A</v>
      </c>
      <c r="EP127" s="60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0" t="e">
        <f t="shared" si="77"/>
        <v>#N/A</v>
      </c>
      <c r="FJ127" s="60" t="e">
        <f ca="1">AVERAGE(OFFSET($FI$3,0,0,'Données projet'!$E$16+1,1))-AVERAGE(OFFSET($H$3,0,0,'Données projet'!$E$16+1,1))</f>
        <v>#N/A</v>
      </c>
      <c r="FK127" s="60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0" t="e">
        <f t="shared" si="80"/>
        <v>#N/A</v>
      </c>
      <c r="GE127" s="60" t="e">
        <f ca="1">AVERAGE(OFFSET($GD$3,0,0,'Données projet'!$E$17+1,1))-AVERAGE(OFFSET($H$3,0,0,'Données projet'!$E$17+1,1))</f>
        <v>#N/A</v>
      </c>
      <c r="GF127" s="60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4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3.4106051316484809E-13</v>
      </c>
      <c r="O128" s="14">
        <f>N128*VLOOKUP('Données projet'!$B$9,Paramètres!$A$1:$I$89,3,0)*VLOOKUP('Données projet'!$B$9,Paramètres!$A$1:$I$89,5,0)</f>
        <v>1.5961632016114892E-13</v>
      </c>
      <c r="P128" s="14">
        <f t="shared" si="87"/>
        <v>2.2708641912150958E-12</v>
      </c>
      <c r="Q128" s="22">
        <f t="shared" si="107"/>
        <v>4.2330868906469593E-12</v>
      </c>
      <c r="R128" s="60">
        <f t="shared" si="55"/>
        <v>283.04861836897271</v>
      </c>
      <c r="S128" s="60">
        <f ca="1">AVERAGE(OFFSET($R$3,0,0,'Données projet'!$E$9+1,1))-AVERAGE(OFFSET($H$3,0,0,'Données projet'!$E$9+1,1))</f>
        <v>277.7918215389401</v>
      </c>
      <c r="T128" s="60">
        <f t="shared" si="88"/>
        <v>164.65640238394164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3.2</v>
      </c>
      <c r="AI128" s="14">
        <f>IF('Données projet'!$A$62&gt;35,AI127+AH128-AQ127,IF(A128&lt;'Données projet'!$A$62,$AF$205^A128,IF(A128='Données projet'!$A$62,'Données projet'!$B$62,AI127+AH128-AQ127)))</f>
        <v>283.99999999999943</v>
      </c>
      <c r="AJ128" s="14">
        <f>AI128*VLOOKUP('Données projet'!$B$10,Paramètres!$A$1:$I$89,3,0)*VLOOKUP('Données projet'!$B$10,Paramètres!$A$1:$I$89,5,0)</f>
        <v>256.96319999999946</v>
      </c>
      <c r="AK128" s="14">
        <f t="shared" si="89"/>
        <v>62.07461295683791</v>
      </c>
      <c r="AL128" s="22">
        <f t="shared" si="58"/>
        <v>555.65752423315837</v>
      </c>
      <c r="AM128" s="60">
        <f t="shared" si="59"/>
        <v>838.70614260212687</v>
      </c>
      <c r="AN128" s="60">
        <f ca="1">AVERAGE(OFFSET($AM$3,0,0,'Données projet'!$E$10+1,1))-AVERAGE(OFFSET($H$3,0,0,'Données projet'!$E$10+1,1))</f>
        <v>469.67944008675863</v>
      </c>
      <c r="AO128" s="60">
        <f t="shared" si="90"/>
        <v>266.11908070867173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0" t="e">
        <f t="shared" si="62"/>
        <v>#NUM!</v>
      </c>
      <c r="BI128" s="60">
        <f ca="1">AVERAGE(OFFSET($BH$3,0,0,'Données projet'!$E$11+1,1))-AVERAGE(OFFSET($H$3,0,0,'Données projet'!$E$11+1,1))</f>
        <v>216.36762889365235</v>
      </c>
      <c r="BJ128" s="60">
        <f t="shared" si="92"/>
        <v>333.29599352215496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2.0572294217108618</v>
      </c>
      <c r="BQ128" s="23">
        <f>EXP(-LN(2)/25)*BQ127+(1-EXP(-LN(2)/25))/(LN(2)/25)*Calculateur!BL128*Calculateur!BN128*VLOOKUP('Données projet'!$B$11,Paramètres!$A$1:$I$89,3,0)*0.475*44/12</f>
        <v>0.69994596254022401</v>
      </c>
      <c r="BR128" s="23">
        <f>EXP(-LN(2)/2)*BR127+(1-EXP(-LN(2)/2))/(LN(2)/2)*BL128*BO128*VLOOKUP('Données projet'!$B$11,Paramètres!$A$1:$I$89,3,0)*0.475*44/12</f>
        <v>1.4693189993244042E-14</v>
      </c>
      <c r="BS128" s="24">
        <f t="shared" si="63"/>
        <v>2.7571753842511004</v>
      </c>
      <c r="BT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3.2</v>
      </c>
      <c r="BY128" s="13">
        <f>IF('Données projet'!$A$114&gt;35,BY127+BX128-CG127,IF(A128&lt;'Données projet'!$A$114,$BV$205^A128,IF(A128='Données projet'!$A$114,'Données projet'!$B$114,BY127+BX128-CG127)))</f>
        <v>283.99999999999943</v>
      </c>
      <c r="BZ128" s="14">
        <f>BY128*VLOOKUP('Données projet'!$B$12,Paramètres!$A$1:$I$89,3,0)*VLOOKUP('Données projet'!$B$12,Paramètres!$A$1:$I$89,5,0)</f>
        <v>274.68479999999943</v>
      </c>
      <c r="CA128" s="14">
        <f t="shared" si="93"/>
        <v>65.842504497456545</v>
      </c>
      <c r="CB128" s="22">
        <f t="shared" si="64"/>
        <v>593.08505533306914</v>
      </c>
      <c r="CC128" s="60">
        <f t="shared" si="65"/>
        <v>876.13367370203764</v>
      </c>
      <c r="CD128" s="60">
        <f ca="1">AVERAGE(OFFSET($CC$3,0,0,'Données projet'!$E$12+1,1))-AVERAGE(OFFSET($H$3,0,0,'Données projet'!$E$12+1,1))</f>
        <v>496.33873798282525</v>
      </c>
      <c r="CE128" s="60">
        <f t="shared" si="94"/>
        <v>280.25465074992246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3.2</v>
      </c>
      <c r="CT128" s="13">
        <f>IF('Données projet'!$A$140&gt;35,CT127+CS128-DB127,IF(A128&lt;'Données projet'!$A$140,$CQ$205^A128,IF(A128='Données projet'!$A$140,'Données projet'!$B$140,CT127+CS128-DB127)))</f>
        <v>283.99999999999943</v>
      </c>
      <c r="CU128" s="18">
        <f>CT128*VLOOKUP('Données projet'!$B$13,Paramètres!$A$1:$I$89,3,0)*VLOOKUP('Données projet'!$B$13,Paramètres!$A$1:$I$89,5,0)</f>
        <v>305.69759999999934</v>
      </c>
      <c r="CV128" s="14">
        <f t="shared" si="95"/>
        <v>72.369588270212233</v>
      </c>
      <c r="CW128" s="22">
        <f t="shared" si="67"/>
        <v>658.46701957061839</v>
      </c>
      <c r="CX128" s="60">
        <f t="shared" si="68"/>
        <v>941.5156379395869</v>
      </c>
      <c r="CY128" s="60">
        <f ca="1">AVERAGE(OFFSET($CX$3,0,0,'Données projet'!$E$13+1,1))-AVERAGE(OFFSET($H$3,0,0,'Données projet'!$E$13+1,1))</f>
        <v>542.90832990875208</v>
      </c>
      <c r="CZ128" s="60">
        <f t="shared" si="96"/>
        <v>304.94365539329362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0" t="e">
        <f t="shared" si="71"/>
        <v>#N/A</v>
      </c>
      <c r="DT128" s="60" t="e">
        <f ca="1">AVERAGE(OFFSET($DS$3,0,0,'Données projet'!$E$14+1,1))-AVERAGE(OFFSET($H$3,0,0,'Données projet'!$E$14+1,1))</f>
        <v>#N/A</v>
      </c>
      <c r="DU128" s="60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0" t="e">
        <f t="shared" si="74"/>
        <v>#N/A</v>
      </c>
      <c r="EO128" s="60" t="e">
        <f ca="1">AVERAGE(OFFSET($EN$3,0,0,'Données projet'!$E$15+1,1))-AVERAGE(OFFSET($H$3,0,0,'Données projet'!$E$15+1,1))</f>
        <v>#N/A</v>
      </c>
      <c r="EP128" s="60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0" t="e">
        <f t="shared" si="77"/>
        <v>#N/A</v>
      </c>
      <c r="FJ128" s="60" t="e">
        <f ca="1">AVERAGE(OFFSET($FI$3,0,0,'Données projet'!$E$16+1,1))-AVERAGE(OFFSET($H$3,0,0,'Données projet'!$E$16+1,1))</f>
        <v>#N/A</v>
      </c>
      <c r="FK128" s="60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0" t="e">
        <f t="shared" si="80"/>
        <v>#N/A</v>
      </c>
      <c r="GE128" s="60" t="e">
        <f ca="1">AVERAGE(OFFSET($GD$3,0,0,'Données projet'!$E$17+1,1))-AVERAGE(OFFSET($H$3,0,0,'Données projet'!$E$17+1,1))</f>
        <v>#N/A</v>
      </c>
      <c r="GF128" s="60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4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3.4106051316484809E-13</v>
      </c>
      <c r="O129" s="14">
        <f>N129*VLOOKUP('Données projet'!$B$9,Paramètres!$A$1:$I$89,3,0)*VLOOKUP('Données projet'!$B$9,Paramètres!$A$1:$I$89,5,0)</f>
        <v>1.5961632016114892E-13</v>
      </c>
      <c r="P129" s="14">
        <f t="shared" si="87"/>
        <v>2.2708641912150958E-12</v>
      </c>
      <c r="Q129" s="22">
        <f t="shared" si="107"/>
        <v>4.2330868906469593E-12</v>
      </c>
      <c r="R129" s="60">
        <f t="shared" si="55"/>
        <v>283.22703518042641</v>
      </c>
      <c r="S129" s="60">
        <f ca="1">AVERAGE(OFFSET($R$3,0,0,'Données projet'!$E$9+1,1))-AVERAGE(OFFSET($H$3,0,0,'Données projet'!$E$9+1,1))</f>
        <v>277.7918215389401</v>
      </c>
      <c r="T129" s="60">
        <f t="shared" si="88"/>
        <v>164.65640238394164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3.2</v>
      </c>
      <c r="AI129" s="14">
        <f>IF('Données projet'!$A$62&gt;35,AI128+AH129-AQ128,IF(A129&lt;'Données projet'!$A$62,$AF$205^A129,IF(A129='Données projet'!$A$62,'Données projet'!$B$62,AI128+AH129-AQ128)))</f>
        <v>287.19999999999942</v>
      </c>
      <c r="AJ129" s="14">
        <f>AI129*VLOOKUP('Données projet'!$B$10,Paramètres!$A$1:$I$89,3,0)*VLOOKUP('Données projet'!$B$10,Paramètres!$A$1:$I$89,5,0)</f>
        <v>259.85855999999944</v>
      </c>
      <c r="AK129" s="14">
        <f t="shared" si="89"/>
        <v>62.692227709138365</v>
      </c>
      <c r="AL129" s="22">
        <f t="shared" si="58"/>
        <v>561.77595526008167</v>
      </c>
      <c r="AM129" s="60">
        <f t="shared" si="59"/>
        <v>845.00299044050394</v>
      </c>
      <c r="AN129" s="60">
        <f ca="1">AVERAGE(OFFSET($AM$3,0,0,'Données projet'!$E$10+1,1))-AVERAGE(OFFSET($H$3,0,0,'Données projet'!$E$10+1,1))</f>
        <v>469.67944008675863</v>
      </c>
      <c r="AO129" s="60">
        <f t="shared" si="90"/>
        <v>266.11908070867173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0" t="e">
        <f t="shared" si="62"/>
        <v>#NUM!</v>
      </c>
      <c r="BI129" s="60">
        <f ca="1">AVERAGE(OFFSET($BH$3,0,0,'Données projet'!$E$11+1,1))-AVERAGE(OFFSET($H$3,0,0,'Données projet'!$E$11+1,1))</f>
        <v>216.36762889365235</v>
      </c>
      <c r="BJ129" s="60">
        <f t="shared" si="92"/>
        <v>333.29599352215496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2.0168884075371594</v>
      </c>
      <c r="BQ129" s="23">
        <f>EXP(-LN(2)/25)*BQ128+(1-EXP(-LN(2)/25))/(LN(2)/25)*Calculateur!BL129*Calculateur!BN129*VLOOKUP('Données projet'!$B$11,Paramètres!$A$1:$I$89,3,0)*0.475*44/12</f>
        <v>0.68080590338600311</v>
      </c>
      <c r="BR129" s="23">
        <f>EXP(-LN(2)/2)*BR128+(1-EXP(-LN(2)/2))/(LN(2)/2)*BL129*BO129*VLOOKUP('Données projet'!$B$11,Paramètres!$A$1:$I$89,3,0)*0.475*44/12</f>
        <v>1.0389654281485185E-14</v>
      </c>
      <c r="BS129" s="24">
        <f t="shared" si="63"/>
        <v>2.6976943109231728</v>
      </c>
      <c r="BT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3.2</v>
      </c>
      <c r="BY129" s="13">
        <f>IF('Données projet'!$A$114&gt;35,BY128+BX129-CG128,IF(A129&lt;'Données projet'!$A$114,$BV$205^A129,IF(A129='Données projet'!$A$114,'Données projet'!$B$114,BY128+BX129-CG128)))</f>
        <v>287.19999999999942</v>
      </c>
      <c r="BZ129" s="14">
        <f>BY129*VLOOKUP('Données projet'!$B$12,Paramètres!$A$1:$I$89,3,0)*VLOOKUP('Données projet'!$B$12,Paramètres!$A$1:$I$89,5,0)</f>
        <v>277.77983999999947</v>
      </c>
      <c r="CA129" s="14">
        <f t="shared" si="93"/>
        <v>66.497608092453063</v>
      </c>
      <c r="CB129" s="22">
        <f t="shared" si="64"/>
        <v>599.61655542768813</v>
      </c>
      <c r="CC129" s="60">
        <f t="shared" si="65"/>
        <v>882.84359060811039</v>
      </c>
      <c r="CD129" s="60">
        <f ca="1">AVERAGE(OFFSET($CC$3,0,0,'Données projet'!$E$12+1,1))-AVERAGE(OFFSET($H$3,0,0,'Données projet'!$E$12+1,1))</f>
        <v>496.33873798282525</v>
      </c>
      <c r="CE129" s="60">
        <f t="shared" si="94"/>
        <v>280.25465074992246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3.2</v>
      </c>
      <c r="CT129" s="13">
        <f>IF('Données projet'!$A$140&gt;35,CT128+CS129-DB128,IF(A129&lt;'Données projet'!$A$140,$CQ$205^A129,IF(A129='Données projet'!$A$140,'Données projet'!$B$140,CT128+CS129-DB128)))</f>
        <v>287.19999999999942</v>
      </c>
      <c r="CU129" s="18">
        <f>CT129*VLOOKUP('Données projet'!$B$13,Paramètres!$A$1:$I$89,3,0)*VLOOKUP('Données projet'!$B$13,Paramètres!$A$1:$I$89,5,0)</f>
        <v>309.14207999999934</v>
      </c>
      <c r="CV129" s="14">
        <f t="shared" si="95"/>
        <v>73.089633441733085</v>
      </c>
      <c r="CW129" s="22">
        <f t="shared" si="67"/>
        <v>665.72023424435065</v>
      </c>
      <c r="CX129" s="60">
        <f t="shared" si="68"/>
        <v>948.94726942477291</v>
      </c>
      <c r="CY129" s="60">
        <f ca="1">AVERAGE(OFFSET($CX$3,0,0,'Données projet'!$E$13+1,1))-AVERAGE(OFFSET($H$3,0,0,'Données projet'!$E$13+1,1))</f>
        <v>542.90832990875208</v>
      </c>
      <c r="CZ129" s="60">
        <f t="shared" si="96"/>
        <v>304.94365539329362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0" t="e">
        <f t="shared" si="71"/>
        <v>#N/A</v>
      </c>
      <c r="DT129" s="60" t="e">
        <f ca="1">AVERAGE(OFFSET($DS$3,0,0,'Données projet'!$E$14+1,1))-AVERAGE(OFFSET($H$3,0,0,'Données projet'!$E$14+1,1))</f>
        <v>#N/A</v>
      </c>
      <c r="DU129" s="60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0" t="e">
        <f t="shared" si="74"/>
        <v>#N/A</v>
      </c>
      <c r="EO129" s="60" t="e">
        <f ca="1">AVERAGE(OFFSET($EN$3,0,0,'Données projet'!$E$15+1,1))-AVERAGE(OFFSET($H$3,0,0,'Données projet'!$E$15+1,1))</f>
        <v>#N/A</v>
      </c>
      <c r="EP129" s="60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0" t="e">
        <f t="shared" si="77"/>
        <v>#N/A</v>
      </c>
      <c r="FJ129" s="60" t="e">
        <f ca="1">AVERAGE(OFFSET($FI$3,0,0,'Données projet'!$E$16+1,1))-AVERAGE(OFFSET($H$3,0,0,'Données projet'!$E$16+1,1))</f>
        <v>#N/A</v>
      </c>
      <c r="FK129" s="60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0" t="e">
        <f t="shared" si="80"/>
        <v>#N/A</v>
      </c>
      <c r="GE129" s="60" t="e">
        <f ca="1">AVERAGE(OFFSET($GD$3,0,0,'Données projet'!$E$17+1,1))-AVERAGE(OFFSET($H$3,0,0,'Données projet'!$E$17+1,1))</f>
        <v>#N/A</v>
      </c>
      <c r="GF129" s="60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4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3.4106051316484809E-13</v>
      </c>
      <c r="O130" s="14">
        <f>N130*VLOOKUP('Données projet'!$B$9,Paramètres!$A$1:$I$89,3,0)*VLOOKUP('Données projet'!$B$9,Paramètres!$A$1:$I$89,5,0)</f>
        <v>1.5961632016114892E-13</v>
      </c>
      <c r="P130" s="14">
        <f t="shared" si="87"/>
        <v>2.2708641912150958E-12</v>
      </c>
      <c r="Q130" s="22">
        <f t="shared" si="107"/>
        <v>4.2330868906469593E-12</v>
      </c>
      <c r="R130" s="60">
        <f t="shared" si="55"/>
        <v>283.40235685908164</v>
      </c>
      <c r="S130" s="60">
        <f ca="1">AVERAGE(OFFSET($R$3,0,0,'Données projet'!$E$9+1,1))-AVERAGE(OFFSET($H$3,0,0,'Données projet'!$E$9+1,1))</f>
        <v>277.7918215389401</v>
      </c>
      <c r="T130" s="60">
        <f t="shared" si="88"/>
        <v>164.65640238394164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3.2</v>
      </c>
      <c r="AI130" s="14">
        <f>IF('Données projet'!$A$62&gt;35,AI129+AH130-AQ129,IF(A130&lt;'Données projet'!$A$62,$AF$205^A130,IF(A130='Données projet'!$A$62,'Données projet'!$B$62,AI129+AH130-AQ129)))</f>
        <v>290.39999999999941</v>
      </c>
      <c r="AJ130" s="14">
        <f>AI130*VLOOKUP('Données projet'!$B$10,Paramètres!$A$1:$I$89,3,0)*VLOOKUP('Données projet'!$B$10,Paramètres!$A$1:$I$89,5,0)</f>
        <v>262.75391999999948</v>
      </c>
      <c r="AK130" s="14">
        <f t="shared" si="89"/>
        <v>63.309041956360211</v>
      </c>
      <c r="AL130" s="22">
        <f t="shared" si="58"/>
        <v>567.89299207399313</v>
      </c>
      <c r="AM130" s="60">
        <f t="shared" si="59"/>
        <v>851.2953489330705</v>
      </c>
      <c r="AN130" s="60">
        <f ca="1">AVERAGE(OFFSET($AM$3,0,0,'Données projet'!$E$10+1,1))-AVERAGE(OFFSET($H$3,0,0,'Données projet'!$E$10+1,1))</f>
        <v>469.67944008675863</v>
      </c>
      <c r="AO130" s="60">
        <f t="shared" si="90"/>
        <v>266.11908070867173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0" t="e">
        <f t="shared" si="62"/>
        <v>#NUM!</v>
      </c>
      <c r="BI130" s="60">
        <f ca="1">AVERAGE(OFFSET($BH$3,0,0,'Données projet'!$E$11+1,1))-AVERAGE(OFFSET($H$3,0,0,'Données projet'!$E$11+1,1))</f>
        <v>216.36762889365235</v>
      </c>
      <c r="BJ130" s="60">
        <f t="shared" si="92"/>
        <v>333.29599352215496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1.977338456045814</v>
      </c>
      <c r="BQ130" s="23">
        <f>EXP(-LN(2)/25)*BQ129+(1-EXP(-LN(2)/25))/(LN(2)/25)*Calculateur!BL130*Calculateur!BN130*VLOOKUP('Données projet'!$B$11,Paramètres!$A$1:$I$89,3,0)*0.475*44/12</f>
        <v>0.66218923015588638</v>
      </c>
      <c r="BR130" s="23">
        <f>EXP(-LN(2)/2)*BR129+(1-EXP(-LN(2)/2))/(LN(2)/2)*BL130*BO130*VLOOKUP('Données projet'!$B$11,Paramètres!$A$1:$I$89,3,0)*0.475*44/12</f>
        <v>7.3465949966220211E-15</v>
      </c>
      <c r="BS130" s="24">
        <f t="shared" si="63"/>
        <v>2.6395276862017081</v>
      </c>
      <c r="BT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3.2</v>
      </c>
      <c r="BY130" s="13">
        <f>IF('Données projet'!$A$114&gt;35,BY129+BX130-CG129,IF(A130&lt;'Données projet'!$A$114,$BV$205^A130,IF(A130='Données projet'!$A$114,'Données projet'!$B$114,BY129+BX130-CG129)))</f>
        <v>290.39999999999941</v>
      </c>
      <c r="BZ130" s="14">
        <f>BY130*VLOOKUP('Données projet'!$B$12,Paramètres!$A$1:$I$89,3,0)*VLOOKUP('Données projet'!$B$12,Paramètres!$A$1:$I$89,5,0)</f>
        <v>280.87487999999945</v>
      </c>
      <c r="CA130" s="14">
        <f t="shared" si="93"/>
        <v>67.151862592195727</v>
      </c>
      <c r="CB130" s="22">
        <f t="shared" si="64"/>
        <v>606.1465766814066</v>
      </c>
      <c r="CC130" s="60">
        <f t="shared" si="65"/>
        <v>889.54893354048409</v>
      </c>
      <c r="CD130" s="60">
        <f ca="1">AVERAGE(OFFSET($CC$3,0,0,'Données projet'!$E$12+1,1))-AVERAGE(OFFSET($H$3,0,0,'Données projet'!$E$12+1,1))</f>
        <v>496.33873798282525</v>
      </c>
      <c r="CE130" s="60">
        <f t="shared" si="94"/>
        <v>280.25465074992246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3.2</v>
      </c>
      <c r="CT130" s="13">
        <f>IF('Données projet'!$A$140&gt;35,CT129+CS130-DB129,IF(A130&lt;'Données projet'!$A$140,$CQ$205^A130,IF(A130='Données projet'!$A$140,'Données projet'!$B$140,CT129+CS130-DB129)))</f>
        <v>290.39999999999941</v>
      </c>
      <c r="CU130" s="18">
        <f>CT130*VLOOKUP('Données projet'!$B$13,Paramètres!$A$1:$I$89,3,0)*VLOOKUP('Données projet'!$B$13,Paramètres!$A$1:$I$89,5,0)</f>
        <v>312.58655999999934</v>
      </c>
      <c r="CV130" s="14">
        <f t="shared" si="95"/>
        <v>73.808745345687839</v>
      </c>
      <c r="CW130" s="22">
        <f t="shared" si="67"/>
        <v>672.97182347707178</v>
      </c>
      <c r="CX130" s="60">
        <f t="shared" si="68"/>
        <v>956.37418033614927</v>
      </c>
      <c r="CY130" s="60">
        <f ca="1">AVERAGE(OFFSET($CX$3,0,0,'Données projet'!$E$13+1,1))-AVERAGE(OFFSET($H$3,0,0,'Données projet'!$E$13+1,1))</f>
        <v>542.90832990875208</v>
      </c>
      <c r="CZ130" s="60">
        <f t="shared" si="96"/>
        <v>304.94365539329362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0" t="e">
        <f t="shared" si="71"/>
        <v>#N/A</v>
      </c>
      <c r="DT130" s="60" t="e">
        <f ca="1">AVERAGE(OFFSET($DS$3,0,0,'Données projet'!$E$14+1,1))-AVERAGE(OFFSET($H$3,0,0,'Données projet'!$E$14+1,1))</f>
        <v>#N/A</v>
      </c>
      <c r="DU130" s="60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0" t="e">
        <f t="shared" si="74"/>
        <v>#N/A</v>
      </c>
      <c r="EO130" s="60" t="e">
        <f ca="1">AVERAGE(OFFSET($EN$3,0,0,'Données projet'!$E$15+1,1))-AVERAGE(OFFSET($H$3,0,0,'Données projet'!$E$15+1,1))</f>
        <v>#N/A</v>
      </c>
      <c r="EP130" s="60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0" t="e">
        <f t="shared" si="77"/>
        <v>#N/A</v>
      </c>
      <c r="FJ130" s="60" t="e">
        <f ca="1">AVERAGE(OFFSET($FI$3,0,0,'Données projet'!$E$16+1,1))-AVERAGE(OFFSET($H$3,0,0,'Données projet'!$E$16+1,1))</f>
        <v>#N/A</v>
      </c>
      <c r="FK130" s="60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0" t="e">
        <f t="shared" si="80"/>
        <v>#N/A</v>
      </c>
      <c r="GE130" s="60" t="e">
        <f ca="1">AVERAGE(OFFSET($GD$3,0,0,'Données projet'!$E$17+1,1))-AVERAGE(OFFSET($H$3,0,0,'Données projet'!$E$17+1,1))</f>
        <v>#N/A</v>
      </c>
      <c r="GF130" s="60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4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3.4106051316484809E-13</v>
      </c>
      <c r="O131" s="14">
        <f>N131*VLOOKUP('Données projet'!$B$9,Paramètres!$A$1:$I$89,3,0)*VLOOKUP('Données projet'!$B$9,Paramètres!$A$1:$I$89,5,0)</f>
        <v>1.5961632016114892E-13</v>
      </c>
      <c r="P131" s="14">
        <f t="shared" si="87"/>
        <v>2.2708641912150958E-12</v>
      </c>
      <c r="Q131" s="22">
        <f t="shared" ref="Q131:Q153" si="108">(O131+P131)*0.475*44/12</f>
        <v>4.2330868906469593E-12</v>
      </c>
      <c r="R131" s="60">
        <f t="shared" ref="R131:R194" si="109">Q131+(I131+J131)*44/12</f>
        <v>283.57463709857274</v>
      </c>
      <c r="S131" s="60">
        <f ca="1">AVERAGE(OFFSET($R$3,0,0,'Données projet'!$E$9+1,1))-AVERAGE(OFFSET($H$3,0,0,'Données projet'!$E$9+1,1))</f>
        <v>277.7918215389401</v>
      </c>
      <c r="T131" s="60">
        <f t="shared" si="88"/>
        <v>164.65640238394164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3.2</v>
      </c>
      <c r="AI131" s="14">
        <f>IF('Données projet'!$A$62&gt;35,AI130+AH131-AQ130,IF(A131&lt;'Données projet'!$A$62,$AF$205^A131,IF(A131='Données projet'!$A$62,'Données projet'!$B$62,AI130+AH131-AQ130)))</f>
        <v>293.5999999999994</v>
      </c>
      <c r="AJ131" s="14">
        <f>AI131*VLOOKUP('Données projet'!$B$10,Paramètres!$A$1:$I$89,3,0)*VLOOKUP('Données projet'!$B$10,Paramètres!$A$1:$I$89,5,0)</f>
        <v>265.64927999999946</v>
      </c>
      <c r="AK131" s="14">
        <f t="shared" si="89"/>
        <v>63.925065540346907</v>
      </c>
      <c r="AL131" s="22">
        <f t="shared" si="58"/>
        <v>574.00865181610322</v>
      </c>
      <c r="AM131" s="60">
        <f t="shared" si="59"/>
        <v>857.58328891467181</v>
      </c>
      <c r="AN131" s="60">
        <f ca="1">AVERAGE(OFFSET($AM$3,0,0,'Données projet'!$E$10+1,1))-AVERAGE(OFFSET($H$3,0,0,'Données projet'!$E$10+1,1))</f>
        <v>469.67944008675863</v>
      </c>
      <c r="AO131" s="60">
        <f t="shared" si="90"/>
        <v>266.11908070867173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0" t="e">
        <f t="shared" si="62"/>
        <v>#NUM!</v>
      </c>
      <c r="BI131" s="60">
        <f ca="1">AVERAGE(OFFSET($BH$3,0,0,'Données projet'!$E$11+1,1))-AVERAGE(OFFSET($H$3,0,0,'Données projet'!$E$11+1,1))</f>
        <v>216.36762889365235</v>
      </c>
      <c r="BJ131" s="60">
        <f t="shared" si="92"/>
        <v>333.29599352215496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1.9385640549801255</v>
      </c>
      <c r="BQ131" s="23">
        <f>EXP(-LN(2)/25)*BQ130+(1-EXP(-LN(2)/25))/(LN(2)/25)*Calculateur!BL131*Calculateur!BN131*VLOOKUP('Données projet'!$B$11,Paramètres!$A$1:$I$89,3,0)*0.475*44/12</f>
        <v>0.64408163083425551</v>
      </c>
      <c r="BR131" s="23">
        <f>EXP(-LN(2)/2)*BR130+(1-EXP(-LN(2)/2))/(LN(2)/2)*BL131*BO131*VLOOKUP('Données projet'!$B$11,Paramètres!$A$1:$I$89,3,0)*0.475*44/12</f>
        <v>5.1948271407425924E-15</v>
      </c>
      <c r="BS131" s="24">
        <f t="shared" si="63"/>
        <v>2.5826456858143865</v>
      </c>
      <c r="BT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3.2</v>
      </c>
      <c r="BY131" s="13">
        <f>IF('Données projet'!$A$114&gt;35,BY130+BX131-CG130,IF(A131&lt;'Données projet'!$A$114,$BV$205^A131,IF(A131='Données projet'!$A$114,'Données projet'!$B$114,BY130+BX131-CG130)))</f>
        <v>293.5999999999994</v>
      </c>
      <c r="BZ131" s="14">
        <f>BY131*VLOOKUP('Données projet'!$B$12,Paramètres!$A$1:$I$89,3,0)*VLOOKUP('Données projet'!$B$12,Paramètres!$A$1:$I$89,5,0)</f>
        <v>283.96991999999943</v>
      </c>
      <c r="CA131" s="14">
        <f t="shared" si="93"/>
        <v>67.805278435922148</v>
      </c>
      <c r="CB131" s="22">
        <f t="shared" si="64"/>
        <v>612.67513727589676</v>
      </c>
      <c r="CC131" s="60">
        <f t="shared" si="65"/>
        <v>896.24977437446523</v>
      </c>
      <c r="CD131" s="60">
        <f ca="1">AVERAGE(OFFSET($CC$3,0,0,'Données projet'!$E$12+1,1))-AVERAGE(OFFSET($H$3,0,0,'Données projet'!$E$12+1,1))</f>
        <v>496.33873798282525</v>
      </c>
      <c r="CE131" s="60">
        <f t="shared" si="94"/>
        <v>280.25465074992246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3.2</v>
      </c>
      <c r="CT131" s="13">
        <f>IF('Données projet'!$A$140&gt;35,CT130+CS131-DB130,IF(A131&lt;'Données projet'!$A$140,$CQ$205^A131,IF(A131='Données projet'!$A$140,'Données projet'!$B$140,CT130+CS131-DB130)))</f>
        <v>293.5999999999994</v>
      </c>
      <c r="CU131" s="18">
        <f>CT131*VLOOKUP('Données projet'!$B$13,Paramètres!$A$1:$I$89,3,0)*VLOOKUP('Données projet'!$B$13,Paramètres!$A$1:$I$89,5,0)</f>
        <v>316.03103999999934</v>
      </c>
      <c r="CV131" s="14">
        <f t="shared" si="95"/>
        <v>74.526935456174002</v>
      </c>
      <c r="CW131" s="22">
        <f t="shared" si="67"/>
        <v>680.22180725283522</v>
      </c>
      <c r="CX131" s="60">
        <f t="shared" si="68"/>
        <v>963.79644435140381</v>
      </c>
      <c r="CY131" s="60">
        <f ca="1">AVERAGE(OFFSET($CX$3,0,0,'Données projet'!$E$13+1,1))-AVERAGE(OFFSET($H$3,0,0,'Données projet'!$E$13+1,1))</f>
        <v>542.90832990875208</v>
      </c>
      <c r="CZ131" s="60">
        <f t="shared" si="96"/>
        <v>304.94365539329362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0" t="e">
        <f t="shared" si="71"/>
        <v>#N/A</v>
      </c>
      <c r="DT131" s="60" t="e">
        <f ca="1">AVERAGE(OFFSET($DS$3,0,0,'Données projet'!$E$14+1,1))-AVERAGE(OFFSET($H$3,0,0,'Données projet'!$E$14+1,1))</f>
        <v>#N/A</v>
      </c>
      <c r="DU131" s="60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0" t="e">
        <f t="shared" si="74"/>
        <v>#N/A</v>
      </c>
      <c r="EO131" s="60" t="e">
        <f ca="1">AVERAGE(OFFSET($EN$3,0,0,'Données projet'!$E$15+1,1))-AVERAGE(OFFSET($H$3,0,0,'Données projet'!$E$15+1,1))</f>
        <v>#N/A</v>
      </c>
      <c r="EP131" s="60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0" t="e">
        <f t="shared" si="77"/>
        <v>#N/A</v>
      </c>
      <c r="FJ131" s="60" t="e">
        <f ca="1">AVERAGE(OFFSET($FI$3,0,0,'Données projet'!$E$16+1,1))-AVERAGE(OFFSET($H$3,0,0,'Données projet'!$E$16+1,1))</f>
        <v>#N/A</v>
      </c>
      <c r="FK131" s="60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0" t="e">
        <f t="shared" si="80"/>
        <v>#N/A</v>
      </c>
      <c r="GE131" s="60" t="e">
        <f ca="1">AVERAGE(OFFSET($GD$3,0,0,'Données projet'!$E$17+1,1))-AVERAGE(OFFSET($H$3,0,0,'Données projet'!$E$17+1,1))</f>
        <v>#N/A</v>
      </c>
      <c r="GF131" s="60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4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3.4106051316484809E-13</v>
      </c>
      <c r="O132" s="14">
        <f>N132*VLOOKUP('Données projet'!$B$9,Paramètres!$A$1:$I$89,3,0)*VLOOKUP('Données projet'!$B$9,Paramètres!$A$1:$I$89,5,0)</f>
        <v>1.5961632016114892E-13</v>
      </c>
      <c r="P132" s="14">
        <f t="shared" si="87"/>
        <v>2.2708641912150958E-12</v>
      </c>
      <c r="Q132" s="22">
        <f t="shared" si="108"/>
        <v>4.2330868906469593E-12</v>
      </c>
      <c r="R132" s="60">
        <f t="shared" si="109"/>
        <v>283.74392866106956</v>
      </c>
      <c r="S132" s="60">
        <f ca="1">AVERAGE(OFFSET($R$3,0,0,'Données projet'!$E$9+1,1))-AVERAGE(OFFSET($H$3,0,0,'Données projet'!$E$9+1,1))</f>
        <v>277.7918215389401</v>
      </c>
      <c r="T132" s="60">
        <f t="shared" si="88"/>
        <v>164.65640238394164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3.2</v>
      </c>
      <c r="AI132" s="14">
        <f>IF('Données projet'!$A$62&gt;35,AI131+AH132-AQ131,IF(A132&lt;'Données projet'!$A$62,$AF$205^A132,IF(A132='Données projet'!$A$62,'Données projet'!$B$62,AI131+AH132-AQ131)))</f>
        <v>296.79999999999939</v>
      </c>
      <c r="AJ132" s="14">
        <f>AI132*VLOOKUP('Données projet'!$B$10,Paramètres!$A$1:$I$89,3,0)*VLOOKUP('Données projet'!$B$10,Paramètres!$A$1:$I$89,5,0)</f>
        <v>268.54463999999945</v>
      </c>
      <c r="AK132" s="14">
        <f t="shared" si="89"/>
        <v>64.540308076050593</v>
      </c>
      <c r="AL132" s="22">
        <f t="shared" ref="AL132:AL153" si="112">(AJ132+AK132)*0.475*44/12</f>
        <v>580.12295123245383</v>
      </c>
      <c r="AM132" s="60">
        <f t="shared" ref="AM132:AM195" si="113">AL132+(AD132+AE132)*44/12</f>
        <v>863.86687989351913</v>
      </c>
      <c r="AN132" s="60">
        <f ca="1">AVERAGE(OFFSET($AM$3,0,0,'Données projet'!$E$10+1,1))-AVERAGE(OFFSET($H$3,0,0,'Données projet'!$E$10+1,1))</f>
        <v>469.67944008675863</v>
      </c>
      <c r="AO132" s="60">
        <f t="shared" si="90"/>
        <v>266.11908070867173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0" t="e">
        <f t="shared" ref="BH132:BH195" si="116">BG132+(AY132+AZ132)*44/12</f>
        <v>#NUM!</v>
      </c>
      <c r="BI132" s="60">
        <f ca="1">AVERAGE(OFFSET($BH$3,0,0,'Données projet'!$E$11+1,1))-AVERAGE(OFFSET($H$3,0,0,'Données projet'!$E$11+1,1))</f>
        <v>216.36762889365235</v>
      </c>
      <c r="BJ132" s="60">
        <f t="shared" si="92"/>
        <v>333.29599352215496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1.9005499962692858</v>
      </c>
      <c r="BQ132" s="23">
        <f>EXP(-LN(2)/25)*BQ131+(1-EXP(-LN(2)/25))/(LN(2)/25)*Calculateur!BL132*Calculateur!BN132*VLOOKUP('Données projet'!$B$11,Paramètres!$A$1:$I$89,3,0)*0.475*44/12</f>
        <v>0.62646918476831193</v>
      </c>
      <c r="BR132" s="23">
        <f>EXP(-LN(2)/2)*BR131+(1-EXP(-LN(2)/2))/(LN(2)/2)*BL132*BO132*VLOOKUP('Données projet'!$B$11,Paramètres!$A$1:$I$89,3,0)*0.475*44/12</f>
        <v>3.6732974983110106E-15</v>
      </c>
      <c r="BS132" s="24">
        <f t="shared" ref="BS132:BS153" si="117">SUM(BP132:BR132)</f>
        <v>2.527019181037601</v>
      </c>
      <c r="BT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3.2</v>
      </c>
      <c r="BY132" s="13">
        <f>IF('Données projet'!$A$114&gt;35,BY131+BX132-CG131,IF(A132&lt;'Données projet'!$A$114,$BV$205^A132,IF(A132='Données projet'!$A$114,'Données projet'!$B$114,BY131+BX132-CG131)))</f>
        <v>296.79999999999939</v>
      </c>
      <c r="BZ132" s="14">
        <f>BY132*VLOOKUP('Données projet'!$B$12,Paramètres!$A$1:$I$89,3,0)*VLOOKUP('Données projet'!$B$12,Paramètres!$A$1:$I$89,5,0)</f>
        <v>287.06495999999942</v>
      </c>
      <c r="CA132" s="14">
        <f t="shared" si="93"/>
        <v>68.457865822206202</v>
      </c>
      <c r="CB132" s="22">
        <f t="shared" ref="CB132:CB153" si="118">(BZ132+CA132)*0.475*44/12</f>
        <v>619.20225497367471</v>
      </c>
      <c r="CC132" s="60">
        <f t="shared" ref="CC132:CC195" si="119">CB132+(BT132+BU132)*44/12</f>
        <v>902.94618363474001</v>
      </c>
      <c r="CD132" s="60">
        <f ca="1">AVERAGE(OFFSET($CC$3,0,0,'Données projet'!$E$12+1,1))-AVERAGE(OFFSET($H$3,0,0,'Données projet'!$E$12+1,1))</f>
        <v>496.33873798282525</v>
      </c>
      <c r="CE132" s="60">
        <f t="shared" si="94"/>
        <v>280.25465074992246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3.2</v>
      </c>
      <c r="CT132" s="13">
        <f>IF('Données projet'!$A$140&gt;35,CT131+CS132-DB131,IF(A132&lt;'Données projet'!$A$140,$CQ$205^A132,IF(A132='Données projet'!$A$140,'Données projet'!$B$140,CT131+CS132-DB131)))</f>
        <v>296.79999999999939</v>
      </c>
      <c r="CU132" s="18">
        <f>CT132*VLOOKUP('Données projet'!$B$13,Paramètres!$A$1:$I$89,3,0)*VLOOKUP('Données projet'!$B$13,Paramètres!$A$1:$I$89,5,0)</f>
        <v>319.47551999999928</v>
      </c>
      <c r="CV132" s="14">
        <f t="shared" si="95"/>
        <v>75.244214982768113</v>
      </c>
      <c r="CW132" s="22">
        <f t="shared" ref="CW132:CW153" si="121">(CU132+CV132)*0.475*44/12</f>
        <v>687.47020509498645</v>
      </c>
      <c r="CX132" s="60">
        <f t="shared" ref="CX132:CX195" si="122">CW132+(CO132+CP132)*44/12</f>
        <v>971.21413375605175</v>
      </c>
      <c r="CY132" s="60">
        <f ca="1">AVERAGE(OFFSET($CX$3,0,0,'Données projet'!$E$13+1,1))-AVERAGE(OFFSET($H$3,0,0,'Données projet'!$E$13+1,1))</f>
        <v>542.90832990875208</v>
      </c>
      <c r="CZ132" s="60">
        <f t="shared" si="96"/>
        <v>304.94365539329362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0" t="e">
        <f t="shared" ref="DS132:DS195" si="125">DR132+(DJ132+DK132)*44/12</f>
        <v>#N/A</v>
      </c>
      <c r="DT132" s="60" t="e">
        <f ca="1">AVERAGE(OFFSET($DS$3,0,0,'Données projet'!$E$14+1,1))-AVERAGE(OFFSET($H$3,0,0,'Données projet'!$E$14+1,1))</f>
        <v>#N/A</v>
      </c>
      <c r="DU132" s="60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0" t="e">
        <f t="shared" ref="EN132:EN195" si="128">EM132+(EE132+EF132)*44/12</f>
        <v>#N/A</v>
      </c>
      <c r="EO132" s="60" t="e">
        <f ca="1">AVERAGE(OFFSET($EN$3,0,0,'Données projet'!$E$15+1,1))-AVERAGE(OFFSET($H$3,0,0,'Données projet'!$E$15+1,1))</f>
        <v>#N/A</v>
      </c>
      <c r="EP132" s="60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0" t="e">
        <f t="shared" ref="FI132:FI195" si="131">FH132+(EZ132+FA132)*44/12</f>
        <v>#N/A</v>
      </c>
      <c r="FJ132" s="60" t="e">
        <f ca="1">AVERAGE(OFFSET($FI$3,0,0,'Données projet'!$E$16+1,1))-AVERAGE(OFFSET($H$3,0,0,'Données projet'!$E$16+1,1))</f>
        <v>#N/A</v>
      </c>
      <c r="FK132" s="60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0" t="e">
        <f t="shared" ref="GD132:GD195" si="134">GC132+(FU132+FV132)*44/12</f>
        <v>#N/A</v>
      </c>
      <c r="GE132" s="60" t="e">
        <f ca="1">AVERAGE(OFFSET($GD$3,0,0,'Données projet'!$E$17+1,1))-AVERAGE(OFFSET($H$3,0,0,'Données projet'!$E$17+1,1))</f>
        <v>#N/A</v>
      </c>
      <c r="GF132" s="60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4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3.4106051316484809E-13</v>
      </c>
      <c r="O133" s="14">
        <f>N133*VLOOKUP('Données projet'!$B$9,Paramètres!$A$1:$I$89,3,0)*VLOOKUP('Données projet'!$B$9,Paramètres!$A$1:$I$89,5,0)</f>
        <v>1.5961632016114892E-13</v>
      </c>
      <c r="P133" s="14">
        <f t="shared" ref="P133:P196" si="141">EXP(-1.0587+0.8836*LN(O133)+0.284)</f>
        <v>2.2708641912150958E-12</v>
      </c>
      <c r="Q133" s="22">
        <f t="shared" si="108"/>
        <v>4.2330868906469593E-12</v>
      </c>
      <c r="R133" s="60">
        <f t="shared" si="109"/>
        <v>283.91028339343632</v>
      </c>
      <c r="S133" s="60">
        <f ca="1">AVERAGE(OFFSET($R$3,0,0,'Données projet'!$E$9+1,1))-AVERAGE(OFFSET($H$3,0,0,'Données projet'!$E$9+1,1))</f>
        <v>277.7918215389401</v>
      </c>
      <c r="T133" s="60">
        <f t="shared" ref="T133:T196" si="142">$T$3</f>
        <v>164.65640238394164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300</v>
      </c>
      <c r="AG133" s="13">
        <f>VLOOKUP(A133,'Données projet'!$A$61:$I$81,9,0)</f>
        <v>3.2</v>
      </c>
      <c r="AH133" s="13">
        <f t="array" ref="AH133">INDEX(AG:AG,MIN(IF(ISNUMBER(AG133:AG329),ROW(AG133:AG329),"")))</f>
        <v>3.2</v>
      </c>
      <c r="AI133" s="14">
        <f>IF('Données projet'!$A$62&gt;35,AI132+AH133-AQ132,IF(A133&lt;'Données projet'!$A$62,$AF$205^A133,IF(A133='Données projet'!$A$62,'Données projet'!$B$62,AI132+AH133-AQ132)))</f>
        <v>299.99999999999937</v>
      </c>
      <c r="AJ133" s="14">
        <f>AI133*VLOOKUP('Données projet'!$B$10,Paramètres!$A$1:$I$89,3,0)*VLOOKUP('Données projet'!$B$10,Paramètres!$A$1:$I$89,5,0)</f>
        <v>271.43999999999943</v>
      </c>
      <c r="AK133" s="14">
        <f t="shared" ref="AK133:AK153" si="143">EXP(-1.0587+0.8836*LN(AJ133)+0.284)</f>
        <v>65.154778959151116</v>
      </c>
      <c r="AL133" s="22">
        <f t="shared" si="112"/>
        <v>586.23590668718714</v>
      </c>
      <c r="AM133" s="60">
        <f t="shared" si="113"/>
        <v>870.14619008061925</v>
      </c>
      <c r="AN133" s="60">
        <f ca="1">AVERAGE(OFFSET($AM$3,0,0,'Données projet'!$E$10+1,1))-AVERAGE(OFFSET($H$3,0,0,'Données projet'!$E$10+1,1))</f>
        <v>469.67944008675863</v>
      </c>
      <c r="AO133" s="60">
        <f t="shared" ref="AO133:AO196" si="144">$AO$3</f>
        <v>266.11908070867173</v>
      </c>
      <c r="AP133" s="16">
        <f>IF(ISNA(VLOOKUP(A133,'Données projet'!$A$61:$I$81,3,0)),0,VLOOKUP(A133,'Données projet'!$A$61:$I$81,3,0))</f>
        <v>11</v>
      </c>
      <c r="AQ133" s="16">
        <f>IF(ISNA(VLOOKUP(A133,'Données projet'!$A$61:$I$81,4,0)),0,VLOOKUP(A133,'Données projet'!$A$61:$I$81,4,0))</f>
        <v>31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0" t="e">
        <f t="shared" si="116"/>
        <v>#NUM!</v>
      </c>
      <c r="BI133" s="60">
        <f ca="1">AVERAGE(OFFSET($BH$3,0,0,'Données projet'!$E$11+1,1))-AVERAGE(OFFSET($H$3,0,0,'Données projet'!$E$11+1,1))</f>
        <v>216.36762889365235</v>
      </c>
      <c r="BJ133" s="60">
        <f t="shared" ref="BJ133:BJ196" si="146">$BJ$3</f>
        <v>333.29599352215496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1.8632813700634792</v>
      </c>
      <c r="BQ133" s="23">
        <f>EXP(-LN(2)/25)*BQ132+(1-EXP(-LN(2)/25))/(LN(2)/25)*Calculateur!BL133*Calculateur!BN133*VLOOKUP('Données projet'!$B$11,Paramètres!$A$1:$I$89,3,0)*0.475*44/12</f>
        <v>0.60933835196623987</v>
      </c>
      <c r="BR133" s="23">
        <f>EXP(-LN(2)/2)*BR132+(1-EXP(-LN(2)/2))/(LN(2)/2)*BL133*BO133*VLOOKUP('Données projet'!$B$11,Paramètres!$A$1:$I$89,3,0)*0.475*44/12</f>
        <v>2.5974135703712962E-15</v>
      </c>
      <c r="BS133" s="24">
        <f t="shared" si="117"/>
        <v>2.4726197220297217</v>
      </c>
      <c r="BT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>
        <f>VLOOKUP(A133,'Données projet'!$A$113:$I$133,2,0)</f>
        <v>300</v>
      </c>
      <c r="BW133" s="13">
        <f>VLOOKUP(A133,'Données projet'!$A$113:$I$133,9,0)</f>
        <v>3.2</v>
      </c>
      <c r="BX133" s="13">
        <f t="array" ref="BX133">INDEX(BW:BW,MIN(IF(ISNUMBER(BW133:BW329),ROW(BW133:BW329),"")))</f>
        <v>3.2</v>
      </c>
      <c r="BY133" s="13">
        <f>IF('Données projet'!$A$114&gt;35,BY132+BX133-CG132,IF(A133&lt;'Données projet'!$A$114,$BV$205^A133,IF(A133='Données projet'!$A$114,'Données projet'!$B$114,BY132+BX133-CG132)))</f>
        <v>299.99999999999937</v>
      </c>
      <c r="BZ133" s="14">
        <f>BY133*VLOOKUP('Données projet'!$B$12,Paramètres!$A$1:$I$89,3,0)*VLOOKUP('Données projet'!$B$12,Paramètres!$A$1:$I$89,5,0)</f>
        <v>290.1599999999994</v>
      </c>
      <c r="CA133" s="14">
        <f t="shared" ref="CA133:CA153" si="147">EXP(-1.0587+0.8836*LN(BZ133)+0.284)</f>
        <v>69.10963471703981</v>
      </c>
      <c r="CB133" s="22">
        <f t="shared" si="118"/>
        <v>625.72794713217661</v>
      </c>
      <c r="CC133" s="60">
        <f t="shared" si="119"/>
        <v>909.63823052560872</v>
      </c>
      <c r="CD133" s="60">
        <f ca="1">AVERAGE(OFFSET($CC$3,0,0,'Données projet'!$E$12+1,1))-AVERAGE(OFFSET($H$3,0,0,'Données projet'!$E$12+1,1))</f>
        <v>496.33873798282525</v>
      </c>
      <c r="CE133" s="60">
        <f t="shared" ref="CE133:CE196" si="148">$CE$3</f>
        <v>280.25465074992246</v>
      </c>
      <c r="CF133" s="16">
        <f>IF(ISNA(VLOOKUP(A133,'Données projet'!$A$113:$I$133,3,0)),0,VLOOKUP(A133,'Données projet'!$A$113:$I$133,3,0))</f>
        <v>11</v>
      </c>
      <c r="CG133" s="16">
        <f>IF(ISNA(VLOOKUP(A133,'Données projet'!$A$113:$I$133,4,0)),0,VLOOKUP(A133,'Données projet'!$A$113:$I$133,4,0))</f>
        <v>31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>
        <f>VLOOKUP(A133,'Données projet'!$A$139:$I$159,2,0)</f>
        <v>300</v>
      </c>
      <c r="CR133" s="13">
        <f>VLOOKUP(A133,'Données projet'!$A$139:$I$159,9,0)</f>
        <v>3.2</v>
      </c>
      <c r="CS133" s="13">
        <f t="array" ref="CS133">INDEX(CR:CR,MIN(IF(ISNUMBER(CR133:CR329),ROW(CR133:CR329),"")))</f>
        <v>3.2</v>
      </c>
      <c r="CT133" s="13">
        <f>IF('Données projet'!$A$140&gt;35,CT132+CS133-DB132,IF(A133&lt;'Données projet'!$A$140,$CQ$205^A133,IF(A133='Données projet'!$A$140,'Données projet'!$B$140,CT132+CS133-DB132)))</f>
        <v>299.99999999999937</v>
      </c>
      <c r="CU133" s="18">
        <f>CT133*VLOOKUP('Données projet'!$B$13,Paramètres!$A$1:$I$89,3,0)*VLOOKUP('Données projet'!$B$13,Paramètres!$A$1:$I$89,5,0)</f>
        <v>322.91999999999928</v>
      </c>
      <c r="CV133" s="14">
        <f t="shared" ref="CV133:CV153" si="149">EXP(-1.0587+0.8836*LN(CU133)+0.284)</f>
        <v>75.960594879408617</v>
      </c>
      <c r="CW133" s="22">
        <f t="shared" si="121"/>
        <v>694.71703608163534</v>
      </c>
      <c r="CX133" s="60">
        <f t="shared" si="122"/>
        <v>978.62731947506745</v>
      </c>
      <c r="CY133" s="60">
        <f ca="1">AVERAGE(OFFSET($CX$3,0,0,'Données projet'!$E$13+1,1))-AVERAGE(OFFSET($H$3,0,0,'Données projet'!$E$13+1,1))</f>
        <v>542.90832990875208</v>
      </c>
      <c r="CZ133" s="60">
        <f t="shared" ref="CZ133:CZ196" si="150">$CZ$3</f>
        <v>304.94365539329362</v>
      </c>
      <c r="DA133" s="16">
        <f>IF(ISNA(VLOOKUP(A133,'Données projet'!$A$139:$I$159,3,0)),0,VLOOKUP(A133,'Données projet'!$A$139:$I$159,3,0))</f>
        <v>11</v>
      </c>
      <c r="DB133" s="16">
        <f>IF(ISNA(VLOOKUP(A133,'Données projet'!$A$139:$I$159,4,0)),0,VLOOKUP(A133,'Données projet'!$A$139:$I$159,4,0))</f>
        <v>31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0" t="e">
        <f t="shared" si="125"/>
        <v>#N/A</v>
      </c>
      <c r="DT133" s="60" t="e">
        <f ca="1">AVERAGE(OFFSET($DS$3,0,0,'Données projet'!$E$14+1,1))-AVERAGE(OFFSET($H$3,0,0,'Données projet'!$E$14+1,1))</f>
        <v>#N/A</v>
      </c>
      <c r="DU133" s="60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0" t="e">
        <f t="shared" si="128"/>
        <v>#N/A</v>
      </c>
      <c r="EO133" s="60" t="e">
        <f ca="1">AVERAGE(OFFSET($EN$3,0,0,'Données projet'!$E$15+1,1))-AVERAGE(OFFSET($H$3,0,0,'Données projet'!$E$15+1,1))</f>
        <v>#N/A</v>
      </c>
      <c r="EP133" s="60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0" t="e">
        <f t="shared" si="131"/>
        <v>#N/A</v>
      </c>
      <c r="FJ133" s="60" t="e">
        <f ca="1">AVERAGE(OFFSET($FI$3,0,0,'Données projet'!$E$16+1,1))-AVERAGE(OFFSET($H$3,0,0,'Données projet'!$E$16+1,1))</f>
        <v>#N/A</v>
      </c>
      <c r="FK133" s="60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0" t="e">
        <f t="shared" si="134"/>
        <v>#N/A</v>
      </c>
      <c r="GE133" s="60" t="e">
        <f ca="1">AVERAGE(OFFSET($GD$3,0,0,'Données projet'!$E$17+1,1))-AVERAGE(OFFSET($H$3,0,0,'Données projet'!$E$17+1,1))</f>
        <v>#N/A</v>
      </c>
      <c r="GF133" s="60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4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3.4106051316484809E-13</v>
      </c>
      <c r="O134" s="14">
        <f>N134*VLOOKUP('Données projet'!$B$9,Paramètres!$A$1:$I$89,3,0)*VLOOKUP('Données projet'!$B$9,Paramètres!$A$1:$I$89,5,0)</f>
        <v>1.5961632016114892E-13</v>
      </c>
      <c r="P134" s="14">
        <f t="shared" si="141"/>
        <v>2.2708641912150958E-12</v>
      </c>
      <c r="Q134" s="22">
        <f t="shared" si="108"/>
        <v>4.2330868906469593E-12</v>
      </c>
      <c r="R134" s="60">
        <f t="shared" si="109"/>
        <v>284.07375224310994</v>
      </c>
      <c r="S134" s="60">
        <f ca="1">AVERAGE(OFFSET($R$3,0,0,'Données projet'!$E$9+1,1))-AVERAGE(OFFSET($H$3,0,0,'Données projet'!$E$9+1,1))</f>
        <v>277.7918215389401</v>
      </c>
      <c r="T134" s="60">
        <f t="shared" si="142"/>
        <v>164.65640238394164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2.7</v>
      </c>
      <c r="AI134" s="14">
        <f>IF('Données projet'!$A$62&gt;35,AI133+AH134-AQ133,IF(A134&lt;'Données projet'!$A$62,$AF$205^A134,IF(A134='Données projet'!$A$62,'Données projet'!$B$62,AI133+AH134-AQ133)))</f>
        <v>271.69999999999936</v>
      </c>
      <c r="AJ134" s="14">
        <f>AI134*VLOOKUP('Données projet'!$B$10,Paramètres!$A$1:$I$89,3,0)*VLOOKUP('Données projet'!$B$10,Paramètres!$A$1:$I$89,5,0)</f>
        <v>245.8341599999994</v>
      </c>
      <c r="AK134" s="14">
        <f t="shared" si="143"/>
        <v>59.693018383856675</v>
      </c>
      <c r="AL134" s="22">
        <f t="shared" si="112"/>
        <v>532.12650235188266</v>
      </c>
      <c r="AM134" s="60">
        <f t="shared" si="113"/>
        <v>816.20025459498834</v>
      </c>
      <c r="AN134" s="60">
        <f ca="1">AVERAGE(OFFSET($AM$3,0,0,'Données projet'!$E$10+1,1))-AVERAGE(OFFSET($H$3,0,0,'Données projet'!$E$10+1,1))</f>
        <v>469.67944008675863</v>
      </c>
      <c r="AO134" s="60">
        <f t="shared" si="144"/>
        <v>266.11908070867173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0" t="e">
        <f t="shared" si="116"/>
        <v>#NUM!</v>
      </c>
      <c r="BI134" s="60">
        <f ca="1">AVERAGE(OFFSET($BH$3,0,0,'Données projet'!$E$11+1,1))-AVERAGE(OFFSET($H$3,0,0,'Données projet'!$E$11+1,1))</f>
        <v>216.36762889365235</v>
      </c>
      <c r="BJ134" s="60">
        <f t="shared" si="146"/>
        <v>333.29599352215496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1.8267435588859511</v>
      </c>
      <c r="BQ134" s="23">
        <f>EXP(-LN(2)/25)*BQ133+(1-EXP(-LN(2)/25))/(LN(2)/25)*Calculateur!BL134*Calculateur!BN134*VLOOKUP('Données projet'!$B$11,Paramètres!$A$1:$I$89,3,0)*0.475*44/12</f>
        <v>0.59267596268801181</v>
      </c>
      <c r="BR134" s="23">
        <f>EXP(-LN(2)/2)*BR133+(1-EXP(-LN(2)/2))/(LN(2)/2)*BL134*BO134*VLOOKUP('Données projet'!$B$11,Paramètres!$A$1:$I$89,3,0)*0.475*44/12</f>
        <v>1.8366487491555053E-15</v>
      </c>
      <c r="BS134" s="24">
        <f t="shared" si="117"/>
        <v>2.4194195215739649</v>
      </c>
      <c r="BT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2.7</v>
      </c>
      <c r="BY134" s="13">
        <f>IF('Données projet'!$A$114&gt;35,BY133+BX134-CG133,IF(A134&lt;'Données projet'!$A$114,$BV$205^A134,IF(A134='Données projet'!$A$114,'Données projet'!$B$114,BY133+BX134-CG133)))</f>
        <v>271.69999999999936</v>
      </c>
      <c r="BZ134" s="14">
        <f>BY134*VLOOKUP('Données projet'!$B$12,Paramètres!$A$1:$I$89,3,0)*VLOOKUP('Données projet'!$B$12,Paramètres!$A$1:$I$89,5,0)</f>
        <v>262.7882399999994</v>
      </c>
      <c r="CA134" s="14">
        <f t="shared" si="147"/>
        <v>63.316348571334714</v>
      </c>
      <c r="CB134" s="22">
        <f t="shared" si="118"/>
        <v>567.96549176174028</v>
      </c>
      <c r="CC134" s="60">
        <f t="shared" si="119"/>
        <v>852.03924400484607</v>
      </c>
      <c r="CD134" s="60">
        <f ca="1">AVERAGE(OFFSET($CC$3,0,0,'Données projet'!$E$12+1,1))-AVERAGE(OFFSET($H$3,0,0,'Données projet'!$E$12+1,1))</f>
        <v>496.33873798282525</v>
      </c>
      <c r="CE134" s="60">
        <f t="shared" si="148"/>
        <v>280.25465074992246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2.7</v>
      </c>
      <c r="CT134" s="13">
        <f>IF('Données projet'!$A$140&gt;35,CT133+CS134-DB133,IF(A134&lt;'Données projet'!$A$140,$CQ$205^A134,IF(A134='Données projet'!$A$140,'Données projet'!$B$140,CT133+CS134-DB133)))</f>
        <v>271.69999999999936</v>
      </c>
      <c r="CU134" s="18">
        <f>CT134*VLOOKUP('Données projet'!$B$13,Paramètres!$A$1:$I$89,3,0)*VLOOKUP('Données projet'!$B$13,Paramètres!$A$1:$I$89,5,0)</f>
        <v>292.45787999999931</v>
      </c>
      <c r="CV134" s="14">
        <f t="shared" si="149"/>
        <v>69.59301004501954</v>
      </c>
      <c r="CW134" s="22">
        <f t="shared" si="121"/>
        <v>630.57196682840777</v>
      </c>
      <c r="CX134" s="60">
        <f t="shared" si="122"/>
        <v>914.64571907151344</v>
      </c>
      <c r="CY134" s="60">
        <f ca="1">AVERAGE(OFFSET($CX$3,0,0,'Données projet'!$E$13+1,1))-AVERAGE(OFFSET($H$3,0,0,'Données projet'!$E$13+1,1))</f>
        <v>542.90832990875208</v>
      </c>
      <c r="CZ134" s="60">
        <f t="shared" si="150"/>
        <v>304.94365539329362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0" t="e">
        <f t="shared" si="125"/>
        <v>#N/A</v>
      </c>
      <c r="DT134" s="60" t="e">
        <f ca="1">AVERAGE(OFFSET($DS$3,0,0,'Données projet'!$E$14+1,1))-AVERAGE(OFFSET($H$3,0,0,'Données projet'!$E$14+1,1))</f>
        <v>#N/A</v>
      </c>
      <c r="DU134" s="60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0" t="e">
        <f t="shared" si="128"/>
        <v>#N/A</v>
      </c>
      <c r="EO134" s="60" t="e">
        <f ca="1">AVERAGE(OFFSET($EN$3,0,0,'Données projet'!$E$15+1,1))-AVERAGE(OFFSET($H$3,0,0,'Données projet'!$E$15+1,1))</f>
        <v>#N/A</v>
      </c>
      <c r="EP134" s="60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0" t="e">
        <f t="shared" si="131"/>
        <v>#N/A</v>
      </c>
      <c r="FJ134" s="60" t="e">
        <f ca="1">AVERAGE(OFFSET($FI$3,0,0,'Données projet'!$E$16+1,1))-AVERAGE(OFFSET($H$3,0,0,'Données projet'!$E$16+1,1))</f>
        <v>#N/A</v>
      </c>
      <c r="FK134" s="60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0" t="e">
        <f t="shared" si="134"/>
        <v>#N/A</v>
      </c>
      <c r="GE134" s="60" t="e">
        <f ca="1">AVERAGE(OFFSET($GD$3,0,0,'Données projet'!$E$17+1,1))-AVERAGE(OFFSET($H$3,0,0,'Données projet'!$E$17+1,1))</f>
        <v>#N/A</v>
      </c>
      <c r="GF134" s="60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4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3.4106051316484809E-13</v>
      </c>
      <c r="O135" s="14">
        <f>N135*VLOOKUP('Données projet'!$B$9,Paramètres!$A$1:$I$89,3,0)*VLOOKUP('Données projet'!$B$9,Paramètres!$A$1:$I$89,5,0)</f>
        <v>1.5961632016114892E-13</v>
      </c>
      <c r="P135" s="14">
        <f t="shared" si="141"/>
        <v>2.2708641912150958E-12</v>
      </c>
      <c r="Q135" s="22">
        <f t="shared" si="108"/>
        <v>4.2330868906469593E-12</v>
      </c>
      <c r="R135" s="60">
        <f t="shared" si="109"/>
        <v>284.23438527370337</v>
      </c>
      <c r="S135" s="60">
        <f ca="1">AVERAGE(OFFSET($R$3,0,0,'Données projet'!$E$9+1,1))-AVERAGE(OFFSET($H$3,0,0,'Données projet'!$E$9+1,1))</f>
        <v>277.7918215389401</v>
      </c>
      <c r="T135" s="60">
        <f t="shared" si="142"/>
        <v>164.65640238394164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2.7</v>
      </c>
      <c r="AI135" s="14">
        <f>IF('Données projet'!$A$62&gt;35,AI134+AH135-AQ134,IF(A135&lt;'Données projet'!$A$62,$AF$205^A135,IF(A135='Données projet'!$A$62,'Données projet'!$B$62,AI134+AH135-AQ134)))</f>
        <v>274.39999999999935</v>
      </c>
      <c r="AJ135" s="14">
        <f>AI135*VLOOKUP('Données projet'!$B$10,Paramètres!$A$1:$I$89,3,0)*VLOOKUP('Données projet'!$B$10,Paramètres!$A$1:$I$89,5,0)</f>
        <v>248.2771199999994</v>
      </c>
      <c r="AK135" s="14">
        <f t="shared" si="143"/>
        <v>60.216863677580257</v>
      </c>
      <c r="AL135" s="22">
        <f t="shared" si="112"/>
        <v>537.29368823845118</v>
      </c>
      <c r="AM135" s="60">
        <f t="shared" si="113"/>
        <v>821.52807351215029</v>
      </c>
      <c r="AN135" s="60">
        <f ca="1">AVERAGE(OFFSET($AM$3,0,0,'Données projet'!$E$10+1,1))-AVERAGE(OFFSET($H$3,0,0,'Données projet'!$E$10+1,1))</f>
        <v>469.67944008675863</v>
      </c>
      <c r="AO135" s="60">
        <f t="shared" si="144"/>
        <v>266.11908070867173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0" t="e">
        <f t="shared" si="116"/>
        <v>#NUM!</v>
      </c>
      <c r="BI135" s="60">
        <f ca="1">AVERAGE(OFFSET($BH$3,0,0,'Données projet'!$E$11+1,1))-AVERAGE(OFFSET($H$3,0,0,'Données projet'!$E$11+1,1))</f>
        <v>216.36762889365235</v>
      </c>
      <c r="BJ135" s="60">
        <f t="shared" si="146"/>
        <v>333.29599352215496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1.79092223189975</v>
      </c>
      <c r="BQ135" s="23">
        <f>EXP(-LN(2)/25)*BQ134+(1-EXP(-LN(2)/25))/(LN(2)/25)*Calculateur!BL135*Calculateur!BN135*VLOOKUP('Données projet'!$B$11,Paramètres!$A$1:$I$89,3,0)*0.475*44/12</f>
        <v>0.57646920732083384</v>
      </c>
      <c r="BR135" s="23">
        <f>EXP(-LN(2)/2)*BR134+(1-EXP(-LN(2)/2))/(LN(2)/2)*BL135*BO135*VLOOKUP('Données projet'!$B$11,Paramètres!$A$1:$I$89,3,0)*0.475*44/12</f>
        <v>1.2987067851856481E-15</v>
      </c>
      <c r="BS135" s="24">
        <f t="shared" si="117"/>
        <v>2.3673914392205853</v>
      </c>
      <c r="BT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2.7</v>
      </c>
      <c r="BY135" s="13">
        <f>IF('Données projet'!$A$114&gt;35,BY134+BX135-CG134,IF(A135&lt;'Données projet'!$A$114,$BV$205^A135,IF(A135='Données projet'!$A$114,'Données projet'!$B$114,BY134+BX135-CG134)))</f>
        <v>274.39999999999935</v>
      </c>
      <c r="BZ135" s="14">
        <f>BY135*VLOOKUP('Données projet'!$B$12,Paramètres!$A$1:$I$89,3,0)*VLOOKUP('Données projet'!$B$12,Paramètres!$A$1:$I$89,5,0)</f>
        <v>265.39967999999936</v>
      </c>
      <c r="CA135" s="14">
        <f t="shared" si="147"/>
        <v>63.87199095821434</v>
      </c>
      <c r="CB135" s="22">
        <f t="shared" si="118"/>
        <v>573.48149358555554</v>
      </c>
      <c r="CC135" s="60">
        <f t="shared" si="119"/>
        <v>857.71587885925464</v>
      </c>
      <c r="CD135" s="60">
        <f ca="1">AVERAGE(OFFSET($CC$3,0,0,'Données projet'!$E$12+1,1))-AVERAGE(OFFSET($H$3,0,0,'Données projet'!$E$12+1,1))</f>
        <v>496.33873798282525</v>
      </c>
      <c r="CE135" s="60">
        <f t="shared" si="148"/>
        <v>280.25465074992246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2.7</v>
      </c>
      <c r="CT135" s="13">
        <f>IF('Données projet'!$A$140&gt;35,CT134+CS135-DB134,IF(A135&lt;'Données projet'!$A$140,$CQ$205^A135,IF(A135='Données projet'!$A$140,'Données projet'!$B$140,CT134+CS135-DB134)))</f>
        <v>274.39999999999935</v>
      </c>
      <c r="CU135" s="18">
        <f>CT135*VLOOKUP('Données projet'!$B$13,Paramètres!$A$1:$I$89,3,0)*VLOOKUP('Données projet'!$B$13,Paramètres!$A$1:$I$89,5,0)</f>
        <v>295.36415999999929</v>
      </c>
      <c r="CV135" s="14">
        <f t="shared" si="149"/>
        <v>70.203734243177976</v>
      </c>
      <c r="CW135" s="22">
        <f t="shared" si="121"/>
        <v>636.69741580686696</v>
      </c>
      <c r="CX135" s="60">
        <f t="shared" si="122"/>
        <v>920.93180108056617</v>
      </c>
      <c r="CY135" s="60">
        <f ca="1">AVERAGE(OFFSET($CX$3,0,0,'Données projet'!$E$13+1,1))-AVERAGE(OFFSET($H$3,0,0,'Données projet'!$E$13+1,1))</f>
        <v>542.90832990875208</v>
      </c>
      <c r="CZ135" s="60">
        <f t="shared" si="150"/>
        <v>304.94365539329362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0" t="e">
        <f t="shared" si="125"/>
        <v>#N/A</v>
      </c>
      <c r="DT135" s="60" t="e">
        <f ca="1">AVERAGE(OFFSET($DS$3,0,0,'Données projet'!$E$14+1,1))-AVERAGE(OFFSET($H$3,0,0,'Données projet'!$E$14+1,1))</f>
        <v>#N/A</v>
      </c>
      <c r="DU135" s="60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0" t="e">
        <f t="shared" si="128"/>
        <v>#N/A</v>
      </c>
      <c r="EO135" s="60" t="e">
        <f ca="1">AVERAGE(OFFSET($EN$3,0,0,'Données projet'!$E$15+1,1))-AVERAGE(OFFSET($H$3,0,0,'Données projet'!$E$15+1,1))</f>
        <v>#N/A</v>
      </c>
      <c r="EP135" s="60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0" t="e">
        <f t="shared" si="131"/>
        <v>#N/A</v>
      </c>
      <c r="FJ135" s="60" t="e">
        <f ca="1">AVERAGE(OFFSET($FI$3,0,0,'Données projet'!$E$16+1,1))-AVERAGE(OFFSET($H$3,0,0,'Données projet'!$E$16+1,1))</f>
        <v>#N/A</v>
      </c>
      <c r="FK135" s="60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0" t="e">
        <f t="shared" si="134"/>
        <v>#N/A</v>
      </c>
      <c r="GE135" s="60" t="e">
        <f ca="1">AVERAGE(OFFSET($GD$3,0,0,'Données projet'!$E$17+1,1))-AVERAGE(OFFSET($H$3,0,0,'Données projet'!$E$17+1,1))</f>
        <v>#N/A</v>
      </c>
      <c r="GF135" s="60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4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3.4106051316484809E-13</v>
      </c>
      <c r="O136" s="14">
        <f>N136*VLOOKUP('Données projet'!$B$9,Paramètres!$A$1:$I$89,3,0)*VLOOKUP('Données projet'!$B$9,Paramètres!$A$1:$I$89,5,0)</f>
        <v>1.5961632016114892E-13</v>
      </c>
      <c r="P136" s="14">
        <f t="shared" si="141"/>
        <v>2.2708641912150958E-12</v>
      </c>
      <c r="Q136" s="22">
        <f t="shared" si="108"/>
        <v>4.2330868906469593E-12</v>
      </c>
      <c r="R136" s="60">
        <f t="shared" si="109"/>
        <v>284.3922316803376</v>
      </c>
      <c r="S136" s="60">
        <f ca="1">AVERAGE(OFFSET($R$3,0,0,'Données projet'!$E$9+1,1))-AVERAGE(OFFSET($H$3,0,0,'Données projet'!$E$9+1,1))</f>
        <v>277.7918215389401</v>
      </c>
      <c r="T136" s="60">
        <f t="shared" si="142"/>
        <v>164.65640238394164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2.7</v>
      </c>
      <c r="AI136" s="14">
        <f>IF('Données projet'!$A$62&gt;35,AI135+AH136-AQ135,IF(A136&lt;'Données projet'!$A$62,$AF$205^A136,IF(A136='Données projet'!$A$62,'Données projet'!$B$62,AI135+AH136-AQ135)))</f>
        <v>277.09999999999934</v>
      </c>
      <c r="AJ136" s="14">
        <f>AI136*VLOOKUP('Données projet'!$B$10,Paramètres!$A$1:$I$89,3,0)*VLOOKUP('Données projet'!$B$10,Paramètres!$A$1:$I$89,5,0)</f>
        <v>250.72007999999943</v>
      </c>
      <c r="AK136" s="14">
        <f t="shared" si="143"/>
        <v>60.740109326032709</v>
      </c>
      <c r="AL136" s="22">
        <f t="shared" si="112"/>
        <v>542.45982974283925</v>
      </c>
      <c r="AM136" s="60">
        <f t="shared" si="113"/>
        <v>826.8520614231727</v>
      </c>
      <c r="AN136" s="60">
        <f ca="1">AVERAGE(OFFSET($AM$3,0,0,'Données projet'!$E$10+1,1))-AVERAGE(OFFSET($H$3,0,0,'Données projet'!$E$10+1,1))</f>
        <v>469.67944008675863</v>
      </c>
      <c r="AO136" s="60">
        <f t="shared" si="144"/>
        <v>266.11908070867173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0" t="e">
        <f t="shared" si="116"/>
        <v>#NUM!</v>
      </c>
      <c r="BI136" s="60">
        <f ca="1">AVERAGE(OFFSET($BH$3,0,0,'Données projet'!$E$11+1,1))-AVERAGE(OFFSET($H$3,0,0,'Données projet'!$E$11+1,1))</f>
        <v>216.36762889365235</v>
      </c>
      <c r="BJ136" s="60">
        <f t="shared" si="146"/>
        <v>333.29599352215496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1.7558033392868964</v>
      </c>
      <c r="BQ136" s="23">
        <f>EXP(-LN(2)/25)*BQ135+(1-EXP(-LN(2)/25))/(LN(2)/25)*Calculateur!BL136*Calculateur!BN136*VLOOKUP('Données projet'!$B$11,Paramètres!$A$1:$I$89,3,0)*0.475*44/12</f>
        <v>0.56070562653144762</v>
      </c>
      <c r="BR136" s="23">
        <f>EXP(-LN(2)/2)*BR135+(1-EXP(-LN(2)/2))/(LN(2)/2)*BL136*BO136*VLOOKUP('Données projet'!$B$11,Paramètres!$A$1:$I$89,3,0)*0.475*44/12</f>
        <v>9.1832437457775264E-16</v>
      </c>
      <c r="BS136" s="24">
        <f t="shared" si="117"/>
        <v>2.3165089658183451</v>
      </c>
      <c r="BT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2.7</v>
      </c>
      <c r="BY136" s="13">
        <f>IF('Données projet'!$A$114&gt;35,BY135+BX136-CG135,IF(A136&lt;'Données projet'!$A$114,$BV$205^A136,IF(A136='Données projet'!$A$114,'Données projet'!$B$114,BY135+BX136-CG135)))</f>
        <v>277.09999999999934</v>
      </c>
      <c r="BZ136" s="14">
        <f>BY136*VLOOKUP('Données projet'!$B$12,Paramètres!$A$1:$I$89,3,0)*VLOOKUP('Données projet'!$B$12,Paramètres!$A$1:$I$89,5,0)</f>
        <v>268.01111999999938</v>
      </c>
      <c r="CA136" s="14">
        <f t="shared" si="147"/>
        <v>64.426997301716739</v>
      </c>
      <c r="CB136" s="22">
        <f t="shared" si="118"/>
        <v>578.99638763382234</v>
      </c>
      <c r="CC136" s="60">
        <f t="shared" si="119"/>
        <v>863.38861931415568</v>
      </c>
      <c r="CD136" s="60">
        <f ca="1">AVERAGE(OFFSET($CC$3,0,0,'Données projet'!$E$12+1,1))-AVERAGE(OFFSET($H$3,0,0,'Données projet'!$E$12+1,1))</f>
        <v>496.33873798282525</v>
      </c>
      <c r="CE136" s="60">
        <f t="shared" si="148"/>
        <v>280.25465074992246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2.7</v>
      </c>
      <c r="CT136" s="13">
        <f>IF('Données projet'!$A$140&gt;35,CT135+CS136-DB135,IF(A136&lt;'Données projet'!$A$140,$CQ$205^A136,IF(A136='Données projet'!$A$140,'Données projet'!$B$140,CT135+CS136-DB135)))</f>
        <v>277.09999999999934</v>
      </c>
      <c r="CU136" s="18">
        <f>CT136*VLOOKUP('Données projet'!$B$13,Paramètres!$A$1:$I$89,3,0)*VLOOKUP('Données projet'!$B$13,Paramètres!$A$1:$I$89,5,0)</f>
        <v>298.27043999999927</v>
      </c>
      <c r="CV136" s="14">
        <f t="shared" si="149"/>
        <v>70.813759345855843</v>
      </c>
      <c r="CW136" s="22">
        <f t="shared" si="121"/>
        <v>642.8216471940309</v>
      </c>
      <c r="CX136" s="60">
        <f t="shared" si="122"/>
        <v>927.21387887436435</v>
      </c>
      <c r="CY136" s="60">
        <f ca="1">AVERAGE(OFFSET($CX$3,0,0,'Données projet'!$E$13+1,1))-AVERAGE(OFFSET($H$3,0,0,'Données projet'!$E$13+1,1))</f>
        <v>542.90832990875208</v>
      </c>
      <c r="CZ136" s="60">
        <f t="shared" si="150"/>
        <v>304.94365539329362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0" t="e">
        <f t="shared" si="125"/>
        <v>#N/A</v>
      </c>
      <c r="DT136" s="60" t="e">
        <f ca="1">AVERAGE(OFFSET($DS$3,0,0,'Données projet'!$E$14+1,1))-AVERAGE(OFFSET($H$3,0,0,'Données projet'!$E$14+1,1))</f>
        <v>#N/A</v>
      </c>
      <c r="DU136" s="60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0" t="e">
        <f t="shared" si="128"/>
        <v>#N/A</v>
      </c>
      <c r="EO136" s="60" t="e">
        <f ca="1">AVERAGE(OFFSET($EN$3,0,0,'Données projet'!$E$15+1,1))-AVERAGE(OFFSET($H$3,0,0,'Données projet'!$E$15+1,1))</f>
        <v>#N/A</v>
      </c>
      <c r="EP136" s="60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0" t="e">
        <f t="shared" si="131"/>
        <v>#N/A</v>
      </c>
      <c r="FJ136" s="60" t="e">
        <f ca="1">AVERAGE(OFFSET($FI$3,0,0,'Données projet'!$E$16+1,1))-AVERAGE(OFFSET($H$3,0,0,'Données projet'!$E$16+1,1))</f>
        <v>#N/A</v>
      </c>
      <c r="FK136" s="60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0" t="e">
        <f t="shared" si="134"/>
        <v>#N/A</v>
      </c>
      <c r="GE136" s="60" t="e">
        <f ca="1">AVERAGE(OFFSET($GD$3,0,0,'Données projet'!$E$17+1,1))-AVERAGE(OFFSET($H$3,0,0,'Données projet'!$E$17+1,1))</f>
        <v>#N/A</v>
      </c>
      <c r="GF136" s="60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4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3.4106051316484809E-13</v>
      </c>
      <c r="O137" s="14">
        <f>N137*VLOOKUP('Données projet'!$B$9,Paramètres!$A$1:$I$89,3,0)*VLOOKUP('Données projet'!$B$9,Paramètres!$A$1:$I$89,5,0)</f>
        <v>1.5961632016114892E-13</v>
      </c>
      <c r="P137" s="14">
        <f t="shared" si="141"/>
        <v>2.2708641912150958E-12</v>
      </c>
      <c r="Q137" s="22">
        <f t="shared" si="108"/>
        <v>4.2330868906469593E-12</v>
      </c>
      <c r="R137" s="60">
        <f t="shared" si="109"/>
        <v>284.54733980470849</v>
      </c>
      <c r="S137" s="60">
        <f ca="1">AVERAGE(OFFSET($R$3,0,0,'Données projet'!$E$9+1,1))-AVERAGE(OFFSET($H$3,0,0,'Données projet'!$E$9+1,1))</f>
        <v>277.7918215389401</v>
      </c>
      <c r="T137" s="60">
        <f t="shared" si="142"/>
        <v>164.65640238394164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2.7</v>
      </c>
      <c r="AI137" s="14">
        <f>IF('Données projet'!$A$62&gt;35,AI136+AH137-AQ136,IF(A137&lt;'Données projet'!$A$62,$AF$205^A137,IF(A137='Données projet'!$A$62,'Données projet'!$B$62,AI136+AH137-AQ136)))</f>
        <v>279.79999999999933</v>
      </c>
      <c r="AJ137" s="14">
        <f>AI137*VLOOKUP('Données projet'!$B$10,Paramètres!$A$1:$I$89,3,0)*VLOOKUP('Données projet'!$B$10,Paramètres!$A$1:$I$89,5,0)</f>
        <v>253.16303999999937</v>
      </c>
      <c r="AK137" s="14">
        <f t="shared" si="143"/>
        <v>61.262761848634923</v>
      </c>
      <c r="AL137" s="22">
        <f t="shared" si="112"/>
        <v>547.62493821970475</v>
      </c>
      <c r="AM137" s="60">
        <f t="shared" si="113"/>
        <v>832.17227802440902</v>
      </c>
      <c r="AN137" s="60">
        <f ca="1">AVERAGE(OFFSET($AM$3,0,0,'Données projet'!$E$10+1,1))-AVERAGE(OFFSET($H$3,0,0,'Données projet'!$E$10+1,1))</f>
        <v>469.67944008675863</v>
      </c>
      <c r="AO137" s="60">
        <f t="shared" si="144"/>
        <v>266.11908070867173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0" t="e">
        <f t="shared" si="116"/>
        <v>#NUM!</v>
      </c>
      <c r="BI137" s="60">
        <f ca="1">AVERAGE(OFFSET($BH$3,0,0,'Données projet'!$E$11+1,1))-AVERAGE(OFFSET($H$3,0,0,'Données projet'!$E$11+1,1))</f>
        <v>216.36762889365235</v>
      </c>
      <c r="BJ137" s="60">
        <f t="shared" si="146"/>
        <v>333.29599352215496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1.7213731067377713</v>
      </c>
      <c r="BQ137" s="23">
        <f>EXP(-LN(2)/25)*BQ136+(1-EXP(-LN(2)/25))/(LN(2)/25)*Calculateur!BL137*Calculateur!BN137*VLOOKUP('Données projet'!$B$11,Paramètres!$A$1:$I$89,3,0)*0.475*44/12</f>
        <v>0.5453731016877178</v>
      </c>
      <c r="BR137" s="23">
        <f>EXP(-LN(2)/2)*BR136+(1-EXP(-LN(2)/2))/(LN(2)/2)*BL137*BO137*VLOOKUP('Données projet'!$B$11,Paramètres!$A$1:$I$89,3,0)*0.475*44/12</f>
        <v>6.4935339259282405E-16</v>
      </c>
      <c r="BS137" s="24">
        <f t="shared" si="117"/>
        <v>2.2667462084254897</v>
      </c>
      <c r="BT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2.7</v>
      </c>
      <c r="BY137" s="13">
        <f>IF('Données projet'!$A$114&gt;35,BY136+BX137-CG136,IF(A137&lt;'Données projet'!$A$114,$BV$205^A137,IF(A137='Données projet'!$A$114,'Données projet'!$B$114,BY136+BX137-CG136)))</f>
        <v>279.79999999999933</v>
      </c>
      <c r="BZ137" s="14">
        <f>BY137*VLOOKUP('Données projet'!$B$12,Paramètres!$A$1:$I$89,3,0)*VLOOKUP('Données projet'!$B$12,Paramètres!$A$1:$I$89,5,0)</f>
        <v>270.62255999999934</v>
      </c>
      <c r="CA137" s="14">
        <f t="shared" si="147"/>
        <v>64.981374516987898</v>
      </c>
      <c r="CB137" s="22">
        <f t="shared" si="118"/>
        <v>584.51018595041944</v>
      </c>
      <c r="CC137" s="60">
        <f t="shared" si="119"/>
        <v>869.05752575512372</v>
      </c>
      <c r="CD137" s="60">
        <f ca="1">AVERAGE(OFFSET($CC$3,0,0,'Données projet'!$E$12+1,1))-AVERAGE(OFFSET($H$3,0,0,'Données projet'!$E$12+1,1))</f>
        <v>496.33873798282525</v>
      </c>
      <c r="CE137" s="60">
        <f t="shared" si="148"/>
        <v>280.25465074992246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2.7</v>
      </c>
      <c r="CT137" s="13">
        <f>IF('Données projet'!$A$140&gt;35,CT136+CS137-DB136,IF(A137&lt;'Données projet'!$A$140,$CQ$205^A137,IF(A137='Données projet'!$A$140,'Données projet'!$B$140,CT136+CS137-DB136)))</f>
        <v>279.79999999999933</v>
      </c>
      <c r="CU137" s="18">
        <f>CT137*VLOOKUP('Données projet'!$B$13,Paramètres!$A$1:$I$89,3,0)*VLOOKUP('Données projet'!$B$13,Paramètres!$A$1:$I$89,5,0)</f>
        <v>301.17671999999925</v>
      </c>
      <c r="CV137" s="14">
        <f t="shared" si="149"/>
        <v>71.423092953709514</v>
      </c>
      <c r="CW137" s="22">
        <f t="shared" si="121"/>
        <v>648.94467422770936</v>
      </c>
      <c r="CX137" s="60">
        <f t="shared" si="122"/>
        <v>933.49201403241364</v>
      </c>
      <c r="CY137" s="60">
        <f ca="1">AVERAGE(OFFSET($CX$3,0,0,'Données projet'!$E$13+1,1))-AVERAGE(OFFSET($H$3,0,0,'Données projet'!$E$13+1,1))</f>
        <v>542.90832990875208</v>
      </c>
      <c r="CZ137" s="60">
        <f t="shared" si="150"/>
        <v>304.94365539329362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0" t="e">
        <f t="shared" si="125"/>
        <v>#N/A</v>
      </c>
      <c r="DT137" s="60" t="e">
        <f ca="1">AVERAGE(OFFSET($DS$3,0,0,'Données projet'!$E$14+1,1))-AVERAGE(OFFSET($H$3,0,0,'Données projet'!$E$14+1,1))</f>
        <v>#N/A</v>
      </c>
      <c r="DU137" s="60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0" t="e">
        <f t="shared" si="128"/>
        <v>#N/A</v>
      </c>
      <c r="EO137" s="60" t="e">
        <f ca="1">AVERAGE(OFFSET($EN$3,0,0,'Données projet'!$E$15+1,1))-AVERAGE(OFFSET($H$3,0,0,'Données projet'!$E$15+1,1))</f>
        <v>#N/A</v>
      </c>
      <c r="EP137" s="60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0" t="e">
        <f t="shared" si="131"/>
        <v>#N/A</v>
      </c>
      <c r="FJ137" s="60" t="e">
        <f ca="1">AVERAGE(OFFSET($FI$3,0,0,'Données projet'!$E$16+1,1))-AVERAGE(OFFSET($H$3,0,0,'Données projet'!$E$16+1,1))</f>
        <v>#N/A</v>
      </c>
      <c r="FK137" s="60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0" t="e">
        <f t="shared" si="134"/>
        <v>#N/A</v>
      </c>
      <c r="GE137" s="60" t="e">
        <f ca="1">AVERAGE(OFFSET($GD$3,0,0,'Données projet'!$E$17+1,1))-AVERAGE(OFFSET($H$3,0,0,'Données projet'!$E$17+1,1))</f>
        <v>#N/A</v>
      </c>
      <c r="GF137" s="60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4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3.4106051316484809E-13</v>
      </c>
      <c r="O138" s="14">
        <f>N138*VLOOKUP('Données projet'!$B$9,Paramètres!$A$1:$I$89,3,0)*VLOOKUP('Données projet'!$B$9,Paramètres!$A$1:$I$89,5,0)</f>
        <v>1.5961632016114892E-13</v>
      </c>
      <c r="P138" s="14">
        <f t="shared" si="141"/>
        <v>2.2708641912150958E-12</v>
      </c>
      <c r="Q138" s="22">
        <f t="shared" si="108"/>
        <v>4.2330868906469593E-12</v>
      </c>
      <c r="R138" s="60">
        <f t="shared" si="109"/>
        <v>284.69975714989135</v>
      </c>
      <c r="S138" s="60">
        <f ca="1">AVERAGE(OFFSET($R$3,0,0,'Données projet'!$E$9+1,1))-AVERAGE(OFFSET($H$3,0,0,'Données projet'!$E$9+1,1))</f>
        <v>277.7918215389401</v>
      </c>
      <c r="T138" s="60">
        <f t="shared" si="142"/>
        <v>164.65640238394164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2.7</v>
      </c>
      <c r="AI138" s="14">
        <f>IF('Données projet'!$A$62&gt;35,AI137+AH138-AQ137,IF(A138&lt;'Données projet'!$A$62,$AF$205^A138,IF(A138='Données projet'!$A$62,'Données projet'!$B$62,AI137+AH138-AQ137)))</f>
        <v>282.49999999999932</v>
      </c>
      <c r="AJ138" s="14">
        <f>AI138*VLOOKUP('Données projet'!$B$10,Paramètres!$A$1:$I$89,3,0)*VLOOKUP('Données projet'!$B$10,Paramètres!$A$1:$I$89,5,0)</f>
        <v>255.60599999999937</v>
      </c>
      <c r="AK138" s="14">
        <f t="shared" si="143"/>
        <v>61.784827631732192</v>
      </c>
      <c r="AL138" s="22">
        <f t="shared" si="112"/>
        <v>552.78902479193243</v>
      </c>
      <c r="AM138" s="60">
        <f t="shared" si="113"/>
        <v>837.48878194181952</v>
      </c>
      <c r="AN138" s="60">
        <f ca="1">AVERAGE(OFFSET($AM$3,0,0,'Données projet'!$E$10+1,1))-AVERAGE(OFFSET($H$3,0,0,'Données projet'!$E$10+1,1))</f>
        <v>469.67944008675863</v>
      </c>
      <c r="AO138" s="60">
        <f t="shared" si="144"/>
        <v>266.11908070867173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0" t="e">
        <f t="shared" si="116"/>
        <v>#NUM!</v>
      </c>
      <c r="BI138" s="60">
        <f ca="1">AVERAGE(OFFSET($BH$3,0,0,'Données projet'!$E$11+1,1))-AVERAGE(OFFSET($H$3,0,0,'Données projet'!$E$11+1,1))</f>
        <v>216.36762889365235</v>
      </c>
      <c r="BJ138" s="60">
        <f t="shared" si="146"/>
        <v>333.29599352215496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1.6876180300485664</v>
      </c>
      <c r="BQ138" s="23">
        <f>EXP(-LN(2)/25)*BQ137+(1-EXP(-LN(2)/25))/(LN(2)/25)*Calculateur!BL138*Calculateur!BN138*VLOOKUP('Données projet'!$B$11,Paramètres!$A$1:$I$89,3,0)*0.475*44/12</f>
        <v>0.53045984554214221</v>
      </c>
      <c r="BR138" s="23">
        <f>EXP(-LN(2)/2)*BR137+(1-EXP(-LN(2)/2))/(LN(2)/2)*BL138*BO138*VLOOKUP('Données projet'!$B$11,Paramètres!$A$1:$I$89,3,0)*0.475*44/12</f>
        <v>4.5916218728887632E-16</v>
      </c>
      <c r="BS138" s="24">
        <f t="shared" si="117"/>
        <v>2.2180778755907089</v>
      </c>
      <c r="BT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2.7</v>
      </c>
      <c r="BY138" s="13">
        <f>IF('Données projet'!$A$114&gt;35,BY137+BX138-CG137,IF(A138&lt;'Données projet'!$A$114,$BV$205^A138,IF(A138='Données projet'!$A$114,'Données projet'!$B$114,BY137+BX138-CG137)))</f>
        <v>282.49999999999932</v>
      </c>
      <c r="BZ138" s="14">
        <f>BY138*VLOOKUP('Données projet'!$B$12,Paramètres!$A$1:$I$89,3,0)*VLOOKUP('Données projet'!$B$12,Paramètres!$A$1:$I$89,5,0)</f>
        <v>273.23399999999936</v>
      </c>
      <c r="CA138" s="14">
        <f t="shared" si="147"/>
        <v>65.535129378020301</v>
      </c>
      <c r="CB138" s="22">
        <f t="shared" si="118"/>
        <v>590.0229003333842</v>
      </c>
      <c r="CC138" s="60">
        <f t="shared" si="119"/>
        <v>874.7226574832714</v>
      </c>
      <c r="CD138" s="60">
        <f ca="1">AVERAGE(OFFSET($CC$3,0,0,'Données projet'!$E$12+1,1))-AVERAGE(OFFSET($H$3,0,0,'Données projet'!$E$12+1,1))</f>
        <v>496.33873798282525</v>
      </c>
      <c r="CE138" s="60">
        <f t="shared" si="148"/>
        <v>280.25465074992246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2.7</v>
      </c>
      <c r="CT138" s="13">
        <f>IF('Données projet'!$A$140&gt;35,CT137+CS138-DB137,IF(A138&lt;'Données projet'!$A$140,$CQ$205^A138,IF(A138='Données projet'!$A$140,'Données projet'!$B$140,CT137+CS138-DB137)))</f>
        <v>282.49999999999932</v>
      </c>
      <c r="CU138" s="18">
        <f>CT138*VLOOKUP('Données projet'!$B$13,Paramètres!$A$1:$I$89,3,0)*VLOOKUP('Données projet'!$B$13,Paramètres!$A$1:$I$89,5,0)</f>
        <v>304.08299999999929</v>
      </c>
      <c r="CV138" s="14">
        <f t="shared" si="149"/>
        <v>72.031742512249494</v>
      </c>
      <c r="CW138" s="22">
        <f t="shared" si="121"/>
        <v>655.06650987549995</v>
      </c>
      <c r="CX138" s="60">
        <f t="shared" si="122"/>
        <v>939.76626702538715</v>
      </c>
      <c r="CY138" s="60">
        <f ca="1">AVERAGE(OFFSET($CX$3,0,0,'Données projet'!$E$13+1,1))-AVERAGE(OFFSET($H$3,0,0,'Données projet'!$E$13+1,1))</f>
        <v>542.90832990875208</v>
      </c>
      <c r="CZ138" s="60">
        <f t="shared" si="150"/>
        <v>304.94365539329362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0" t="e">
        <f t="shared" si="125"/>
        <v>#N/A</v>
      </c>
      <c r="DT138" s="60" t="e">
        <f ca="1">AVERAGE(OFFSET($DS$3,0,0,'Données projet'!$E$14+1,1))-AVERAGE(OFFSET($H$3,0,0,'Données projet'!$E$14+1,1))</f>
        <v>#N/A</v>
      </c>
      <c r="DU138" s="60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0" t="e">
        <f t="shared" si="128"/>
        <v>#N/A</v>
      </c>
      <c r="EO138" s="60" t="e">
        <f ca="1">AVERAGE(OFFSET($EN$3,0,0,'Données projet'!$E$15+1,1))-AVERAGE(OFFSET($H$3,0,0,'Données projet'!$E$15+1,1))</f>
        <v>#N/A</v>
      </c>
      <c r="EP138" s="60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0" t="e">
        <f t="shared" si="131"/>
        <v>#N/A</v>
      </c>
      <c r="FJ138" s="60" t="e">
        <f ca="1">AVERAGE(OFFSET($FI$3,0,0,'Données projet'!$E$16+1,1))-AVERAGE(OFFSET($H$3,0,0,'Données projet'!$E$16+1,1))</f>
        <v>#N/A</v>
      </c>
      <c r="FK138" s="60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0" t="e">
        <f t="shared" si="134"/>
        <v>#N/A</v>
      </c>
      <c r="GE138" s="60" t="e">
        <f ca="1">AVERAGE(OFFSET($GD$3,0,0,'Données projet'!$E$17+1,1))-AVERAGE(OFFSET($H$3,0,0,'Données projet'!$E$17+1,1))</f>
        <v>#N/A</v>
      </c>
      <c r="GF138" s="60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4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3.4106051316484809E-13</v>
      </c>
      <c r="O139" s="14">
        <f>N139*VLOOKUP('Données projet'!$B$9,Paramètres!$A$1:$I$89,3,0)*VLOOKUP('Données projet'!$B$9,Paramètres!$A$1:$I$89,5,0)</f>
        <v>1.5961632016114892E-13</v>
      </c>
      <c r="P139" s="14">
        <f t="shared" si="141"/>
        <v>2.2708641912150958E-12</v>
      </c>
      <c r="Q139" s="22">
        <f t="shared" si="108"/>
        <v>4.2330868906469593E-12</v>
      </c>
      <c r="R139" s="60">
        <f t="shared" si="109"/>
        <v>284.84953039488943</v>
      </c>
      <c r="S139" s="60">
        <f ca="1">AVERAGE(OFFSET($R$3,0,0,'Données projet'!$E$9+1,1))-AVERAGE(OFFSET($H$3,0,0,'Données projet'!$E$9+1,1))</f>
        <v>277.7918215389401</v>
      </c>
      <c r="T139" s="60">
        <f t="shared" si="142"/>
        <v>164.65640238394164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2.7</v>
      </c>
      <c r="AI139" s="14">
        <f>IF('Données projet'!$A$62&gt;35,AI138+AH139-AQ138,IF(A139&lt;'Données projet'!$A$62,$AF$205^A139,IF(A139='Données projet'!$A$62,'Données projet'!$B$62,AI138+AH139-AQ138)))</f>
        <v>285.19999999999931</v>
      </c>
      <c r="AJ139" s="14">
        <f>AI139*VLOOKUP('Données projet'!$B$10,Paramètres!$A$1:$I$89,3,0)*VLOOKUP('Données projet'!$B$10,Paramètres!$A$1:$I$89,5,0)</f>
        <v>258.0489599999994</v>
      </c>
      <c r="AK139" s="14">
        <f t="shared" si="143"/>
        <v>62.306312932555649</v>
      </c>
      <c r="AL139" s="22">
        <f t="shared" si="112"/>
        <v>557.95210035753337</v>
      </c>
      <c r="AM139" s="60">
        <f t="shared" si="113"/>
        <v>842.80163075241853</v>
      </c>
      <c r="AN139" s="60">
        <f ca="1">AVERAGE(OFFSET($AM$3,0,0,'Données projet'!$E$10+1,1))-AVERAGE(OFFSET($H$3,0,0,'Données projet'!$E$10+1,1))</f>
        <v>469.67944008675863</v>
      </c>
      <c r="AO139" s="60">
        <f t="shared" si="144"/>
        <v>266.11908070867173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0" t="e">
        <f t="shared" si="116"/>
        <v>#NUM!</v>
      </c>
      <c r="BI139" s="60">
        <f ca="1">AVERAGE(OFFSET($BH$3,0,0,'Données projet'!$E$11+1,1))-AVERAGE(OFFSET($H$3,0,0,'Données projet'!$E$11+1,1))</f>
        <v>216.36762889365235</v>
      </c>
      <c r="BJ139" s="60">
        <f t="shared" si="146"/>
        <v>333.29599352215496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1.6545248698246728</v>
      </c>
      <c r="BQ139" s="23">
        <f>EXP(-LN(2)/25)*BQ138+(1-EXP(-LN(2)/25))/(LN(2)/25)*Calculateur!BL139*Calculateur!BN139*VLOOKUP('Données projet'!$B$11,Paramètres!$A$1:$I$89,3,0)*0.475*44/12</f>
        <v>0.51595439317012148</v>
      </c>
      <c r="BR139" s="23">
        <f>EXP(-LN(2)/2)*BR138+(1-EXP(-LN(2)/2))/(LN(2)/2)*BL139*BO139*VLOOKUP('Données projet'!$B$11,Paramètres!$A$1:$I$89,3,0)*0.475*44/12</f>
        <v>3.2467669629641203E-16</v>
      </c>
      <c r="BS139" s="24">
        <f t="shared" si="117"/>
        <v>2.1704792629947947</v>
      </c>
      <c r="BT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2.7</v>
      </c>
      <c r="BY139" s="13">
        <f>IF('Données projet'!$A$114&gt;35,BY138+BX139-CG138,IF(A139&lt;'Données projet'!$A$114,$BV$205^A139,IF(A139='Données projet'!$A$114,'Données projet'!$B$114,BY138+BX139-CG138)))</f>
        <v>285.19999999999931</v>
      </c>
      <c r="BZ139" s="14">
        <f>BY139*VLOOKUP('Données projet'!$B$12,Paramètres!$A$1:$I$89,3,0)*VLOOKUP('Données projet'!$B$12,Paramètres!$A$1:$I$89,5,0)</f>
        <v>275.84543999999931</v>
      </c>
      <c r="CA139" s="14">
        <f t="shared" si="147"/>
        <v>66.088268521855113</v>
      </c>
      <c r="CB139" s="22">
        <f t="shared" si="118"/>
        <v>595.53454234222977</v>
      </c>
      <c r="CC139" s="60">
        <f t="shared" si="119"/>
        <v>880.38407273711505</v>
      </c>
      <c r="CD139" s="60">
        <f ca="1">AVERAGE(OFFSET($CC$3,0,0,'Données projet'!$E$12+1,1))-AVERAGE(OFFSET($H$3,0,0,'Données projet'!$E$12+1,1))</f>
        <v>496.33873798282525</v>
      </c>
      <c r="CE139" s="60">
        <f t="shared" si="148"/>
        <v>280.25465074992246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2.7</v>
      </c>
      <c r="CT139" s="13">
        <f>IF('Données projet'!$A$140&gt;35,CT138+CS139-DB138,IF(A139&lt;'Données projet'!$A$140,$CQ$205^A139,IF(A139='Données projet'!$A$140,'Données projet'!$B$140,CT138+CS139-DB138)))</f>
        <v>285.19999999999931</v>
      </c>
      <c r="CU139" s="18">
        <f>CT139*VLOOKUP('Données projet'!$B$13,Paramètres!$A$1:$I$89,3,0)*VLOOKUP('Données projet'!$B$13,Paramètres!$A$1:$I$89,5,0)</f>
        <v>306.98927999999921</v>
      </c>
      <c r="CV139" s="14">
        <f t="shared" si="149"/>
        <v>72.639715316458506</v>
      </c>
      <c r="CW139" s="22">
        <f t="shared" si="121"/>
        <v>661.18716684283038</v>
      </c>
      <c r="CX139" s="60">
        <f t="shared" si="122"/>
        <v>946.03669723771554</v>
      </c>
      <c r="CY139" s="60">
        <f ca="1">AVERAGE(OFFSET($CX$3,0,0,'Données projet'!$E$13+1,1))-AVERAGE(OFFSET($H$3,0,0,'Données projet'!$E$13+1,1))</f>
        <v>542.90832990875208</v>
      </c>
      <c r="CZ139" s="60">
        <f t="shared" si="150"/>
        <v>304.94365539329362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0" t="e">
        <f t="shared" si="125"/>
        <v>#N/A</v>
      </c>
      <c r="DT139" s="60" t="e">
        <f ca="1">AVERAGE(OFFSET($DS$3,0,0,'Données projet'!$E$14+1,1))-AVERAGE(OFFSET($H$3,0,0,'Données projet'!$E$14+1,1))</f>
        <v>#N/A</v>
      </c>
      <c r="DU139" s="60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0" t="e">
        <f t="shared" si="128"/>
        <v>#N/A</v>
      </c>
      <c r="EO139" s="60" t="e">
        <f ca="1">AVERAGE(OFFSET($EN$3,0,0,'Données projet'!$E$15+1,1))-AVERAGE(OFFSET($H$3,0,0,'Données projet'!$E$15+1,1))</f>
        <v>#N/A</v>
      </c>
      <c r="EP139" s="60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0" t="e">
        <f t="shared" si="131"/>
        <v>#N/A</v>
      </c>
      <c r="FJ139" s="60" t="e">
        <f ca="1">AVERAGE(OFFSET($FI$3,0,0,'Données projet'!$E$16+1,1))-AVERAGE(OFFSET($H$3,0,0,'Données projet'!$E$16+1,1))</f>
        <v>#N/A</v>
      </c>
      <c r="FK139" s="60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0" t="e">
        <f t="shared" si="134"/>
        <v>#N/A</v>
      </c>
      <c r="GE139" s="60" t="e">
        <f ca="1">AVERAGE(OFFSET($GD$3,0,0,'Données projet'!$E$17+1,1))-AVERAGE(OFFSET($H$3,0,0,'Données projet'!$E$17+1,1))</f>
        <v>#N/A</v>
      </c>
      <c r="GF139" s="60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4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3.4106051316484809E-13</v>
      </c>
      <c r="O140" s="14">
        <f>N140*VLOOKUP('Données projet'!$B$9,Paramètres!$A$1:$I$89,3,0)*VLOOKUP('Données projet'!$B$9,Paramètres!$A$1:$I$89,5,0)</f>
        <v>1.5961632016114892E-13</v>
      </c>
      <c r="P140" s="14">
        <f t="shared" si="141"/>
        <v>2.2708641912150958E-12</v>
      </c>
      <c r="Q140" s="22">
        <f t="shared" si="108"/>
        <v>4.2330868906469593E-12</v>
      </c>
      <c r="R140" s="60">
        <f t="shared" si="109"/>
        <v>284.99670540892959</v>
      </c>
      <c r="S140" s="60">
        <f ca="1">AVERAGE(OFFSET($R$3,0,0,'Données projet'!$E$9+1,1))-AVERAGE(OFFSET($H$3,0,0,'Données projet'!$E$9+1,1))</f>
        <v>277.7918215389401</v>
      </c>
      <c r="T140" s="60">
        <f t="shared" si="142"/>
        <v>164.65640238394164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2.7</v>
      </c>
      <c r="AI140" s="14">
        <f>IF('Données projet'!$A$62&gt;35,AI139+AH140-AQ139,IF(A140&lt;'Données projet'!$A$62,$AF$205^A140,IF(A140='Données projet'!$A$62,'Données projet'!$B$62,AI139+AH140-AQ139)))</f>
        <v>287.8999999999993</v>
      </c>
      <c r="AJ140" s="14">
        <f>AI140*VLOOKUP('Données projet'!$B$10,Paramètres!$A$1:$I$89,3,0)*VLOOKUP('Données projet'!$B$10,Paramètres!$A$1:$I$89,5,0)</f>
        <v>260.49191999999937</v>
      </c>
      <c r="AK140" s="14">
        <f t="shared" si="143"/>
        <v>62.827223883029681</v>
      </c>
      <c r="AL140" s="22">
        <f t="shared" si="112"/>
        <v>563.11417559627546</v>
      </c>
      <c r="AM140" s="60">
        <f t="shared" si="113"/>
        <v>848.11088100520078</v>
      </c>
      <c r="AN140" s="60">
        <f ca="1">AVERAGE(OFFSET($AM$3,0,0,'Données projet'!$E$10+1,1))-AVERAGE(OFFSET($H$3,0,0,'Données projet'!$E$10+1,1))</f>
        <v>469.67944008675863</v>
      </c>
      <c r="AO140" s="60">
        <f t="shared" si="144"/>
        <v>266.11908070867173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0" t="e">
        <f t="shared" si="116"/>
        <v>#NUM!</v>
      </c>
      <c r="BI140" s="60">
        <f ca="1">AVERAGE(OFFSET($BH$3,0,0,'Données projet'!$E$11+1,1))-AVERAGE(OFFSET($H$3,0,0,'Données projet'!$E$11+1,1))</f>
        <v>216.36762889365235</v>
      </c>
      <c r="BJ140" s="60">
        <f t="shared" si="146"/>
        <v>333.29599352215496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1.6220806462879354</v>
      </c>
      <c r="BQ140" s="23">
        <f>EXP(-LN(2)/25)*BQ139+(1-EXP(-LN(2)/25))/(LN(2)/25)*Calculateur!BL140*Calculateur!BN140*VLOOKUP('Données projet'!$B$11,Paramètres!$A$1:$I$89,3,0)*0.475*44/12</f>
        <v>0.50184559315602217</v>
      </c>
      <c r="BR140" s="23">
        <f>EXP(-LN(2)/2)*BR139+(1-EXP(-LN(2)/2))/(LN(2)/2)*BL140*BO140*VLOOKUP('Données projet'!$B$11,Paramètres!$A$1:$I$89,3,0)*0.475*44/12</f>
        <v>2.2958109364443816E-16</v>
      </c>
      <c r="BS140" s="24">
        <f t="shared" si="117"/>
        <v>2.123926239443958</v>
      </c>
      <c r="BT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2.7</v>
      </c>
      <c r="BY140" s="13">
        <f>IF('Données projet'!$A$114&gt;35,BY139+BX140-CG139,IF(A140&lt;'Données projet'!$A$114,$BV$205^A140,IF(A140='Données projet'!$A$114,'Données projet'!$B$114,BY139+BX140-CG139)))</f>
        <v>287.8999999999993</v>
      </c>
      <c r="BZ140" s="14">
        <f>BY140*VLOOKUP('Données projet'!$B$12,Paramètres!$A$1:$I$89,3,0)*VLOOKUP('Données projet'!$B$12,Paramètres!$A$1:$I$89,5,0)</f>
        <v>278.45687999999933</v>
      </c>
      <c r="CA140" s="14">
        <f t="shared" si="147"/>
        <v>66.640798452620999</v>
      </c>
      <c r="CB140" s="22">
        <f t="shared" si="118"/>
        <v>601.04512330498039</v>
      </c>
      <c r="CC140" s="60">
        <f t="shared" si="119"/>
        <v>886.04182871390572</v>
      </c>
      <c r="CD140" s="60">
        <f ca="1">AVERAGE(OFFSET($CC$3,0,0,'Données projet'!$E$12+1,1))-AVERAGE(OFFSET($H$3,0,0,'Données projet'!$E$12+1,1))</f>
        <v>496.33873798282525</v>
      </c>
      <c r="CE140" s="60">
        <f t="shared" si="148"/>
        <v>280.25465074992246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2.7</v>
      </c>
      <c r="CT140" s="13">
        <f>IF('Données projet'!$A$140&gt;35,CT139+CS140-DB139,IF(A140&lt;'Données projet'!$A$140,$CQ$205^A140,IF(A140='Données projet'!$A$140,'Données projet'!$B$140,CT139+CS140-DB139)))</f>
        <v>287.8999999999993</v>
      </c>
      <c r="CU140" s="18">
        <f>CT140*VLOOKUP('Données projet'!$B$13,Paramètres!$A$1:$I$89,3,0)*VLOOKUP('Données projet'!$B$13,Paramètres!$A$1:$I$89,5,0)</f>
        <v>309.89555999999925</v>
      </c>
      <c r="CV140" s="14">
        <f t="shared" si="149"/>
        <v>73.247018515231034</v>
      </c>
      <c r="CW140" s="22">
        <f t="shared" si="121"/>
        <v>667.30665758069279</v>
      </c>
      <c r="CX140" s="60">
        <f t="shared" si="122"/>
        <v>952.30336298961811</v>
      </c>
      <c r="CY140" s="60">
        <f ca="1">AVERAGE(OFFSET($CX$3,0,0,'Données projet'!$E$13+1,1))-AVERAGE(OFFSET($H$3,0,0,'Données projet'!$E$13+1,1))</f>
        <v>542.90832990875208</v>
      </c>
      <c r="CZ140" s="60">
        <f t="shared" si="150"/>
        <v>304.94365539329362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0" t="e">
        <f t="shared" si="125"/>
        <v>#N/A</v>
      </c>
      <c r="DT140" s="60" t="e">
        <f ca="1">AVERAGE(OFFSET($DS$3,0,0,'Données projet'!$E$14+1,1))-AVERAGE(OFFSET($H$3,0,0,'Données projet'!$E$14+1,1))</f>
        <v>#N/A</v>
      </c>
      <c r="DU140" s="60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0" t="e">
        <f t="shared" si="128"/>
        <v>#N/A</v>
      </c>
      <c r="EO140" s="60" t="e">
        <f ca="1">AVERAGE(OFFSET($EN$3,0,0,'Données projet'!$E$15+1,1))-AVERAGE(OFFSET($H$3,0,0,'Données projet'!$E$15+1,1))</f>
        <v>#N/A</v>
      </c>
      <c r="EP140" s="60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0" t="e">
        <f t="shared" si="131"/>
        <v>#N/A</v>
      </c>
      <c r="FJ140" s="60" t="e">
        <f ca="1">AVERAGE(OFFSET($FI$3,0,0,'Données projet'!$E$16+1,1))-AVERAGE(OFFSET($H$3,0,0,'Données projet'!$E$16+1,1))</f>
        <v>#N/A</v>
      </c>
      <c r="FK140" s="60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0" t="e">
        <f t="shared" si="134"/>
        <v>#N/A</v>
      </c>
      <c r="GE140" s="60" t="e">
        <f ca="1">AVERAGE(OFFSET($GD$3,0,0,'Données projet'!$E$17+1,1))-AVERAGE(OFFSET($H$3,0,0,'Données projet'!$E$17+1,1))</f>
        <v>#N/A</v>
      </c>
      <c r="GF140" s="60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4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3.4106051316484809E-13</v>
      </c>
      <c r="O141" s="14">
        <f>N141*VLOOKUP('Données projet'!$B$9,Paramètres!$A$1:$I$89,3,0)*VLOOKUP('Données projet'!$B$9,Paramètres!$A$1:$I$89,5,0)</f>
        <v>1.5961632016114892E-13</v>
      </c>
      <c r="P141" s="14">
        <f t="shared" si="141"/>
        <v>2.2708641912150958E-12</v>
      </c>
      <c r="Q141" s="22">
        <f t="shared" si="108"/>
        <v>4.2330868906469593E-12</v>
      </c>
      <c r="R141" s="60">
        <f t="shared" si="109"/>
        <v>285.14132726551014</v>
      </c>
      <c r="S141" s="60">
        <f ca="1">AVERAGE(OFFSET($R$3,0,0,'Données projet'!$E$9+1,1))-AVERAGE(OFFSET($H$3,0,0,'Données projet'!$E$9+1,1))</f>
        <v>277.7918215389401</v>
      </c>
      <c r="T141" s="60">
        <f t="shared" si="142"/>
        <v>164.65640238394164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2.7</v>
      </c>
      <c r="AI141" s="14">
        <f>IF('Données projet'!$A$62&gt;35,AI140+AH141-AQ140,IF(A141&lt;'Données projet'!$A$62,$AF$205^A141,IF(A141='Données projet'!$A$62,'Données projet'!$B$62,AI140+AH141-AQ140)))</f>
        <v>290.59999999999928</v>
      </c>
      <c r="AJ141" s="14">
        <f>AI141*VLOOKUP('Données projet'!$B$10,Paramètres!$A$1:$I$89,3,0)*VLOOKUP('Données projet'!$B$10,Paramètres!$A$1:$I$89,5,0)</f>
        <v>262.93487999999934</v>
      </c>
      <c r="AK141" s="14">
        <f t="shared" si="143"/>
        <v>63.347566493432652</v>
      </c>
      <c r="AL141" s="22">
        <f t="shared" si="112"/>
        <v>568.27526097606062</v>
      </c>
      <c r="AM141" s="60">
        <f t="shared" si="113"/>
        <v>853.41658824156661</v>
      </c>
      <c r="AN141" s="60">
        <f ca="1">AVERAGE(OFFSET($AM$3,0,0,'Données projet'!$E$10+1,1))-AVERAGE(OFFSET($H$3,0,0,'Données projet'!$E$10+1,1))</f>
        <v>469.67944008675863</v>
      </c>
      <c r="AO141" s="60">
        <f t="shared" si="144"/>
        <v>266.11908070867173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0" t="e">
        <f t="shared" si="116"/>
        <v>#NUM!</v>
      </c>
      <c r="BI141" s="60">
        <f ca="1">AVERAGE(OFFSET($BH$3,0,0,'Données projet'!$E$11+1,1))-AVERAGE(OFFSET($H$3,0,0,'Données projet'!$E$11+1,1))</f>
        <v>216.36762889365235</v>
      </c>
      <c r="BJ141" s="60">
        <f t="shared" si="146"/>
        <v>333.29599352215496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1.5902726341857309</v>
      </c>
      <c r="BQ141" s="23">
        <f>EXP(-LN(2)/25)*BQ140+(1-EXP(-LN(2)/25))/(LN(2)/25)*Calculateur!BL141*Calculateur!BN141*VLOOKUP('Données projet'!$B$11,Paramètres!$A$1:$I$89,3,0)*0.475*44/12</f>
        <v>0.48812259902025801</v>
      </c>
      <c r="BR141" s="23">
        <f>EXP(-LN(2)/2)*BR140+(1-EXP(-LN(2)/2))/(LN(2)/2)*BL141*BO141*VLOOKUP('Données projet'!$B$11,Paramètres!$A$1:$I$89,3,0)*0.475*44/12</f>
        <v>1.6233834814820601E-16</v>
      </c>
      <c r="BS141" s="24">
        <f t="shared" si="117"/>
        <v>2.0783952332059892</v>
      </c>
      <c r="BT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2.7</v>
      </c>
      <c r="BY141" s="13">
        <f>IF('Données projet'!$A$114&gt;35,BY140+BX141-CG140,IF(A141&lt;'Données projet'!$A$114,$BV$205^A141,IF(A141='Données projet'!$A$114,'Données projet'!$B$114,BY140+BX141-CG140)))</f>
        <v>290.59999999999928</v>
      </c>
      <c r="BZ141" s="14">
        <f>BY141*VLOOKUP('Données projet'!$B$12,Paramètres!$A$1:$I$89,3,0)*VLOOKUP('Données projet'!$B$12,Paramètres!$A$1:$I$89,5,0)</f>
        <v>281.06831999999929</v>
      </c>
      <c r="CA141" s="14">
        <f t="shared" si="147"/>
        <v>67.192725545416536</v>
      </c>
      <c r="CB141" s="22">
        <f t="shared" si="118"/>
        <v>606.55465432493247</v>
      </c>
      <c r="CC141" s="60">
        <f t="shared" si="119"/>
        <v>891.69598159043835</v>
      </c>
      <c r="CD141" s="60">
        <f ca="1">AVERAGE(OFFSET($CC$3,0,0,'Données projet'!$E$12+1,1))-AVERAGE(OFFSET($H$3,0,0,'Données projet'!$E$12+1,1))</f>
        <v>496.33873798282525</v>
      </c>
      <c r="CE141" s="60">
        <f t="shared" si="148"/>
        <v>280.25465074992246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2.7</v>
      </c>
      <c r="CT141" s="13">
        <f>IF('Données projet'!$A$140&gt;35,CT140+CS141-DB140,IF(A141&lt;'Données projet'!$A$140,$CQ$205^A141,IF(A141='Données projet'!$A$140,'Données projet'!$B$140,CT140+CS141-DB140)))</f>
        <v>290.59999999999928</v>
      </c>
      <c r="CU141" s="18">
        <f>CT141*VLOOKUP('Données projet'!$B$13,Paramètres!$A$1:$I$89,3,0)*VLOOKUP('Données projet'!$B$13,Paramètres!$A$1:$I$89,5,0)</f>
        <v>312.80183999999923</v>
      </c>
      <c r="CV141" s="14">
        <f t="shared" si="149"/>
        <v>73.853659115640255</v>
      </c>
      <c r="CW141" s="22">
        <f t="shared" si="121"/>
        <v>673.42499429307202</v>
      </c>
      <c r="CX141" s="60">
        <f t="shared" si="122"/>
        <v>958.56632155857801</v>
      </c>
      <c r="CY141" s="60">
        <f ca="1">AVERAGE(OFFSET($CX$3,0,0,'Données projet'!$E$13+1,1))-AVERAGE(OFFSET($H$3,0,0,'Données projet'!$E$13+1,1))</f>
        <v>542.90832990875208</v>
      </c>
      <c r="CZ141" s="60">
        <f t="shared" si="150"/>
        <v>304.94365539329362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0" t="e">
        <f t="shared" si="125"/>
        <v>#N/A</v>
      </c>
      <c r="DT141" s="60" t="e">
        <f ca="1">AVERAGE(OFFSET($DS$3,0,0,'Données projet'!$E$14+1,1))-AVERAGE(OFFSET($H$3,0,0,'Données projet'!$E$14+1,1))</f>
        <v>#N/A</v>
      </c>
      <c r="DU141" s="60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0" t="e">
        <f t="shared" si="128"/>
        <v>#N/A</v>
      </c>
      <c r="EO141" s="60" t="e">
        <f ca="1">AVERAGE(OFFSET($EN$3,0,0,'Données projet'!$E$15+1,1))-AVERAGE(OFFSET($H$3,0,0,'Données projet'!$E$15+1,1))</f>
        <v>#N/A</v>
      </c>
      <c r="EP141" s="60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0" t="e">
        <f t="shared" si="131"/>
        <v>#N/A</v>
      </c>
      <c r="FJ141" s="60" t="e">
        <f ca="1">AVERAGE(OFFSET($FI$3,0,0,'Données projet'!$E$16+1,1))-AVERAGE(OFFSET($H$3,0,0,'Données projet'!$E$16+1,1))</f>
        <v>#N/A</v>
      </c>
      <c r="FK141" s="60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0" t="e">
        <f t="shared" si="134"/>
        <v>#N/A</v>
      </c>
      <c r="GE141" s="60" t="e">
        <f ca="1">AVERAGE(OFFSET($GD$3,0,0,'Données projet'!$E$17+1,1))-AVERAGE(OFFSET($H$3,0,0,'Données projet'!$E$17+1,1))</f>
        <v>#N/A</v>
      </c>
      <c r="GF141" s="60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4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3.4106051316484809E-13</v>
      </c>
      <c r="O142" s="14">
        <f>N142*VLOOKUP('Données projet'!$B$9,Paramètres!$A$1:$I$89,3,0)*VLOOKUP('Données projet'!$B$9,Paramètres!$A$1:$I$89,5,0)</f>
        <v>1.5961632016114892E-13</v>
      </c>
      <c r="P142" s="14">
        <f t="shared" si="141"/>
        <v>2.2708641912150958E-12</v>
      </c>
      <c r="Q142" s="22">
        <f t="shared" si="108"/>
        <v>4.2330868906469593E-12</v>
      </c>
      <c r="R142" s="60">
        <f t="shared" si="109"/>
        <v>285.2834402562051</v>
      </c>
      <c r="S142" s="60">
        <f ca="1">AVERAGE(OFFSET($R$3,0,0,'Données projet'!$E$9+1,1))-AVERAGE(OFFSET($H$3,0,0,'Données projet'!$E$9+1,1))</f>
        <v>277.7918215389401</v>
      </c>
      <c r="T142" s="60">
        <f t="shared" si="142"/>
        <v>164.65640238394164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2.7</v>
      </c>
      <c r="AI142" s="14">
        <f>IF('Données projet'!$A$62&gt;35,AI141+AH142-AQ141,IF(A142&lt;'Données projet'!$A$62,$AF$205^A142,IF(A142='Données projet'!$A$62,'Données projet'!$B$62,AI141+AH142-AQ141)))</f>
        <v>293.29999999999927</v>
      </c>
      <c r="AJ142" s="14">
        <f>AI142*VLOOKUP('Données projet'!$B$10,Paramètres!$A$1:$I$89,3,0)*VLOOKUP('Données projet'!$B$10,Paramètres!$A$1:$I$89,5,0)</f>
        <v>265.37783999999937</v>
      </c>
      <c r="AK142" s="14">
        <f t="shared" si="143"/>
        <v>63.867346655917089</v>
      </c>
      <c r="AL142" s="22">
        <f t="shared" si="112"/>
        <v>573.43536675905443</v>
      </c>
      <c r="AM142" s="60">
        <f t="shared" si="113"/>
        <v>858.71880701525538</v>
      </c>
      <c r="AN142" s="60">
        <f ca="1">AVERAGE(OFFSET($AM$3,0,0,'Données projet'!$E$10+1,1))-AVERAGE(OFFSET($H$3,0,0,'Données projet'!$E$10+1,1))</f>
        <v>469.67944008675863</v>
      </c>
      <c r="AO142" s="60">
        <f t="shared" si="144"/>
        <v>266.11908070867173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0" t="e">
        <f t="shared" si="116"/>
        <v>#NUM!</v>
      </c>
      <c r="BI142" s="60">
        <f ca="1">AVERAGE(OFFSET($BH$3,0,0,'Données projet'!$E$11+1,1))-AVERAGE(OFFSET($H$3,0,0,'Données projet'!$E$11+1,1))</f>
        <v>216.36762889365235</v>
      </c>
      <c r="BJ142" s="60">
        <f t="shared" si="146"/>
        <v>333.29599352215496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1.5590883577998791</v>
      </c>
      <c r="BQ142" s="23">
        <f>EXP(-LN(2)/25)*BQ141+(1-EXP(-LN(2)/25))/(LN(2)/25)*Calculateur!BL142*Calculateur!BN142*VLOOKUP('Données projet'!$B$11,Paramètres!$A$1:$I$89,3,0)*0.475*44/12</f>
        <v>0.47477486088079718</v>
      </c>
      <c r="BR142" s="23">
        <f>EXP(-LN(2)/2)*BR141+(1-EXP(-LN(2)/2))/(LN(2)/2)*BL142*BO142*VLOOKUP('Données projet'!$B$11,Paramètres!$A$1:$I$89,3,0)*0.475*44/12</f>
        <v>1.1479054682221908E-16</v>
      </c>
      <c r="BS142" s="24">
        <f t="shared" si="117"/>
        <v>2.0338632186806764</v>
      </c>
      <c r="BT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2.7</v>
      </c>
      <c r="BY142" s="13">
        <f>IF('Données projet'!$A$114&gt;35,BY141+BX142-CG141,IF(A142&lt;'Données projet'!$A$114,$BV$205^A142,IF(A142='Données projet'!$A$114,'Données projet'!$B$114,BY141+BX142-CG141)))</f>
        <v>293.29999999999927</v>
      </c>
      <c r="BZ142" s="14">
        <f>BY142*VLOOKUP('Données projet'!$B$12,Paramètres!$A$1:$I$89,3,0)*VLOOKUP('Données projet'!$B$12,Paramètres!$A$1:$I$89,5,0)</f>
        <v>283.67975999999931</v>
      </c>
      <c r="CA142" s="14">
        <f t="shared" si="147"/>
        <v>67.74405605004435</v>
      </c>
      <c r="CB142" s="22">
        <f t="shared" si="118"/>
        <v>612.06314628715938</v>
      </c>
      <c r="CC142" s="60">
        <f t="shared" si="119"/>
        <v>897.34658654336022</v>
      </c>
      <c r="CD142" s="60">
        <f ca="1">AVERAGE(OFFSET($CC$3,0,0,'Données projet'!$E$12+1,1))-AVERAGE(OFFSET($H$3,0,0,'Données projet'!$E$12+1,1))</f>
        <v>496.33873798282525</v>
      </c>
      <c r="CE142" s="60">
        <f t="shared" si="148"/>
        <v>280.25465074992246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2.7</v>
      </c>
      <c r="CT142" s="13">
        <f>IF('Données projet'!$A$140&gt;35,CT141+CS142-DB141,IF(A142&lt;'Données projet'!$A$140,$CQ$205^A142,IF(A142='Données projet'!$A$140,'Données projet'!$B$140,CT141+CS142-DB141)))</f>
        <v>293.29999999999927</v>
      </c>
      <c r="CU142" s="18">
        <f>CT142*VLOOKUP('Données projet'!$B$13,Paramètres!$A$1:$I$89,3,0)*VLOOKUP('Données projet'!$B$13,Paramètres!$A$1:$I$89,5,0)</f>
        <v>315.70811999999916</v>
      </c>
      <c r="CV142" s="14">
        <f t="shared" si="149"/>
        <v>74.459643987042966</v>
      </c>
      <c r="CW142" s="22">
        <f t="shared" si="121"/>
        <v>679.54218894409837</v>
      </c>
      <c r="CX142" s="60">
        <f t="shared" si="122"/>
        <v>964.82562920029932</v>
      </c>
      <c r="CY142" s="60">
        <f ca="1">AVERAGE(OFFSET($CX$3,0,0,'Données projet'!$E$13+1,1))-AVERAGE(OFFSET($H$3,0,0,'Données projet'!$E$13+1,1))</f>
        <v>542.90832990875208</v>
      </c>
      <c r="CZ142" s="60">
        <f t="shared" si="150"/>
        <v>304.94365539329362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0" t="e">
        <f t="shared" si="125"/>
        <v>#N/A</v>
      </c>
      <c r="DT142" s="60" t="e">
        <f ca="1">AVERAGE(OFFSET($DS$3,0,0,'Données projet'!$E$14+1,1))-AVERAGE(OFFSET($H$3,0,0,'Données projet'!$E$14+1,1))</f>
        <v>#N/A</v>
      </c>
      <c r="DU142" s="60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0" t="e">
        <f t="shared" si="128"/>
        <v>#N/A</v>
      </c>
      <c r="EO142" s="60" t="e">
        <f ca="1">AVERAGE(OFFSET($EN$3,0,0,'Données projet'!$E$15+1,1))-AVERAGE(OFFSET($H$3,0,0,'Données projet'!$E$15+1,1))</f>
        <v>#N/A</v>
      </c>
      <c r="EP142" s="60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0" t="e">
        <f t="shared" si="131"/>
        <v>#N/A</v>
      </c>
      <c r="FJ142" s="60" t="e">
        <f ca="1">AVERAGE(OFFSET($FI$3,0,0,'Données projet'!$E$16+1,1))-AVERAGE(OFFSET($H$3,0,0,'Données projet'!$E$16+1,1))</f>
        <v>#N/A</v>
      </c>
      <c r="FK142" s="60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0" t="e">
        <f t="shared" si="134"/>
        <v>#N/A</v>
      </c>
      <c r="GE142" s="60" t="e">
        <f ca="1">AVERAGE(OFFSET($GD$3,0,0,'Données projet'!$E$17+1,1))-AVERAGE(OFFSET($H$3,0,0,'Données projet'!$E$17+1,1))</f>
        <v>#N/A</v>
      </c>
      <c r="GF142" s="60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4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3.4106051316484809E-13</v>
      </c>
      <c r="O143" s="14">
        <f>N143*VLOOKUP('Données projet'!$B$9,Paramètres!$A$1:$I$89,3,0)*VLOOKUP('Données projet'!$B$9,Paramètres!$A$1:$I$89,5,0)</f>
        <v>1.5961632016114892E-13</v>
      </c>
      <c r="P143" s="14">
        <f t="shared" si="141"/>
        <v>2.2708641912150958E-12</v>
      </c>
      <c r="Q143" s="22">
        <f t="shared" si="108"/>
        <v>4.2330868906469593E-12</v>
      </c>
      <c r="R143" s="60">
        <f t="shared" si="109"/>
        <v>285.42308790422857</v>
      </c>
      <c r="S143" s="60">
        <f ca="1">AVERAGE(OFFSET($R$3,0,0,'Données projet'!$E$9+1,1))-AVERAGE(OFFSET($H$3,0,0,'Données projet'!$E$9+1,1))</f>
        <v>277.7918215389401</v>
      </c>
      <c r="T143" s="60">
        <f t="shared" si="142"/>
        <v>164.65640238394164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>
        <f>VLOOKUP(A143,'Données projet'!$A$61:$I$81,2,0)</f>
        <v>296</v>
      </c>
      <c r="AG143" s="13">
        <f>VLOOKUP(A143,'Données projet'!$A$61:$I$81,9,0)</f>
        <v>2.7</v>
      </c>
      <c r="AH143" s="13">
        <f t="array" ref="AH143">INDEX(AG:AG,MIN(IF(ISNUMBER(AG143:AG339),ROW(AG143:AG339),"")))</f>
        <v>2.7</v>
      </c>
      <c r="AI143" s="14">
        <f>IF('Données projet'!$A$62&gt;35,AI142+AH143-AQ142,IF(A143&lt;'Données projet'!$A$62,$AF$205^A143,IF(A143='Données projet'!$A$62,'Données projet'!$B$62,AI142+AH143-AQ142)))</f>
        <v>295.99999999999926</v>
      </c>
      <c r="AJ143" s="14">
        <f>AI143*VLOOKUP('Données projet'!$B$10,Paramètres!$A$1:$I$89,3,0)*VLOOKUP('Données projet'!$B$10,Paramètres!$A$1:$I$89,5,0)</f>
        <v>267.82079999999934</v>
      </c>
      <c r="AK143" s="14">
        <f t="shared" si="143"/>
        <v>64.386570147897245</v>
      </c>
      <c r="AL143" s="22">
        <f t="shared" si="112"/>
        <v>578.59450300758647</v>
      </c>
      <c r="AM143" s="60">
        <f t="shared" si="113"/>
        <v>864.01759091181088</v>
      </c>
      <c r="AN143" s="60">
        <f ca="1">AVERAGE(OFFSET($AM$3,0,0,'Données projet'!$E$10+1,1))-AVERAGE(OFFSET($H$3,0,0,'Données projet'!$E$10+1,1))</f>
        <v>469.67944008675863</v>
      </c>
      <c r="AO143" s="60">
        <f t="shared" si="144"/>
        <v>266.11908070867173</v>
      </c>
      <c r="AP143" s="16">
        <f>IF(ISNA(VLOOKUP(A143,'Données projet'!$A$61:$I$81,3,0)),0,VLOOKUP(A143,'Données projet'!$A$61:$I$81,3,0))</f>
        <v>12</v>
      </c>
      <c r="AQ143" s="16">
        <f>IF(ISNA(VLOOKUP(A143,'Données projet'!$A$61:$I$81,4,0)),0,VLOOKUP(A143,'Données projet'!$A$61:$I$81,4,0))</f>
        <v>27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0" t="e">
        <f t="shared" si="116"/>
        <v>#NUM!</v>
      </c>
      <c r="BI143" s="60">
        <f ca="1">AVERAGE(OFFSET($BH$3,0,0,'Données projet'!$E$11+1,1))-AVERAGE(OFFSET($H$3,0,0,'Données projet'!$E$11+1,1))</f>
        <v>216.36762889365235</v>
      </c>
      <c r="BJ143" s="60">
        <f t="shared" si="146"/>
        <v>333.29599352215496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1.5285155860534232</v>
      </c>
      <c r="BQ143" s="23">
        <f>EXP(-LN(2)/25)*BQ142+(1-EXP(-LN(2)/25))/(LN(2)/25)*Calculateur!BL143*Calculateur!BN143*VLOOKUP('Données projet'!$B$11,Paramètres!$A$1:$I$89,3,0)*0.475*44/12</f>
        <v>0.46179211734268694</v>
      </c>
      <c r="BR143" s="23">
        <f>EXP(-LN(2)/2)*BR142+(1-EXP(-LN(2)/2))/(LN(2)/2)*BL143*BO143*VLOOKUP('Données projet'!$B$11,Paramètres!$A$1:$I$89,3,0)*0.475*44/12</f>
        <v>8.1169174074103006E-17</v>
      </c>
      <c r="BS143" s="24">
        <f t="shared" si="117"/>
        <v>1.9903077033961101</v>
      </c>
      <c r="BT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>
        <f>VLOOKUP(A143,'Données projet'!$A$113:$I$133,2,0)</f>
        <v>296</v>
      </c>
      <c r="BW143" s="13">
        <f>VLOOKUP(A143,'Données projet'!$A$113:$I$133,9,0)</f>
        <v>2.7</v>
      </c>
      <c r="BX143" s="13">
        <f t="array" ref="BX143">INDEX(BW:BW,MIN(IF(ISNUMBER(BW143:BW339),ROW(BW143:BW339),"")))</f>
        <v>2.7</v>
      </c>
      <c r="BY143" s="13">
        <f>IF('Données projet'!$A$114&gt;35,BY142+BX143-CG142,IF(A143&lt;'Données projet'!$A$114,$BV$205^A143,IF(A143='Données projet'!$A$114,'Données projet'!$B$114,BY142+BX143-CG142)))</f>
        <v>295.99999999999926</v>
      </c>
      <c r="BZ143" s="14">
        <f>BY143*VLOOKUP('Données projet'!$B$12,Paramètres!$A$1:$I$89,3,0)*VLOOKUP('Données projet'!$B$12,Paramètres!$A$1:$I$89,5,0)</f>
        <v>286.29119999999926</v>
      </c>
      <c r="CA143" s="14">
        <f t="shared" si="147"/>
        <v>68.294796094604223</v>
      </c>
      <c r="CB143" s="22">
        <f t="shared" si="118"/>
        <v>617.57060986476779</v>
      </c>
      <c r="CC143" s="60">
        <f t="shared" si="119"/>
        <v>902.99369776899221</v>
      </c>
      <c r="CD143" s="60">
        <f ca="1">AVERAGE(OFFSET($CC$3,0,0,'Données projet'!$E$12+1,1))-AVERAGE(OFFSET($H$3,0,0,'Données projet'!$E$12+1,1))</f>
        <v>496.33873798282525</v>
      </c>
      <c r="CE143" s="60">
        <f t="shared" si="148"/>
        <v>280.25465074992246</v>
      </c>
      <c r="CF143" s="16">
        <f>IF(ISNA(VLOOKUP(A143,'Données projet'!$A$113:$I$133,3,0)),0,VLOOKUP(A143,'Données projet'!$A$113:$I$133,3,0))</f>
        <v>12</v>
      </c>
      <c r="CG143" s="16">
        <f>IF(ISNA(VLOOKUP(A143,'Données projet'!$A$113:$I$133,4,0)),0,VLOOKUP(A143,'Données projet'!$A$113:$I$133,4,0))</f>
        <v>27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>
        <f>VLOOKUP(A143,'Données projet'!$A$139:$I$159,2,0)</f>
        <v>296</v>
      </c>
      <c r="CR143" s="13">
        <f>VLOOKUP(A143,'Données projet'!$A$139:$I$159,9,0)</f>
        <v>2.7</v>
      </c>
      <c r="CS143" s="13">
        <f t="array" ref="CS143">INDEX(CR:CR,MIN(IF(ISNUMBER(CR143:CR339),ROW(CR143:CR339),"")))</f>
        <v>2.7</v>
      </c>
      <c r="CT143" s="13">
        <f>IF('Données projet'!$A$140&gt;35,CT142+CS143-DB142,IF(A143&lt;'Données projet'!$A$140,$CQ$205^A143,IF(A143='Données projet'!$A$140,'Données projet'!$B$140,CT142+CS143-DB142)))</f>
        <v>295.99999999999926</v>
      </c>
      <c r="CU143" s="18">
        <f>CT143*VLOOKUP('Données projet'!$B$13,Paramètres!$A$1:$I$89,3,0)*VLOOKUP('Données projet'!$B$13,Paramètres!$A$1:$I$89,5,0)</f>
        <v>318.61439999999919</v>
      </c>
      <c r="CV143" s="14">
        <f t="shared" si="149"/>
        <v>75.064979865028292</v>
      </c>
      <c r="CW143" s="22">
        <f t="shared" si="121"/>
        <v>685.65825326492302</v>
      </c>
      <c r="CX143" s="60">
        <f t="shared" si="122"/>
        <v>971.08134116914744</v>
      </c>
      <c r="CY143" s="60">
        <f ca="1">AVERAGE(OFFSET($CX$3,0,0,'Données projet'!$E$13+1,1))-AVERAGE(OFFSET($H$3,0,0,'Données projet'!$E$13+1,1))</f>
        <v>542.90832990875208</v>
      </c>
      <c r="CZ143" s="60">
        <f t="shared" si="150"/>
        <v>304.94365539329362</v>
      </c>
      <c r="DA143" s="16">
        <f>IF(ISNA(VLOOKUP(A143,'Données projet'!$A$139:$I$159,3,0)),0,VLOOKUP(A143,'Données projet'!$A$139:$I$159,3,0))</f>
        <v>12</v>
      </c>
      <c r="DB143" s="16">
        <f>IF(ISNA(VLOOKUP(A143,'Données projet'!$A$139:$I$159,4,0)),0,VLOOKUP(A143,'Données projet'!$A$139:$I$159,4,0))</f>
        <v>27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0" t="e">
        <f t="shared" si="125"/>
        <v>#N/A</v>
      </c>
      <c r="DT143" s="60" t="e">
        <f ca="1">AVERAGE(OFFSET($DS$3,0,0,'Données projet'!$E$14+1,1))-AVERAGE(OFFSET($H$3,0,0,'Données projet'!$E$14+1,1))</f>
        <v>#N/A</v>
      </c>
      <c r="DU143" s="60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0" t="e">
        <f t="shared" si="128"/>
        <v>#N/A</v>
      </c>
      <c r="EO143" s="60" t="e">
        <f ca="1">AVERAGE(OFFSET($EN$3,0,0,'Données projet'!$E$15+1,1))-AVERAGE(OFFSET($H$3,0,0,'Données projet'!$E$15+1,1))</f>
        <v>#N/A</v>
      </c>
      <c r="EP143" s="60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0" t="e">
        <f t="shared" si="131"/>
        <v>#N/A</v>
      </c>
      <c r="FJ143" s="60" t="e">
        <f ca="1">AVERAGE(OFFSET($FI$3,0,0,'Données projet'!$E$16+1,1))-AVERAGE(OFFSET($H$3,0,0,'Données projet'!$E$16+1,1))</f>
        <v>#N/A</v>
      </c>
      <c r="FK143" s="60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0" t="e">
        <f t="shared" si="134"/>
        <v>#N/A</v>
      </c>
      <c r="GE143" s="60" t="e">
        <f ca="1">AVERAGE(OFFSET($GD$3,0,0,'Données projet'!$E$17+1,1))-AVERAGE(OFFSET($H$3,0,0,'Données projet'!$E$17+1,1))</f>
        <v>#N/A</v>
      </c>
      <c r="GF143" s="60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4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3.4106051316484809E-13</v>
      </c>
      <c r="O144" s="14">
        <f>N144*VLOOKUP('Données projet'!$B$9,Paramètres!$A$1:$I$89,3,0)*VLOOKUP('Données projet'!$B$9,Paramètres!$A$1:$I$89,5,0)</f>
        <v>1.5961632016114892E-13</v>
      </c>
      <c r="P144" s="14">
        <f t="shared" si="141"/>
        <v>2.2708641912150958E-12</v>
      </c>
      <c r="Q144" s="22">
        <f t="shared" si="108"/>
        <v>4.2330868906469593E-12</v>
      </c>
      <c r="R144" s="60">
        <f t="shared" si="109"/>
        <v>285.56031297776423</v>
      </c>
      <c r="S144" s="60">
        <f ca="1">AVERAGE(OFFSET($R$3,0,0,'Données projet'!$E$9+1,1))-AVERAGE(OFFSET($H$3,0,0,'Données projet'!$E$9+1,1))</f>
        <v>277.7918215389401</v>
      </c>
      <c r="T144" s="60">
        <f t="shared" si="142"/>
        <v>164.65640238394164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2.4</v>
      </c>
      <c r="AI144" s="14">
        <f>IF('Données projet'!$A$62&gt;35,AI143+AH144-AQ143,IF(A144&lt;'Données projet'!$A$62,$AF$205^A144,IF(A144='Données projet'!$A$62,'Données projet'!$B$62,AI143+AH144-AQ143)))</f>
        <v>271.39999999999924</v>
      </c>
      <c r="AJ144" s="14">
        <f>AI144*VLOOKUP('Données projet'!$B$10,Paramètres!$A$1:$I$89,3,0)*VLOOKUP('Données projet'!$B$10,Paramètres!$A$1:$I$89,5,0)</f>
        <v>245.5627199999993</v>
      </c>
      <c r="AK144" s="14">
        <f t="shared" si="143"/>
        <v>59.634776048276741</v>
      </c>
      <c r="AL144" s="22">
        <f t="shared" si="112"/>
        <v>531.55230561741405</v>
      </c>
      <c r="AM144" s="60">
        <f t="shared" si="113"/>
        <v>817.11261859517413</v>
      </c>
      <c r="AN144" s="60">
        <f ca="1">AVERAGE(OFFSET($AM$3,0,0,'Données projet'!$E$10+1,1))-AVERAGE(OFFSET($H$3,0,0,'Données projet'!$E$10+1,1))</f>
        <v>469.67944008675863</v>
      </c>
      <c r="AO144" s="60">
        <f t="shared" si="144"/>
        <v>266.11908070867173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0" t="e">
        <f t="shared" si="116"/>
        <v>#NUM!</v>
      </c>
      <c r="BI144" s="60">
        <f ca="1">AVERAGE(OFFSET($BH$3,0,0,'Données projet'!$E$11+1,1))-AVERAGE(OFFSET($H$3,0,0,'Données projet'!$E$11+1,1))</f>
        <v>216.36762889365235</v>
      </c>
      <c r="BJ144" s="60">
        <f t="shared" si="146"/>
        <v>333.29599352215496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1.4985423277133658</v>
      </c>
      <c r="BQ144" s="23">
        <f>EXP(-LN(2)/25)*BQ143+(1-EXP(-LN(2)/25))/(LN(2)/25)*Calculateur!BL144*Calculateur!BN144*VLOOKUP('Données projet'!$B$11,Paramètres!$A$1:$I$89,3,0)*0.475*44/12</f>
        <v>0.44916438760935917</v>
      </c>
      <c r="BR144" s="23">
        <f>EXP(-LN(2)/2)*BR143+(1-EXP(-LN(2)/2))/(LN(2)/2)*BL144*BO144*VLOOKUP('Données projet'!$B$11,Paramètres!$A$1:$I$89,3,0)*0.475*44/12</f>
        <v>5.739527341110954E-17</v>
      </c>
      <c r="BS144" s="24">
        <f t="shared" si="117"/>
        <v>1.947706715322725</v>
      </c>
      <c r="BT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2.4</v>
      </c>
      <c r="BY144" s="13">
        <f>IF('Données projet'!$A$114&gt;35,BY143+BX144-CG143,IF(A144&lt;'Données projet'!$A$114,$BV$205^A144,IF(A144='Données projet'!$A$114,'Données projet'!$B$114,BY143+BX144-CG143)))</f>
        <v>271.39999999999924</v>
      </c>
      <c r="BZ144" s="14">
        <f>BY144*VLOOKUP('Données projet'!$B$12,Paramètres!$A$1:$I$89,3,0)*VLOOKUP('Données projet'!$B$12,Paramètres!$A$1:$I$89,5,0)</f>
        <v>262.49807999999928</v>
      </c>
      <c r="CA144" s="14">
        <f t="shared" si="147"/>
        <v>63.254570961137979</v>
      </c>
      <c r="CB144" s="22">
        <f t="shared" si="118"/>
        <v>567.35253375731406</v>
      </c>
      <c r="CC144" s="60">
        <f t="shared" si="119"/>
        <v>852.91284673507403</v>
      </c>
      <c r="CD144" s="60">
        <f ca="1">AVERAGE(OFFSET($CC$3,0,0,'Données projet'!$E$12+1,1))-AVERAGE(OFFSET($H$3,0,0,'Données projet'!$E$12+1,1))</f>
        <v>496.33873798282525</v>
      </c>
      <c r="CE144" s="60">
        <f t="shared" si="148"/>
        <v>280.25465074992246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2.4</v>
      </c>
      <c r="CT144" s="13">
        <f>IF('Données projet'!$A$140&gt;35,CT143+CS144-DB143,IF(A144&lt;'Données projet'!$A$140,$CQ$205^A144,IF(A144='Données projet'!$A$140,'Données projet'!$B$140,CT143+CS144-DB143)))</f>
        <v>271.39999999999924</v>
      </c>
      <c r="CU144" s="18">
        <f>CT144*VLOOKUP('Données projet'!$B$13,Paramètres!$A$1:$I$89,3,0)*VLOOKUP('Données projet'!$B$13,Paramètres!$A$1:$I$89,5,0)</f>
        <v>292.13495999999913</v>
      </c>
      <c r="CV144" s="14">
        <f t="shared" si="149"/>
        <v>69.525108311202104</v>
      </c>
      <c r="CW144" s="22">
        <f t="shared" si="121"/>
        <v>629.89128564200882</v>
      </c>
      <c r="CX144" s="60">
        <f t="shared" si="122"/>
        <v>915.4515986197689</v>
      </c>
      <c r="CY144" s="60">
        <f ca="1">AVERAGE(OFFSET($CX$3,0,0,'Données projet'!$E$13+1,1))-AVERAGE(OFFSET($H$3,0,0,'Données projet'!$E$13+1,1))</f>
        <v>542.90832990875208</v>
      </c>
      <c r="CZ144" s="60">
        <f t="shared" si="150"/>
        <v>304.94365539329362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0" t="e">
        <f t="shared" si="125"/>
        <v>#N/A</v>
      </c>
      <c r="DT144" s="60" t="e">
        <f ca="1">AVERAGE(OFFSET($DS$3,0,0,'Données projet'!$E$14+1,1))-AVERAGE(OFFSET($H$3,0,0,'Données projet'!$E$14+1,1))</f>
        <v>#N/A</v>
      </c>
      <c r="DU144" s="60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0" t="e">
        <f t="shared" si="128"/>
        <v>#N/A</v>
      </c>
      <c r="EO144" s="60" t="e">
        <f ca="1">AVERAGE(OFFSET($EN$3,0,0,'Données projet'!$E$15+1,1))-AVERAGE(OFFSET($H$3,0,0,'Données projet'!$E$15+1,1))</f>
        <v>#N/A</v>
      </c>
      <c r="EP144" s="60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0" t="e">
        <f t="shared" si="131"/>
        <v>#N/A</v>
      </c>
      <c r="FJ144" s="60" t="e">
        <f ca="1">AVERAGE(OFFSET($FI$3,0,0,'Données projet'!$E$16+1,1))-AVERAGE(OFFSET($H$3,0,0,'Données projet'!$E$16+1,1))</f>
        <v>#N/A</v>
      </c>
      <c r="FK144" s="60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0" t="e">
        <f t="shared" si="134"/>
        <v>#N/A</v>
      </c>
      <c r="GE144" s="60" t="e">
        <f ca="1">AVERAGE(OFFSET($GD$3,0,0,'Données projet'!$E$17+1,1))-AVERAGE(OFFSET($H$3,0,0,'Données projet'!$E$17+1,1))</f>
        <v>#N/A</v>
      </c>
      <c r="GF144" s="60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4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3.4106051316484809E-13</v>
      </c>
      <c r="O145" s="14">
        <f>N145*VLOOKUP('Données projet'!$B$9,Paramètres!$A$1:$I$89,3,0)*VLOOKUP('Données projet'!$B$9,Paramètres!$A$1:$I$89,5,0)</f>
        <v>1.5961632016114892E-13</v>
      </c>
      <c r="P145" s="14">
        <f t="shared" si="141"/>
        <v>2.2708641912150958E-12</v>
      </c>
      <c r="Q145" s="22">
        <f t="shared" si="108"/>
        <v>4.2330868906469593E-12</v>
      </c>
      <c r="R145" s="60">
        <f t="shared" si="109"/>
        <v>285.69515750306329</v>
      </c>
      <c r="S145" s="60">
        <f ca="1">AVERAGE(OFFSET($R$3,0,0,'Données projet'!$E$9+1,1))-AVERAGE(OFFSET($H$3,0,0,'Données projet'!$E$9+1,1))</f>
        <v>277.7918215389401</v>
      </c>
      <c r="T145" s="60">
        <f t="shared" si="142"/>
        <v>164.65640238394164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2.4</v>
      </c>
      <c r="AI145" s="14">
        <f>IF('Données projet'!$A$62&gt;35,AI144+AH145-AQ144,IF(A145&lt;'Données projet'!$A$62,$AF$205^A145,IF(A145='Données projet'!$A$62,'Données projet'!$B$62,AI144+AH145-AQ144)))</f>
        <v>273.79999999999922</v>
      </c>
      <c r="AJ145" s="14">
        <f>AI145*VLOOKUP('Données projet'!$B$10,Paramètres!$A$1:$I$89,3,0)*VLOOKUP('Données projet'!$B$10,Paramètres!$A$1:$I$89,5,0)</f>
        <v>247.73423999999929</v>
      </c>
      <c r="AK145" s="14">
        <f t="shared" si="143"/>
        <v>60.100505665694953</v>
      </c>
      <c r="AL145" s="22">
        <f t="shared" si="112"/>
        <v>536.14551536775082</v>
      </c>
      <c r="AM145" s="60">
        <f t="shared" si="113"/>
        <v>821.84067287080984</v>
      </c>
      <c r="AN145" s="60">
        <f ca="1">AVERAGE(OFFSET($AM$3,0,0,'Données projet'!$E$10+1,1))-AVERAGE(OFFSET($H$3,0,0,'Données projet'!$E$10+1,1))</f>
        <v>469.67944008675863</v>
      </c>
      <c r="AO145" s="60">
        <f t="shared" si="144"/>
        <v>266.11908070867173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0" t="e">
        <f t="shared" si="116"/>
        <v>#NUM!</v>
      </c>
      <c r="BI145" s="60">
        <f ca="1">AVERAGE(OFFSET($BH$3,0,0,'Données projet'!$E$11+1,1))-AVERAGE(OFFSET($H$3,0,0,'Données projet'!$E$11+1,1))</f>
        <v>216.36762889365235</v>
      </c>
      <c r="BJ145" s="60">
        <f t="shared" si="146"/>
        <v>333.29599352215496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1.4691568266874746</v>
      </c>
      <c r="BQ145" s="23">
        <f>EXP(-LN(2)/25)*BQ144+(1-EXP(-LN(2)/25))/(LN(2)/25)*Calculateur!BL145*Calculateur!BN145*VLOOKUP('Données projet'!$B$11,Paramètres!$A$1:$I$89,3,0)*0.475*44/12</f>
        <v>0.43688196380965266</v>
      </c>
      <c r="BR145" s="23">
        <f>EXP(-LN(2)/2)*BR144+(1-EXP(-LN(2)/2))/(LN(2)/2)*BL145*BO145*VLOOKUP('Données projet'!$B$11,Paramètres!$A$1:$I$89,3,0)*0.475*44/12</f>
        <v>4.0584587037051503E-17</v>
      </c>
      <c r="BS145" s="24">
        <f t="shared" si="117"/>
        <v>1.9060387904971272</v>
      </c>
      <c r="BT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2.4</v>
      </c>
      <c r="BY145" s="13">
        <f>IF('Données projet'!$A$114&gt;35,BY144+BX145-CG144,IF(A145&lt;'Données projet'!$A$114,$BV$205^A145,IF(A145='Données projet'!$A$114,'Données projet'!$B$114,BY144+BX145-CG144)))</f>
        <v>273.79999999999922</v>
      </c>
      <c r="BZ145" s="14">
        <f>BY145*VLOOKUP('Données projet'!$B$12,Paramètres!$A$1:$I$89,3,0)*VLOOKUP('Données projet'!$B$12,Paramètres!$A$1:$I$89,5,0)</f>
        <v>264.81935999999928</v>
      </c>
      <c r="CA145" s="14">
        <f t="shared" si="147"/>
        <v>63.748570085236892</v>
      </c>
      <c r="CB145" s="22">
        <f t="shared" si="118"/>
        <v>572.25581156511964</v>
      </c>
      <c r="CC145" s="60">
        <f t="shared" si="119"/>
        <v>857.95096906817867</v>
      </c>
      <c r="CD145" s="60">
        <f ca="1">AVERAGE(OFFSET($CC$3,0,0,'Données projet'!$E$12+1,1))-AVERAGE(OFFSET($H$3,0,0,'Données projet'!$E$12+1,1))</f>
        <v>496.33873798282525</v>
      </c>
      <c r="CE145" s="60">
        <f t="shared" si="148"/>
        <v>280.25465074992246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2.4</v>
      </c>
      <c r="CT145" s="13">
        <f>IF('Données projet'!$A$140&gt;35,CT144+CS145-DB144,IF(A145&lt;'Données projet'!$A$140,$CQ$205^A145,IF(A145='Données projet'!$A$140,'Données projet'!$B$140,CT144+CS145-DB144)))</f>
        <v>273.79999999999922</v>
      </c>
      <c r="CU145" s="18">
        <f>CT145*VLOOKUP('Données projet'!$B$13,Paramètres!$A$1:$I$89,3,0)*VLOOKUP('Données projet'!$B$13,Paramètres!$A$1:$I$89,5,0)</f>
        <v>294.71831999999915</v>
      </c>
      <c r="CV145" s="14">
        <f t="shared" si="149"/>
        <v>70.068078441055917</v>
      </c>
      <c r="CW145" s="22">
        <f t="shared" si="121"/>
        <v>635.33631061817096</v>
      </c>
      <c r="CX145" s="60">
        <f t="shared" si="122"/>
        <v>921.03146812123009</v>
      </c>
      <c r="CY145" s="60">
        <f ca="1">AVERAGE(OFFSET($CX$3,0,0,'Données projet'!$E$13+1,1))-AVERAGE(OFFSET($H$3,0,0,'Données projet'!$E$13+1,1))</f>
        <v>542.90832990875208</v>
      </c>
      <c r="CZ145" s="60">
        <f t="shared" si="150"/>
        <v>304.94365539329362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0" t="e">
        <f t="shared" si="125"/>
        <v>#N/A</v>
      </c>
      <c r="DT145" s="60" t="e">
        <f ca="1">AVERAGE(OFFSET($DS$3,0,0,'Données projet'!$E$14+1,1))-AVERAGE(OFFSET($H$3,0,0,'Données projet'!$E$14+1,1))</f>
        <v>#N/A</v>
      </c>
      <c r="DU145" s="60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0" t="e">
        <f t="shared" si="128"/>
        <v>#N/A</v>
      </c>
      <c r="EO145" s="60" t="e">
        <f ca="1">AVERAGE(OFFSET($EN$3,0,0,'Données projet'!$E$15+1,1))-AVERAGE(OFFSET($H$3,0,0,'Données projet'!$E$15+1,1))</f>
        <v>#N/A</v>
      </c>
      <c r="EP145" s="60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0" t="e">
        <f t="shared" si="131"/>
        <v>#N/A</v>
      </c>
      <c r="FJ145" s="60" t="e">
        <f ca="1">AVERAGE(OFFSET($FI$3,0,0,'Données projet'!$E$16+1,1))-AVERAGE(OFFSET($H$3,0,0,'Données projet'!$E$16+1,1))</f>
        <v>#N/A</v>
      </c>
      <c r="FK145" s="60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0" t="e">
        <f t="shared" si="134"/>
        <v>#N/A</v>
      </c>
      <c r="GE145" s="60" t="e">
        <f ca="1">AVERAGE(OFFSET($GD$3,0,0,'Données projet'!$E$17+1,1))-AVERAGE(OFFSET($H$3,0,0,'Données projet'!$E$17+1,1))</f>
        <v>#N/A</v>
      </c>
      <c r="GF145" s="60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4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3.4106051316484809E-13</v>
      </c>
      <c r="O146" s="14">
        <f>N146*VLOOKUP('Données projet'!$B$9,Paramètres!$A$1:$I$89,3,0)*VLOOKUP('Données projet'!$B$9,Paramètres!$A$1:$I$89,5,0)</f>
        <v>1.5961632016114892E-13</v>
      </c>
      <c r="P146" s="14">
        <f t="shared" si="141"/>
        <v>2.2708641912150958E-12</v>
      </c>
      <c r="Q146" s="22">
        <f t="shared" si="108"/>
        <v>4.2330868906469593E-12</v>
      </c>
      <c r="R146" s="60">
        <f t="shared" si="109"/>
        <v>285.82766277731565</v>
      </c>
      <c r="S146" s="60">
        <f ca="1">AVERAGE(OFFSET($R$3,0,0,'Données projet'!$E$9+1,1))-AVERAGE(OFFSET($H$3,0,0,'Données projet'!$E$9+1,1))</f>
        <v>277.7918215389401</v>
      </c>
      <c r="T146" s="60">
        <f t="shared" si="142"/>
        <v>164.65640238394164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2.4</v>
      </c>
      <c r="AI146" s="14">
        <f>IF('Données projet'!$A$62&gt;35,AI145+AH146-AQ145,IF(A146&lt;'Données projet'!$A$62,$AF$205^A146,IF(A146='Données projet'!$A$62,'Données projet'!$B$62,AI145+AH146-AQ145)))</f>
        <v>276.19999999999919</v>
      </c>
      <c r="AJ146" s="14">
        <f>AI146*VLOOKUP('Données projet'!$B$10,Paramètres!$A$1:$I$89,3,0)*VLOOKUP('Données projet'!$B$10,Paramètres!$A$1:$I$89,5,0)</f>
        <v>249.90575999999925</v>
      </c>
      <c r="AK146" s="14">
        <f t="shared" si="143"/>
        <v>60.565760331923727</v>
      </c>
      <c r="AL146" s="22">
        <f t="shared" si="112"/>
        <v>540.73789791143247</v>
      </c>
      <c r="AM146" s="60">
        <f t="shared" si="113"/>
        <v>826.56556068874397</v>
      </c>
      <c r="AN146" s="60">
        <f ca="1">AVERAGE(OFFSET($AM$3,0,0,'Données projet'!$E$10+1,1))-AVERAGE(OFFSET($H$3,0,0,'Données projet'!$E$10+1,1))</f>
        <v>469.67944008675863</v>
      </c>
      <c r="AO146" s="60">
        <f t="shared" si="144"/>
        <v>266.11908070867173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0" t="e">
        <f t="shared" si="116"/>
        <v>#NUM!</v>
      </c>
      <c r="BI146" s="60">
        <f ca="1">AVERAGE(OFFSET($BH$3,0,0,'Données projet'!$E$11+1,1))-AVERAGE(OFFSET($H$3,0,0,'Données projet'!$E$11+1,1))</f>
        <v>216.36762889365235</v>
      </c>
      <c r="BJ146" s="60">
        <f t="shared" si="146"/>
        <v>333.29599352215496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1.4403475574133153</v>
      </c>
      <c r="BQ146" s="23">
        <f>EXP(-LN(2)/25)*BQ145+(1-EXP(-LN(2)/25))/(LN(2)/25)*Calculateur!BL146*Calculateur!BN146*VLOOKUP('Données projet'!$B$11,Paramètres!$A$1:$I$89,3,0)*0.475*44/12</f>
        <v>0.42493540353465376</v>
      </c>
      <c r="BR146" s="23">
        <f>EXP(-LN(2)/2)*BR145+(1-EXP(-LN(2)/2))/(LN(2)/2)*BL146*BO146*VLOOKUP('Données projet'!$B$11,Paramètres!$A$1:$I$89,3,0)*0.475*44/12</f>
        <v>2.869763670555477E-17</v>
      </c>
      <c r="BS146" s="24">
        <f t="shared" si="117"/>
        <v>1.8652829609479691</v>
      </c>
      <c r="BT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2.4</v>
      </c>
      <c r="BY146" s="13">
        <f>IF('Données projet'!$A$114&gt;35,BY145+BX146-CG145,IF(A146&lt;'Données projet'!$A$114,$BV$205^A146,IF(A146='Données projet'!$A$114,'Données projet'!$B$114,BY145+BX146-CG145)))</f>
        <v>276.19999999999919</v>
      </c>
      <c r="BZ146" s="14">
        <f>BY146*VLOOKUP('Données projet'!$B$12,Paramètres!$A$1:$I$89,3,0)*VLOOKUP('Données projet'!$B$12,Paramètres!$A$1:$I$89,5,0)</f>
        <v>267.14063999999922</v>
      </c>
      <c r="CA146" s="14">
        <f t="shared" si="147"/>
        <v>64.242065428895785</v>
      </c>
      <c r="CB146" s="22">
        <f t="shared" si="118"/>
        <v>577.15821195532533</v>
      </c>
      <c r="CC146" s="60">
        <f t="shared" si="119"/>
        <v>862.98587473263683</v>
      </c>
      <c r="CD146" s="60">
        <f ca="1">AVERAGE(OFFSET($CC$3,0,0,'Données projet'!$E$12+1,1))-AVERAGE(OFFSET($H$3,0,0,'Données projet'!$E$12+1,1))</f>
        <v>496.33873798282525</v>
      </c>
      <c r="CE146" s="60">
        <f t="shared" si="148"/>
        <v>280.25465074992246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2.4</v>
      </c>
      <c r="CT146" s="13">
        <f>IF('Données projet'!$A$140&gt;35,CT145+CS146-DB145,IF(A146&lt;'Données projet'!$A$140,$CQ$205^A146,IF(A146='Données projet'!$A$140,'Données projet'!$B$140,CT145+CS146-DB145)))</f>
        <v>276.19999999999919</v>
      </c>
      <c r="CU146" s="18">
        <f>CT146*VLOOKUP('Données projet'!$B$13,Paramètres!$A$1:$I$89,3,0)*VLOOKUP('Données projet'!$B$13,Paramètres!$A$1:$I$89,5,0)</f>
        <v>297.30167999999912</v>
      </c>
      <c r="CV146" s="14">
        <f t="shared" si="149"/>
        <v>70.610494849824818</v>
      </c>
      <c r="CW146" s="22">
        <f t="shared" si="121"/>
        <v>640.78037119677663</v>
      </c>
      <c r="CX146" s="60">
        <f t="shared" si="122"/>
        <v>926.60803397408813</v>
      </c>
      <c r="CY146" s="60">
        <f ca="1">AVERAGE(OFFSET($CX$3,0,0,'Données projet'!$E$13+1,1))-AVERAGE(OFFSET($H$3,0,0,'Données projet'!$E$13+1,1))</f>
        <v>542.90832990875208</v>
      </c>
      <c r="CZ146" s="60">
        <f t="shared" si="150"/>
        <v>304.94365539329362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0" t="e">
        <f t="shared" si="125"/>
        <v>#N/A</v>
      </c>
      <c r="DT146" s="60" t="e">
        <f ca="1">AVERAGE(OFFSET($DS$3,0,0,'Données projet'!$E$14+1,1))-AVERAGE(OFFSET($H$3,0,0,'Données projet'!$E$14+1,1))</f>
        <v>#N/A</v>
      </c>
      <c r="DU146" s="60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0" t="e">
        <f t="shared" si="128"/>
        <v>#N/A</v>
      </c>
      <c r="EO146" s="60" t="e">
        <f ca="1">AVERAGE(OFFSET($EN$3,0,0,'Données projet'!$E$15+1,1))-AVERAGE(OFFSET($H$3,0,0,'Données projet'!$E$15+1,1))</f>
        <v>#N/A</v>
      </c>
      <c r="EP146" s="60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0" t="e">
        <f t="shared" si="131"/>
        <v>#N/A</v>
      </c>
      <c r="FJ146" s="60" t="e">
        <f ca="1">AVERAGE(OFFSET($FI$3,0,0,'Données projet'!$E$16+1,1))-AVERAGE(OFFSET($H$3,0,0,'Données projet'!$E$16+1,1))</f>
        <v>#N/A</v>
      </c>
      <c r="FK146" s="60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0" t="e">
        <f t="shared" si="134"/>
        <v>#N/A</v>
      </c>
      <c r="GE146" s="60" t="e">
        <f ca="1">AVERAGE(OFFSET($GD$3,0,0,'Données projet'!$E$17+1,1))-AVERAGE(OFFSET($H$3,0,0,'Données projet'!$E$17+1,1))</f>
        <v>#N/A</v>
      </c>
      <c r="GF146" s="60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4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3.4106051316484809E-13</v>
      </c>
      <c r="O147" s="14">
        <f>N147*VLOOKUP('Données projet'!$B$9,Paramètres!$A$1:$I$89,3,0)*VLOOKUP('Données projet'!$B$9,Paramètres!$A$1:$I$89,5,0)</f>
        <v>1.5961632016114892E-13</v>
      </c>
      <c r="P147" s="14">
        <f t="shared" si="141"/>
        <v>2.2708641912150958E-12</v>
      </c>
      <c r="Q147" s="22">
        <f t="shared" si="108"/>
        <v>4.2330868906469593E-12</v>
      </c>
      <c r="R147" s="60">
        <f t="shared" si="109"/>
        <v>285.95786938129709</v>
      </c>
      <c r="S147" s="60">
        <f ca="1">AVERAGE(OFFSET($R$3,0,0,'Données projet'!$E$9+1,1))-AVERAGE(OFFSET($H$3,0,0,'Données projet'!$E$9+1,1))</f>
        <v>277.7918215389401</v>
      </c>
      <c r="T147" s="60">
        <f t="shared" si="142"/>
        <v>164.65640238394164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2.4</v>
      </c>
      <c r="AI147" s="14">
        <f>IF('Données projet'!$A$62&gt;35,AI146+AH147-AQ146,IF(A147&lt;'Données projet'!$A$62,$AF$205^A147,IF(A147='Données projet'!$A$62,'Données projet'!$B$62,AI146+AH147-AQ146)))</f>
        <v>278.59999999999917</v>
      </c>
      <c r="AJ147" s="14">
        <f>AI147*VLOOKUP('Données projet'!$B$10,Paramètres!$A$1:$I$89,3,0)*VLOOKUP('Données projet'!$B$10,Paramètres!$A$1:$I$89,5,0)</f>
        <v>252.07727999999923</v>
      </c>
      <c r="AK147" s="14">
        <f t="shared" si="143"/>
        <v>61.030544652154823</v>
      </c>
      <c r="AL147" s="22">
        <f t="shared" si="112"/>
        <v>545.32946126916829</v>
      </c>
      <c r="AM147" s="60">
        <f t="shared" si="113"/>
        <v>831.28733065046117</v>
      </c>
      <c r="AN147" s="60">
        <f ca="1">AVERAGE(OFFSET($AM$3,0,0,'Données projet'!$E$10+1,1))-AVERAGE(OFFSET($H$3,0,0,'Données projet'!$E$10+1,1))</f>
        <v>469.67944008675863</v>
      </c>
      <c r="AO147" s="60">
        <f t="shared" si="144"/>
        <v>266.11908070867173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0" t="e">
        <f t="shared" si="116"/>
        <v>#NUM!</v>
      </c>
      <c r="BI147" s="60">
        <f ca="1">AVERAGE(OFFSET($BH$3,0,0,'Données projet'!$E$11+1,1))-AVERAGE(OFFSET($H$3,0,0,'Données projet'!$E$11+1,1))</f>
        <v>216.36762889365235</v>
      </c>
      <c r="BJ147" s="60">
        <f t="shared" si="146"/>
        <v>333.29599352215496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1.4121032203377031</v>
      </c>
      <c r="BQ147" s="23">
        <f>EXP(-LN(2)/25)*BQ146+(1-EXP(-LN(2)/25))/(LN(2)/25)*Calculateur!BL147*Calculateur!BN147*VLOOKUP('Données projet'!$B$11,Paramètres!$A$1:$I$89,3,0)*0.475*44/12</f>
        <v>0.41331552257861698</v>
      </c>
      <c r="BR147" s="23">
        <f>EXP(-LN(2)/2)*BR146+(1-EXP(-LN(2)/2))/(LN(2)/2)*BL147*BO147*VLOOKUP('Données projet'!$B$11,Paramètres!$A$1:$I$89,3,0)*0.475*44/12</f>
        <v>2.0292293518525752E-17</v>
      </c>
      <c r="BS147" s="24">
        <f t="shared" si="117"/>
        <v>1.82541874291632</v>
      </c>
      <c r="BT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2.4</v>
      </c>
      <c r="BY147" s="13">
        <f>IF('Données projet'!$A$114&gt;35,BY146+BX147-CG146,IF(A147&lt;'Données projet'!$A$114,$BV$205^A147,IF(A147='Données projet'!$A$114,'Données projet'!$B$114,BY146+BX147-CG146)))</f>
        <v>278.59999999999917</v>
      </c>
      <c r="BZ147" s="14">
        <f>BY147*VLOOKUP('Données projet'!$B$12,Paramètres!$A$1:$I$89,3,0)*VLOOKUP('Données projet'!$B$12,Paramètres!$A$1:$I$89,5,0)</f>
        <v>269.46191999999922</v>
      </c>
      <c r="CA147" s="14">
        <f t="shared" si="147"/>
        <v>64.735061876838927</v>
      </c>
      <c r="CB147" s="22">
        <f t="shared" si="118"/>
        <v>582.05974343549315</v>
      </c>
      <c r="CC147" s="60">
        <f t="shared" si="119"/>
        <v>868.01761281678603</v>
      </c>
      <c r="CD147" s="60">
        <f ca="1">AVERAGE(OFFSET($CC$3,0,0,'Données projet'!$E$12+1,1))-AVERAGE(OFFSET($H$3,0,0,'Données projet'!$E$12+1,1))</f>
        <v>496.33873798282525</v>
      </c>
      <c r="CE147" s="60">
        <f t="shared" si="148"/>
        <v>280.25465074992246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2.4</v>
      </c>
      <c r="CT147" s="13">
        <f>IF('Données projet'!$A$140&gt;35,CT146+CS147-DB146,IF(A147&lt;'Données projet'!$A$140,$CQ$205^A147,IF(A147='Données projet'!$A$140,'Données projet'!$B$140,CT146+CS147-DB146)))</f>
        <v>278.59999999999917</v>
      </c>
      <c r="CU147" s="18">
        <f>CT147*VLOOKUP('Données projet'!$B$13,Paramètres!$A$1:$I$89,3,0)*VLOOKUP('Données projet'!$B$13,Paramètres!$A$1:$I$89,5,0)</f>
        <v>299.88503999999909</v>
      </c>
      <c r="CV147" s="14">
        <f t="shared" si="149"/>
        <v>71.152362906464447</v>
      </c>
      <c r="CW147" s="22">
        <f t="shared" si="121"/>
        <v>646.2234767287573</v>
      </c>
      <c r="CX147" s="60">
        <f t="shared" si="122"/>
        <v>932.18134611005019</v>
      </c>
      <c r="CY147" s="60">
        <f ca="1">AVERAGE(OFFSET($CX$3,0,0,'Données projet'!$E$13+1,1))-AVERAGE(OFFSET($H$3,0,0,'Données projet'!$E$13+1,1))</f>
        <v>542.90832990875208</v>
      </c>
      <c r="CZ147" s="60">
        <f t="shared" si="150"/>
        <v>304.94365539329362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0" t="e">
        <f t="shared" si="125"/>
        <v>#N/A</v>
      </c>
      <c r="DT147" s="60" t="e">
        <f ca="1">AVERAGE(OFFSET($DS$3,0,0,'Données projet'!$E$14+1,1))-AVERAGE(OFFSET($H$3,0,0,'Données projet'!$E$14+1,1))</f>
        <v>#N/A</v>
      </c>
      <c r="DU147" s="60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0" t="e">
        <f t="shared" si="128"/>
        <v>#N/A</v>
      </c>
      <c r="EO147" s="60" t="e">
        <f ca="1">AVERAGE(OFFSET($EN$3,0,0,'Données projet'!$E$15+1,1))-AVERAGE(OFFSET($H$3,0,0,'Données projet'!$E$15+1,1))</f>
        <v>#N/A</v>
      </c>
      <c r="EP147" s="60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0" t="e">
        <f t="shared" si="131"/>
        <v>#N/A</v>
      </c>
      <c r="FJ147" s="60" t="e">
        <f ca="1">AVERAGE(OFFSET($FI$3,0,0,'Données projet'!$E$16+1,1))-AVERAGE(OFFSET($H$3,0,0,'Données projet'!$E$16+1,1))</f>
        <v>#N/A</v>
      </c>
      <c r="FK147" s="60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0" t="e">
        <f t="shared" si="134"/>
        <v>#N/A</v>
      </c>
      <c r="GE147" s="60" t="e">
        <f ca="1">AVERAGE(OFFSET($GD$3,0,0,'Données projet'!$E$17+1,1))-AVERAGE(OFFSET($H$3,0,0,'Données projet'!$E$17+1,1))</f>
        <v>#N/A</v>
      </c>
      <c r="GF147" s="60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4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3.4106051316484809E-13</v>
      </c>
      <c r="O148" s="14">
        <f>N148*VLOOKUP('Données projet'!$B$9,Paramètres!$A$1:$I$89,3,0)*VLOOKUP('Données projet'!$B$9,Paramètres!$A$1:$I$89,5,0)</f>
        <v>1.5961632016114892E-13</v>
      </c>
      <c r="P148" s="14">
        <f t="shared" si="141"/>
        <v>2.2708641912150958E-12</v>
      </c>
      <c r="Q148" s="22">
        <f t="shared" si="108"/>
        <v>4.2330868906469593E-12</v>
      </c>
      <c r="R148" s="60">
        <f t="shared" si="109"/>
        <v>286.08581719179779</v>
      </c>
      <c r="S148" s="60">
        <f ca="1">AVERAGE(OFFSET($R$3,0,0,'Données projet'!$E$9+1,1))-AVERAGE(OFFSET($H$3,0,0,'Données projet'!$E$9+1,1))</f>
        <v>277.7918215389401</v>
      </c>
      <c r="T148" s="60">
        <f t="shared" si="142"/>
        <v>164.65640238394164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2.4</v>
      </c>
      <c r="AI148" s="14">
        <f>IF('Données projet'!$A$62&gt;35,AI147+AH148-AQ147,IF(A148&lt;'Données projet'!$A$62,$AF$205^A148,IF(A148='Données projet'!$A$62,'Données projet'!$B$62,AI147+AH148-AQ147)))</f>
        <v>280.99999999999915</v>
      </c>
      <c r="AJ148" s="14">
        <f>AI148*VLOOKUP('Données projet'!$B$10,Paramètres!$A$1:$I$89,3,0)*VLOOKUP('Données projet'!$B$10,Paramètres!$A$1:$I$89,5,0)</f>
        <v>254.24879999999925</v>
      </c>
      <c r="AK148" s="14">
        <f t="shared" si="143"/>
        <v>61.494863147658698</v>
      </c>
      <c r="AL148" s="22">
        <f t="shared" si="112"/>
        <v>549.92021331550427</v>
      </c>
      <c r="AM148" s="60">
        <f t="shared" si="113"/>
        <v>836.00603050729785</v>
      </c>
      <c r="AN148" s="60">
        <f ca="1">AVERAGE(OFFSET($AM$3,0,0,'Données projet'!$E$10+1,1))-AVERAGE(OFFSET($H$3,0,0,'Données projet'!$E$10+1,1))</f>
        <v>469.67944008675863</v>
      </c>
      <c r="AO148" s="60">
        <f t="shared" si="144"/>
        <v>266.11908070867173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0" t="e">
        <f t="shared" si="116"/>
        <v>#NUM!</v>
      </c>
      <c r="BI148" s="60">
        <f ca="1">AVERAGE(OFFSET($BH$3,0,0,'Données projet'!$E$11+1,1))-AVERAGE(OFFSET($H$3,0,0,'Données projet'!$E$11+1,1))</f>
        <v>216.36762889365235</v>
      </c>
      <c r="BJ148" s="60">
        <f t="shared" si="146"/>
        <v>333.29599352215496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1.384412737484799</v>
      </c>
      <c r="BQ148" s="23">
        <f>EXP(-LN(2)/25)*BQ147+(1-EXP(-LN(2)/25))/(LN(2)/25)*Calculateur!BL148*Calculateur!BN148*VLOOKUP('Données projet'!$B$11,Paramètres!$A$1:$I$89,3,0)*0.475*44/12</f>
        <v>0.40201338787838603</v>
      </c>
      <c r="BR148" s="23">
        <f>EXP(-LN(2)/2)*BR147+(1-EXP(-LN(2)/2))/(LN(2)/2)*BL148*BO148*VLOOKUP('Données projet'!$B$11,Paramètres!$A$1:$I$89,3,0)*0.475*44/12</f>
        <v>1.4348818352777385E-17</v>
      </c>
      <c r="BS148" s="24">
        <f t="shared" si="117"/>
        <v>1.786426125363185</v>
      </c>
      <c r="BT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2.4</v>
      </c>
      <c r="BY148" s="13">
        <f>IF('Données projet'!$A$114&gt;35,BY147+BX148-CG147,IF(A148&lt;'Données projet'!$A$114,$BV$205^A148,IF(A148='Données projet'!$A$114,'Données projet'!$B$114,BY147+BX148-CG147)))</f>
        <v>280.99999999999915</v>
      </c>
      <c r="BZ148" s="14">
        <f>BY148*VLOOKUP('Données projet'!$B$12,Paramètres!$A$1:$I$89,3,0)*VLOOKUP('Données projet'!$B$12,Paramètres!$A$1:$I$89,5,0)</f>
        <v>271.78319999999917</v>
      </c>
      <c r="CA148" s="14">
        <f t="shared" si="147"/>
        <v>65.227564224775008</v>
      </c>
      <c r="CB148" s="22">
        <f t="shared" si="118"/>
        <v>586.96041435814834</v>
      </c>
      <c r="CC148" s="60">
        <f t="shared" si="119"/>
        <v>873.04623154994192</v>
      </c>
      <c r="CD148" s="60">
        <f ca="1">AVERAGE(OFFSET($CC$3,0,0,'Données projet'!$E$12+1,1))-AVERAGE(OFFSET($H$3,0,0,'Données projet'!$E$12+1,1))</f>
        <v>496.33873798282525</v>
      </c>
      <c r="CE148" s="60">
        <f t="shared" si="148"/>
        <v>280.25465074992246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2.4</v>
      </c>
      <c r="CT148" s="13">
        <f>IF('Données projet'!$A$140&gt;35,CT147+CS148-DB147,IF(A148&lt;'Données projet'!$A$140,$CQ$205^A148,IF(A148='Données projet'!$A$140,'Données projet'!$B$140,CT147+CS148-DB147)))</f>
        <v>280.99999999999915</v>
      </c>
      <c r="CU148" s="18">
        <f>CT148*VLOOKUP('Données projet'!$B$13,Paramètres!$A$1:$I$89,3,0)*VLOOKUP('Données projet'!$B$13,Paramètres!$A$1:$I$89,5,0)</f>
        <v>302.46839999999906</v>
      </c>
      <c r="CV148" s="14">
        <f t="shared" si="149"/>
        <v>71.693687882090543</v>
      </c>
      <c r="CW148" s="22">
        <f t="shared" si="121"/>
        <v>651.66563639463936</v>
      </c>
      <c r="CX148" s="60">
        <f t="shared" si="122"/>
        <v>937.75145358643294</v>
      </c>
      <c r="CY148" s="60">
        <f ca="1">AVERAGE(OFFSET($CX$3,0,0,'Données projet'!$E$13+1,1))-AVERAGE(OFFSET($H$3,0,0,'Données projet'!$E$13+1,1))</f>
        <v>542.90832990875208</v>
      </c>
      <c r="CZ148" s="60">
        <f t="shared" si="150"/>
        <v>304.94365539329362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0" t="e">
        <f t="shared" si="125"/>
        <v>#N/A</v>
      </c>
      <c r="DT148" s="60" t="e">
        <f ca="1">AVERAGE(OFFSET($DS$3,0,0,'Données projet'!$E$14+1,1))-AVERAGE(OFFSET($H$3,0,0,'Données projet'!$E$14+1,1))</f>
        <v>#N/A</v>
      </c>
      <c r="DU148" s="60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0" t="e">
        <f t="shared" si="128"/>
        <v>#N/A</v>
      </c>
      <c r="EO148" s="60" t="e">
        <f ca="1">AVERAGE(OFFSET($EN$3,0,0,'Données projet'!$E$15+1,1))-AVERAGE(OFFSET($H$3,0,0,'Données projet'!$E$15+1,1))</f>
        <v>#N/A</v>
      </c>
      <c r="EP148" s="60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0" t="e">
        <f t="shared" si="131"/>
        <v>#N/A</v>
      </c>
      <c r="FJ148" s="60" t="e">
        <f ca="1">AVERAGE(OFFSET($FI$3,0,0,'Données projet'!$E$16+1,1))-AVERAGE(OFFSET($H$3,0,0,'Données projet'!$E$16+1,1))</f>
        <v>#N/A</v>
      </c>
      <c r="FK148" s="60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0" t="e">
        <f t="shared" si="134"/>
        <v>#N/A</v>
      </c>
      <c r="GE148" s="60" t="e">
        <f ca="1">AVERAGE(OFFSET($GD$3,0,0,'Données projet'!$E$17+1,1))-AVERAGE(OFFSET($H$3,0,0,'Données projet'!$E$17+1,1))</f>
        <v>#N/A</v>
      </c>
      <c r="GF148" s="60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4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3.4106051316484809E-13</v>
      </c>
      <c r="O149" s="14">
        <f>N149*VLOOKUP('Données projet'!$B$9,Paramètres!$A$1:$I$89,3,0)*VLOOKUP('Données projet'!$B$9,Paramètres!$A$1:$I$89,5,0)</f>
        <v>1.5961632016114892E-13</v>
      </c>
      <c r="P149" s="14">
        <f t="shared" si="141"/>
        <v>2.2708641912150958E-12</v>
      </c>
      <c r="Q149" s="22">
        <f t="shared" si="108"/>
        <v>4.2330868906469593E-12</v>
      </c>
      <c r="R149" s="60">
        <f t="shared" si="109"/>
        <v>286.21154539383485</v>
      </c>
      <c r="S149" s="60">
        <f ca="1">AVERAGE(OFFSET($R$3,0,0,'Données projet'!$E$9+1,1))-AVERAGE(OFFSET($H$3,0,0,'Données projet'!$E$9+1,1))</f>
        <v>277.7918215389401</v>
      </c>
      <c r="T149" s="60">
        <f t="shared" si="142"/>
        <v>164.65640238394164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2.4</v>
      </c>
      <c r="AI149" s="14">
        <f>IF('Données projet'!$A$62&gt;35,AI148+AH149-AQ148,IF(A149&lt;'Données projet'!$A$62,$AF$205^A149,IF(A149='Données projet'!$A$62,'Données projet'!$B$62,AI148+AH149-AQ148)))</f>
        <v>283.39999999999912</v>
      </c>
      <c r="AJ149" s="14">
        <f>AI149*VLOOKUP('Données projet'!$B$10,Paramètres!$A$1:$I$89,3,0)*VLOOKUP('Données projet'!$B$10,Paramètres!$A$1:$I$89,5,0)</f>
        <v>256.42031999999921</v>
      </c>
      <c r="AK149" s="14">
        <f t="shared" si="143"/>
        <v>61.958720258016747</v>
      </c>
      <c r="AL149" s="22">
        <f t="shared" si="112"/>
        <v>554.51016178271107</v>
      </c>
      <c r="AM149" s="60">
        <f t="shared" si="113"/>
        <v>840.72170717654171</v>
      </c>
      <c r="AN149" s="60">
        <f ca="1">AVERAGE(OFFSET($AM$3,0,0,'Données projet'!$E$10+1,1))-AVERAGE(OFFSET($H$3,0,0,'Données projet'!$E$10+1,1))</f>
        <v>469.67944008675863</v>
      </c>
      <c r="AO149" s="60">
        <f t="shared" si="144"/>
        <v>266.11908070867173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0" t="e">
        <f t="shared" si="116"/>
        <v>#NUM!</v>
      </c>
      <c r="BI149" s="60">
        <f ca="1">AVERAGE(OFFSET($BH$3,0,0,'Données projet'!$E$11+1,1))-AVERAGE(OFFSET($H$3,0,0,'Données projet'!$E$11+1,1))</f>
        <v>216.36762889365235</v>
      </c>
      <c r="BJ149" s="60">
        <f t="shared" si="146"/>
        <v>333.29599352215496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1.3572652481111136</v>
      </c>
      <c r="BQ149" s="23">
        <f>EXP(-LN(2)/25)*BQ148+(1-EXP(-LN(2)/25))/(LN(2)/25)*Calculateur!BL149*Calculateur!BN149*VLOOKUP('Données projet'!$B$11,Paramètres!$A$1:$I$89,3,0)*0.475*44/12</f>
        <v>0.39102031064588633</v>
      </c>
      <c r="BR149" s="23">
        <f>EXP(-LN(2)/2)*BR148+(1-EXP(-LN(2)/2))/(LN(2)/2)*BL149*BO149*VLOOKUP('Données projet'!$B$11,Paramètres!$A$1:$I$89,3,0)*0.475*44/12</f>
        <v>1.0146146759262876E-17</v>
      </c>
      <c r="BS149" s="24">
        <f t="shared" si="117"/>
        <v>1.7482855587569999</v>
      </c>
      <c r="BT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2.4</v>
      </c>
      <c r="BY149" s="13">
        <f>IF('Données projet'!$A$114&gt;35,BY148+BX149-CG148,IF(A149&lt;'Données projet'!$A$114,$BV$205^A149,IF(A149='Données projet'!$A$114,'Données projet'!$B$114,BY148+BX149-CG148)))</f>
        <v>283.39999999999912</v>
      </c>
      <c r="BZ149" s="14">
        <f>BY149*VLOOKUP('Données projet'!$B$12,Paramètres!$A$1:$I$89,3,0)*VLOOKUP('Données projet'!$B$12,Paramètres!$A$1:$I$89,5,0)</f>
        <v>274.10447999999917</v>
      </c>
      <c r="CA149" s="14">
        <f t="shared" si="147"/>
        <v>65.719577181765331</v>
      </c>
      <c r="CB149" s="22">
        <f t="shared" si="118"/>
        <v>591.86023292490643</v>
      </c>
      <c r="CC149" s="60">
        <f t="shared" si="119"/>
        <v>878.07177831873707</v>
      </c>
      <c r="CD149" s="60">
        <f ca="1">AVERAGE(OFFSET($CC$3,0,0,'Données projet'!$E$12+1,1))-AVERAGE(OFFSET($H$3,0,0,'Données projet'!$E$12+1,1))</f>
        <v>496.33873798282525</v>
      </c>
      <c r="CE149" s="60">
        <f t="shared" si="148"/>
        <v>280.25465074992246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2.4</v>
      </c>
      <c r="CT149" s="13">
        <f>IF('Données projet'!$A$140&gt;35,CT148+CS149-DB148,IF(A149&lt;'Données projet'!$A$140,$CQ$205^A149,IF(A149='Données projet'!$A$140,'Données projet'!$B$140,CT148+CS149-DB148)))</f>
        <v>283.39999999999912</v>
      </c>
      <c r="CU149" s="18">
        <f>CT149*VLOOKUP('Données projet'!$B$13,Paramètres!$A$1:$I$89,3,0)*VLOOKUP('Données projet'!$B$13,Paramètres!$A$1:$I$89,5,0)</f>
        <v>305.05175999999904</v>
      </c>
      <c r="CV149" s="14">
        <f t="shared" si="149"/>
        <v>72.234474952581991</v>
      </c>
      <c r="CW149" s="22">
        <f t="shared" si="121"/>
        <v>657.10685920907861</v>
      </c>
      <c r="CX149" s="60">
        <f t="shared" si="122"/>
        <v>943.31840460290925</v>
      </c>
      <c r="CY149" s="60">
        <f ca="1">AVERAGE(OFFSET($CX$3,0,0,'Données projet'!$E$13+1,1))-AVERAGE(OFFSET($H$3,0,0,'Données projet'!$E$13+1,1))</f>
        <v>542.90832990875208</v>
      </c>
      <c r="CZ149" s="60">
        <f t="shared" si="150"/>
        <v>304.94365539329362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0" t="e">
        <f t="shared" si="125"/>
        <v>#N/A</v>
      </c>
      <c r="DT149" s="60" t="e">
        <f ca="1">AVERAGE(OFFSET($DS$3,0,0,'Données projet'!$E$14+1,1))-AVERAGE(OFFSET($H$3,0,0,'Données projet'!$E$14+1,1))</f>
        <v>#N/A</v>
      </c>
      <c r="DU149" s="60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0" t="e">
        <f t="shared" si="128"/>
        <v>#N/A</v>
      </c>
      <c r="EO149" s="60" t="e">
        <f ca="1">AVERAGE(OFFSET($EN$3,0,0,'Données projet'!$E$15+1,1))-AVERAGE(OFFSET($H$3,0,0,'Données projet'!$E$15+1,1))</f>
        <v>#N/A</v>
      </c>
      <c r="EP149" s="60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0" t="e">
        <f t="shared" si="131"/>
        <v>#N/A</v>
      </c>
      <c r="FJ149" s="60" t="e">
        <f ca="1">AVERAGE(OFFSET($FI$3,0,0,'Données projet'!$E$16+1,1))-AVERAGE(OFFSET($H$3,0,0,'Données projet'!$E$16+1,1))</f>
        <v>#N/A</v>
      </c>
      <c r="FK149" s="60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0" t="e">
        <f t="shared" si="134"/>
        <v>#N/A</v>
      </c>
      <c r="GE149" s="60" t="e">
        <f ca="1">AVERAGE(OFFSET($GD$3,0,0,'Données projet'!$E$17+1,1))-AVERAGE(OFFSET($H$3,0,0,'Données projet'!$E$17+1,1))</f>
        <v>#N/A</v>
      </c>
      <c r="GF149" s="60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4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3.4106051316484809E-13</v>
      </c>
      <c r="O150" s="14">
        <f>N150*VLOOKUP('Données projet'!$B$9,Paramètres!$A$1:$I$89,3,0)*VLOOKUP('Données projet'!$B$9,Paramètres!$A$1:$I$89,5,0)</f>
        <v>1.5961632016114892E-13</v>
      </c>
      <c r="P150" s="14">
        <f t="shared" si="141"/>
        <v>2.2708641912150958E-12</v>
      </c>
      <c r="Q150" s="22">
        <f t="shared" si="108"/>
        <v>4.2330868906469593E-12</v>
      </c>
      <c r="R150" s="60">
        <f t="shared" si="109"/>
        <v>286.33509249265262</v>
      </c>
      <c r="S150" s="60">
        <f ca="1">AVERAGE(OFFSET($R$3,0,0,'Données projet'!$E$9+1,1))-AVERAGE(OFFSET($H$3,0,0,'Données projet'!$E$9+1,1))</f>
        <v>277.7918215389401</v>
      </c>
      <c r="T150" s="60">
        <f t="shared" si="142"/>
        <v>164.65640238394164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2.4</v>
      </c>
      <c r="AI150" s="14">
        <f>IF('Données projet'!$A$62&gt;35,AI149+AH150-AQ149,IF(A150&lt;'Données projet'!$A$62,$AF$205^A150,IF(A150='Données projet'!$A$62,'Données projet'!$B$62,AI149+AH150-AQ149)))</f>
        <v>285.7999999999991</v>
      </c>
      <c r="AJ150" s="14">
        <f>AI150*VLOOKUP('Données projet'!$B$10,Paramètres!$A$1:$I$89,3,0)*VLOOKUP('Données projet'!$B$10,Paramètres!$A$1:$I$89,5,0)</f>
        <v>258.59183999999919</v>
      </c>
      <c r="AK150" s="14">
        <f t="shared" si="143"/>
        <v>62.422120343276475</v>
      </c>
      <c r="AL150" s="22">
        <f t="shared" si="112"/>
        <v>559.09931426453841</v>
      </c>
      <c r="AM150" s="60">
        <f t="shared" si="113"/>
        <v>845.43440675718682</v>
      </c>
      <c r="AN150" s="60">
        <f ca="1">AVERAGE(OFFSET($AM$3,0,0,'Données projet'!$E$10+1,1))-AVERAGE(OFFSET($H$3,0,0,'Données projet'!$E$10+1,1))</f>
        <v>469.67944008675863</v>
      </c>
      <c r="AO150" s="60">
        <f t="shared" si="144"/>
        <v>266.11908070867173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0" t="e">
        <f t="shared" si="116"/>
        <v>#NUM!</v>
      </c>
      <c r="BI150" s="60">
        <f ca="1">AVERAGE(OFFSET($BH$3,0,0,'Données projet'!$E$11+1,1))-AVERAGE(OFFSET($H$3,0,0,'Données projet'!$E$11+1,1))</f>
        <v>216.36762889365235</v>
      </c>
      <c r="BJ150" s="60">
        <f t="shared" si="146"/>
        <v>333.29599352215496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1.3306501044457126</v>
      </c>
      <c r="BQ150" s="23">
        <f>EXP(-LN(2)/25)*BQ149+(1-EXP(-LN(2)/25))/(LN(2)/25)*Calculateur!BL150*Calculateur!BN150*VLOOKUP('Données projet'!$B$11,Paramètres!$A$1:$I$89,3,0)*0.475*44/12</f>
        <v>0.38032783968841011</v>
      </c>
      <c r="BR150" s="23">
        <f>EXP(-LN(2)/2)*BR149+(1-EXP(-LN(2)/2))/(LN(2)/2)*BL150*BO150*VLOOKUP('Données projet'!$B$11,Paramètres!$A$1:$I$89,3,0)*0.475*44/12</f>
        <v>7.1744091763886925E-18</v>
      </c>
      <c r="BS150" s="24">
        <f t="shared" si="117"/>
        <v>1.7109779441341226</v>
      </c>
      <c r="BT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2.4</v>
      </c>
      <c r="BY150" s="13">
        <f>IF('Données projet'!$A$114&gt;35,BY149+BX150-CG149,IF(A150&lt;'Données projet'!$A$114,$BV$205^A150,IF(A150='Données projet'!$A$114,'Données projet'!$B$114,BY149+BX150-CG149)))</f>
        <v>285.7999999999991</v>
      </c>
      <c r="BZ150" s="14">
        <f>BY150*VLOOKUP('Données projet'!$B$12,Paramètres!$A$1:$I$89,3,0)*VLOOKUP('Données projet'!$B$12,Paramètres!$A$1:$I$89,5,0)</f>
        <v>276.42575999999912</v>
      </c>
      <c r="CA150" s="14">
        <f t="shared" si="147"/>
        <v>66.211105372509707</v>
      </c>
      <c r="CB150" s="22">
        <f t="shared" si="118"/>
        <v>596.75920719045291</v>
      </c>
      <c r="CC150" s="60">
        <f t="shared" si="119"/>
        <v>883.09429968310133</v>
      </c>
      <c r="CD150" s="60">
        <f ca="1">AVERAGE(OFFSET($CC$3,0,0,'Données projet'!$E$12+1,1))-AVERAGE(OFFSET($H$3,0,0,'Données projet'!$E$12+1,1))</f>
        <v>496.33873798282525</v>
      </c>
      <c r="CE150" s="60">
        <f t="shared" si="148"/>
        <v>280.25465074992246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2.4</v>
      </c>
      <c r="CT150" s="13">
        <f>IF('Données projet'!$A$140&gt;35,CT149+CS150-DB149,IF(A150&lt;'Données projet'!$A$140,$CQ$205^A150,IF(A150='Données projet'!$A$140,'Données projet'!$B$140,CT149+CS150-DB149)))</f>
        <v>285.7999999999991</v>
      </c>
      <c r="CU150" s="18">
        <f>CT150*VLOOKUP('Données projet'!$B$13,Paramètres!$A$1:$I$89,3,0)*VLOOKUP('Données projet'!$B$13,Paramètres!$A$1:$I$89,5,0)</f>
        <v>307.63511999999901</v>
      </c>
      <c r="CV150" s="14">
        <f t="shared" si="149"/>
        <v>72.774729201093322</v>
      </c>
      <c r="CW150" s="22">
        <f t="shared" si="121"/>
        <v>662.54715402523584</v>
      </c>
      <c r="CX150" s="60">
        <f t="shared" si="122"/>
        <v>948.88224651788425</v>
      </c>
      <c r="CY150" s="60">
        <f ca="1">AVERAGE(OFFSET($CX$3,0,0,'Données projet'!$E$13+1,1))-AVERAGE(OFFSET($H$3,0,0,'Données projet'!$E$13+1,1))</f>
        <v>542.90832990875208</v>
      </c>
      <c r="CZ150" s="60">
        <f t="shared" si="150"/>
        <v>304.94365539329362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0" t="e">
        <f t="shared" si="125"/>
        <v>#N/A</v>
      </c>
      <c r="DT150" s="60" t="e">
        <f ca="1">AVERAGE(OFFSET($DS$3,0,0,'Données projet'!$E$14+1,1))-AVERAGE(OFFSET($H$3,0,0,'Données projet'!$E$14+1,1))</f>
        <v>#N/A</v>
      </c>
      <c r="DU150" s="60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0" t="e">
        <f t="shared" si="128"/>
        <v>#N/A</v>
      </c>
      <c r="EO150" s="60" t="e">
        <f ca="1">AVERAGE(OFFSET($EN$3,0,0,'Données projet'!$E$15+1,1))-AVERAGE(OFFSET($H$3,0,0,'Données projet'!$E$15+1,1))</f>
        <v>#N/A</v>
      </c>
      <c r="EP150" s="60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0" t="e">
        <f t="shared" si="131"/>
        <v>#N/A</v>
      </c>
      <c r="FJ150" s="60" t="e">
        <f ca="1">AVERAGE(OFFSET($FI$3,0,0,'Données projet'!$E$16+1,1))-AVERAGE(OFFSET($H$3,0,0,'Données projet'!$E$16+1,1))</f>
        <v>#N/A</v>
      </c>
      <c r="FK150" s="60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0" t="e">
        <f t="shared" si="134"/>
        <v>#N/A</v>
      </c>
      <c r="GE150" s="60" t="e">
        <f ca="1">AVERAGE(OFFSET($GD$3,0,0,'Données projet'!$E$17+1,1))-AVERAGE(OFFSET($H$3,0,0,'Données projet'!$E$17+1,1))</f>
        <v>#N/A</v>
      </c>
      <c r="GF150" s="60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4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3.4106051316484809E-13</v>
      </c>
      <c r="O151" s="14">
        <f>N151*VLOOKUP('Données projet'!$B$9,Paramètres!$A$1:$I$89,3,0)*VLOOKUP('Données projet'!$B$9,Paramètres!$A$1:$I$89,5,0)</f>
        <v>1.5961632016114892E-13</v>
      </c>
      <c r="P151" s="14">
        <f t="shared" si="141"/>
        <v>2.2708641912150958E-12</v>
      </c>
      <c r="Q151" s="22">
        <f t="shared" si="108"/>
        <v>4.2330868906469593E-12</v>
      </c>
      <c r="R151" s="60">
        <f t="shared" si="109"/>
        <v>286.4564963255159</v>
      </c>
      <c r="S151" s="60">
        <f ca="1">AVERAGE(OFFSET($R$3,0,0,'Données projet'!$E$9+1,1))-AVERAGE(OFFSET($H$3,0,0,'Données projet'!$E$9+1,1))</f>
        <v>277.7918215389401</v>
      </c>
      <c r="T151" s="60">
        <f t="shared" si="142"/>
        <v>164.65640238394164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2.4</v>
      </c>
      <c r="AI151" s="14">
        <f>IF('Données projet'!$A$62&gt;35,AI150+AH151-AQ150,IF(A151&lt;'Données projet'!$A$62,$AF$205^A151,IF(A151='Données projet'!$A$62,'Données projet'!$B$62,AI150+AH151-AQ150)))</f>
        <v>288.19999999999908</v>
      </c>
      <c r="AJ151" s="14">
        <f>AI151*VLOOKUP('Données projet'!$B$10,Paramètres!$A$1:$I$89,3,0)*VLOOKUP('Données projet'!$B$10,Paramètres!$A$1:$I$89,5,0)</f>
        <v>260.76335999999918</v>
      </c>
      <c r="AK151" s="14">
        <f t="shared" si="143"/>
        <v>62.885067686031789</v>
      </c>
      <c r="AL151" s="22">
        <f t="shared" si="112"/>
        <v>563.68767821983727</v>
      </c>
      <c r="AM151" s="60">
        <f t="shared" si="113"/>
        <v>850.14417454534896</v>
      </c>
      <c r="AN151" s="60">
        <f ca="1">AVERAGE(OFFSET($AM$3,0,0,'Données projet'!$E$10+1,1))-AVERAGE(OFFSET($H$3,0,0,'Données projet'!$E$10+1,1))</f>
        <v>469.67944008675863</v>
      </c>
      <c r="AO151" s="60">
        <f t="shared" si="144"/>
        <v>266.11908070867173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0" t="e">
        <f t="shared" si="116"/>
        <v>#NUM!</v>
      </c>
      <c r="BI151" s="60">
        <f ca="1">AVERAGE(OFFSET($BH$3,0,0,'Données projet'!$E$11+1,1))-AVERAGE(OFFSET($H$3,0,0,'Données projet'!$E$11+1,1))</f>
        <v>216.36762889365235</v>
      </c>
      <c r="BJ151" s="60">
        <f t="shared" si="146"/>
        <v>333.29599352215496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1.3045568675139554</v>
      </c>
      <c r="BQ151" s="23">
        <f>EXP(-LN(2)/25)*BQ150+(1-EXP(-LN(2)/25))/(LN(2)/25)*Calculateur!BL151*Calculateur!BN151*VLOOKUP('Données projet'!$B$11,Paramètres!$A$1:$I$89,3,0)*0.475*44/12</f>
        <v>0.36992775491155871</v>
      </c>
      <c r="BR151" s="23">
        <f>EXP(-LN(2)/2)*BR150+(1-EXP(-LN(2)/2))/(LN(2)/2)*BL151*BO151*VLOOKUP('Données projet'!$B$11,Paramètres!$A$1:$I$89,3,0)*0.475*44/12</f>
        <v>5.0730733796314379E-18</v>
      </c>
      <c r="BS151" s="24">
        <f t="shared" si="117"/>
        <v>1.6744846224255141</v>
      </c>
      <c r="BT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2.4</v>
      </c>
      <c r="BY151" s="13">
        <f>IF('Données projet'!$A$114&gt;35,BY150+BX151-CG150,IF(A151&lt;'Données projet'!$A$114,$BV$205^A151,IF(A151='Données projet'!$A$114,'Données projet'!$B$114,BY150+BX151-CG150)))</f>
        <v>288.19999999999908</v>
      </c>
      <c r="BZ151" s="14">
        <f>BY151*VLOOKUP('Données projet'!$B$12,Paramètres!$A$1:$I$89,3,0)*VLOOKUP('Données projet'!$B$12,Paramètres!$A$1:$I$89,5,0)</f>
        <v>278.74703999999912</v>
      </c>
      <c r="CA151" s="14">
        <f t="shared" si="147"/>
        <v>66.702153339553078</v>
      </c>
      <c r="CB151" s="22">
        <f t="shared" si="118"/>
        <v>601.65734506638671</v>
      </c>
      <c r="CC151" s="60">
        <f t="shared" si="119"/>
        <v>888.1138413918984</v>
      </c>
      <c r="CD151" s="60">
        <f ca="1">AVERAGE(OFFSET($CC$3,0,0,'Données projet'!$E$12+1,1))-AVERAGE(OFFSET($H$3,0,0,'Données projet'!$E$12+1,1))</f>
        <v>496.33873798282525</v>
      </c>
      <c r="CE151" s="60">
        <f t="shared" si="148"/>
        <v>280.25465074992246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2.4</v>
      </c>
      <c r="CT151" s="13">
        <f>IF('Données projet'!$A$140&gt;35,CT150+CS151-DB150,IF(A151&lt;'Données projet'!$A$140,$CQ$205^A151,IF(A151='Données projet'!$A$140,'Données projet'!$B$140,CT150+CS151-DB150)))</f>
        <v>288.19999999999908</v>
      </c>
      <c r="CU151" s="18">
        <f>CT151*VLOOKUP('Données projet'!$B$13,Paramètres!$A$1:$I$89,3,0)*VLOOKUP('Données projet'!$B$13,Paramètres!$A$1:$I$89,5,0)</f>
        <v>310.21847999999898</v>
      </c>
      <c r="CV151" s="14">
        <f t="shared" si="149"/>
        <v>73.314455620479777</v>
      </c>
      <c r="CW151" s="22">
        <f t="shared" si="121"/>
        <v>667.98652953900034</v>
      </c>
      <c r="CX151" s="60">
        <f t="shared" si="122"/>
        <v>954.44302586451204</v>
      </c>
      <c r="CY151" s="60">
        <f ca="1">AVERAGE(OFFSET($CX$3,0,0,'Données projet'!$E$13+1,1))-AVERAGE(OFFSET($H$3,0,0,'Données projet'!$E$13+1,1))</f>
        <v>542.90832990875208</v>
      </c>
      <c r="CZ151" s="60">
        <f t="shared" si="150"/>
        <v>304.94365539329362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0" t="e">
        <f t="shared" si="125"/>
        <v>#N/A</v>
      </c>
      <c r="DT151" s="60" t="e">
        <f ca="1">AVERAGE(OFFSET($DS$3,0,0,'Données projet'!$E$14+1,1))-AVERAGE(OFFSET($H$3,0,0,'Données projet'!$E$14+1,1))</f>
        <v>#N/A</v>
      </c>
      <c r="DU151" s="60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0" t="e">
        <f t="shared" si="128"/>
        <v>#N/A</v>
      </c>
      <c r="EO151" s="60" t="e">
        <f ca="1">AVERAGE(OFFSET($EN$3,0,0,'Données projet'!$E$15+1,1))-AVERAGE(OFFSET($H$3,0,0,'Données projet'!$E$15+1,1))</f>
        <v>#N/A</v>
      </c>
      <c r="EP151" s="60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0" t="e">
        <f t="shared" si="131"/>
        <v>#N/A</v>
      </c>
      <c r="FJ151" s="60" t="e">
        <f ca="1">AVERAGE(OFFSET($FI$3,0,0,'Données projet'!$E$16+1,1))-AVERAGE(OFFSET($H$3,0,0,'Données projet'!$E$16+1,1))</f>
        <v>#N/A</v>
      </c>
      <c r="FK151" s="60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0" t="e">
        <f t="shared" si="134"/>
        <v>#N/A</v>
      </c>
      <c r="GE151" s="60" t="e">
        <f ca="1">AVERAGE(OFFSET($GD$3,0,0,'Données projet'!$E$17+1,1))-AVERAGE(OFFSET($H$3,0,0,'Données projet'!$E$17+1,1))</f>
        <v>#N/A</v>
      </c>
      <c r="GF151" s="60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4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3.4106051316484809E-13</v>
      </c>
      <c r="O152" s="14">
        <f>N152*VLOOKUP('Données projet'!$B$9,Paramètres!$A$1:$I$89,3,0)*VLOOKUP('Données projet'!$B$9,Paramètres!$A$1:$I$89,5,0)</f>
        <v>1.5961632016114892E-13</v>
      </c>
      <c r="P152" s="14">
        <f t="shared" si="141"/>
        <v>2.2708641912150958E-12</v>
      </c>
      <c r="Q152" s="22">
        <f t="shared" si="108"/>
        <v>4.2330868906469593E-12</v>
      </c>
      <c r="R152" s="60">
        <f t="shared" si="109"/>
        <v>286.57579407329729</v>
      </c>
      <c r="S152" s="60">
        <f ca="1">AVERAGE(OFFSET($R$3,0,0,'Données projet'!$E$9+1,1))-AVERAGE(OFFSET($H$3,0,0,'Données projet'!$E$9+1,1))</f>
        <v>277.7918215389401</v>
      </c>
      <c r="T152" s="60">
        <f t="shared" si="142"/>
        <v>164.65640238394164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2.4</v>
      </c>
      <c r="AI152" s="14">
        <f>IF('Données projet'!$A$62&gt;35,AI151+AH152-AQ151,IF(A152&lt;'Données projet'!$A$62,$AF$205^A152,IF(A152='Données projet'!$A$62,'Données projet'!$B$62,AI151+AH152-AQ151)))</f>
        <v>290.59999999999906</v>
      </c>
      <c r="AJ152" s="14">
        <f>AI152*VLOOKUP('Données projet'!$B$10,Paramètres!$A$1:$I$89,3,0)*VLOOKUP('Données projet'!$B$10,Paramètres!$A$1:$I$89,5,0)</f>
        <v>262.93487999999911</v>
      </c>
      <c r="AK152" s="14">
        <f t="shared" si="143"/>
        <v>63.347566493432595</v>
      </c>
      <c r="AL152" s="22">
        <f t="shared" si="112"/>
        <v>568.27526097606028</v>
      </c>
      <c r="AM152" s="60">
        <f t="shared" si="113"/>
        <v>854.85105504935336</v>
      </c>
      <c r="AN152" s="60">
        <f ca="1">AVERAGE(OFFSET($AM$3,0,0,'Données projet'!$E$10+1,1))-AVERAGE(OFFSET($H$3,0,0,'Données projet'!$E$10+1,1))</f>
        <v>469.67944008675863</v>
      </c>
      <c r="AO152" s="60">
        <f t="shared" si="144"/>
        <v>266.11908070867173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0" t="e">
        <f t="shared" si="116"/>
        <v>#NUM!</v>
      </c>
      <c r="BI152" s="60">
        <f ca="1">AVERAGE(OFFSET($BH$3,0,0,'Données projet'!$E$11+1,1))-AVERAGE(OFFSET($H$3,0,0,'Données projet'!$E$11+1,1))</f>
        <v>216.36762889365235</v>
      </c>
      <c r="BJ152" s="60">
        <f t="shared" si="146"/>
        <v>333.29599352215496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1.278975303043127</v>
      </c>
      <c r="BQ152" s="23">
        <f>EXP(-LN(2)/25)*BQ151+(1-EXP(-LN(2)/25))/(LN(2)/25)*Calculateur!BL152*Calculateur!BN152*VLOOKUP('Données projet'!$B$11,Paramètres!$A$1:$I$89,3,0)*0.475*44/12</f>
        <v>0.35981206099984697</v>
      </c>
      <c r="BR152" s="23">
        <f>EXP(-LN(2)/2)*BR151+(1-EXP(-LN(2)/2))/(LN(2)/2)*BL152*BO152*VLOOKUP('Données projet'!$B$11,Paramètres!$A$1:$I$89,3,0)*0.475*44/12</f>
        <v>3.5872045881943462E-18</v>
      </c>
      <c r="BS152" s="24">
        <f t="shared" si="117"/>
        <v>1.638787364042974</v>
      </c>
      <c r="BT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2.4</v>
      </c>
      <c r="BY152" s="13">
        <f>IF('Données projet'!$A$114&gt;35,BY151+BX152-CG151,IF(A152&lt;'Données projet'!$A$114,$BV$205^A152,IF(A152='Données projet'!$A$114,'Données projet'!$B$114,BY151+BX152-CG151)))</f>
        <v>290.59999999999906</v>
      </c>
      <c r="BZ152" s="14">
        <f>BY152*VLOOKUP('Données projet'!$B$12,Paramètres!$A$1:$I$89,3,0)*VLOOKUP('Données projet'!$B$12,Paramètres!$A$1:$I$89,5,0)</f>
        <v>281.06831999999906</v>
      </c>
      <c r="CA152" s="14">
        <f t="shared" si="147"/>
        <v>67.192725545416479</v>
      </c>
      <c r="CB152" s="22">
        <f t="shared" si="118"/>
        <v>606.55465432493213</v>
      </c>
      <c r="CC152" s="60">
        <f t="shared" si="119"/>
        <v>893.13044839822521</v>
      </c>
      <c r="CD152" s="60">
        <f ca="1">AVERAGE(OFFSET($CC$3,0,0,'Données projet'!$E$12+1,1))-AVERAGE(OFFSET($H$3,0,0,'Données projet'!$E$12+1,1))</f>
        <v>496.33873798282525</v>
      </c>
      <c r="CE152" s="60">
        <f t="shared" si="148"/>
        <v>280.25465074992246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2.4</v>
      </c>
      <c r="CT152" s="13">
        <f>IF('Données projet'!$A$140&gt;35,CT151+CS152-DB151,IF(A152&lt;'Données projet'!$A$140,$CQ$205^A152,IF(A152='Données projet'!$A$140,'Données projet'!$B$140,CT151+CS152-DB151)))</f>
        <v>290.59999999999906</v>
      </c>
      <c r="CU152" s="18">
        <f>CT152*VLOOKUP('Données projet'!$B$13,Paramètres!$A$1:$I$89,3,0)*VLOOKUP('Données projet'!$B$13,Paramètres!$A$1:$I$89,5,0)</f>
        <v>312.80183999999895</v>
      </c>
      <c r="CV152" s="14">
        <f t="shared" si="149"/>
        <v>73.853659115640198</v>
      </c>
      <c r="CW152" s="22">
        <f t="shared" si="121"/>
        <v>673.42499429307145</v>
      </c>
      <c r="CX152" s="60">
        <f t="shared" si="122"/>
        <v>960.00078836636453</v>
      </c>
      <c r="CY152" s="60">
        <f ca="1">AVERAGE(OFFSET($CX$3,0,0,'Données projet'!$E$13+1,1))-AVERAGE(OFFSET($H$3,0,0,'Données projet'!$E$13+1,1))</f>
        <v>542.90832990875208</v>
      </c>
      <c r="CZ152" s="60">
        <f t="shared" si="150"/>
        <v>304.94365539329362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0" t="e">
        <f t="shared" si="125"/>
        <v>#N/A</v>
      </c>
      <c r="DT152" s="60" t="e">
        <f ca="1">AVERAGE(OFFSET($DS$3,0,0,'Données projet'!$E$14+1,1))-AVERAGE(OFFSET($H$3,0,0,'Données projet'!$E$14+1,1))</f>
        <v>#N/A</v>
      </c>
      <c r="DU152" s="60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0" t="e">
        <f t="shared" si="128"/>
        <v>#N/A</v>
      </c>
      <c r="EO152" s="60" t="e">
        <f ca="1">AVERAGE(OFFSET($EN$3,0,0,'Données projet'!$E$15+1,1))-AVERAGE(OFFSET($H$3,0,0,'Données projet'!$E$15+1,1))</f>
        <v>#N/A</v>
      </c>
      <c r="EP152" s="60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0" t="e">
        <f t="shared" si="131"/>
        <v>#N/A</v>
      </c>
      <c r="FJ152" s="60" t="e">
        <f ca="1">AVERAGE(OFFSET($FI$3,0,0,'Données projet'!$E$16+1,1))-AVERAGE(OFFSET($H$3,0,0,'Données projet'!$E$16+1,1))</f>
        <v>#N/A</v>
      </c>
      <c r="FK152" s="60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0" t="e">
        <f t="shared" si="134"/>
        <v>#N/A</v>
      </c>
      <c r="GE152" s="60" t="e">
        <f ca="1">AVERAGE(OFFSET($GD$3,0,0,'Données projet'!$E$17+1,1))-AVERAGE(OFFSET($H$3,0,0,'Données projet'!$E$17+1,1))</f>
        <v>#N/A</v>
      </c>
      <c r="GF152" s="60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4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3.4106051316484809E-13</v>
      </c>
      <c r="O153" s="14">
        <f>N153*VLOOKUP('Données projet'!$B$9,Paramètres!$A$1:$I$89,3,0)*VLOOKUP('Données projet'!$B$9,Paramètres!$A$1:$I$89,5,0)</f>
        <v>1.5961632016114892E-13</v>
      </c>
      <c r="P153" s="14">
        <f t="shared" si="141"/>
        <v>2.2708641912150958E-12</v>
      </c>
      <c r="Q153" s="22">
        <f t="shared" si="108"/>
        <v>4.2330868906469593E-12</v>
      </c>
      <c r="R153" s="60">
        <f t="shared" si="109"/>
        <v>286.69302227186455</v>
      </c>
      <c r="S153" s="60">
        <f ca="1">AVERAGE(OFFSET($R$3,0,0,'Données projet'!$E$9+1,1))-AVERAGE(OFFSET($H$3,0,0,'Données projet'!$E$9+1,1))</f>
        <v>277.7918215389401</v>
      </c>
      <c r="T153" s="60">
        <f t="shared" si="142"/>
        <v>164.65640238394164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293</v>
      </c>
      <c r="AG153" s="13">
        <f>VLOOKUP(A153,'Données projet'!$A$61:$I$81,9,0)</f>
        <v>2.4</v>
      </c>
      <c r="AH153" s="13">
        <f t="array" ref="AH153">INDEX(AG:AG,MIN(IF(ISNUMBER(AG153:AG349),ROW(AG153:AG349),"")))</f>
        <v>2.4</v>
      </c>
      <c r="AI153" s="14">
        <f>IF('Données projet'!$A$62&gt;35,AI152+AH153-AQ152,IF(A153&lt;'Données projet'!$A$62,$AF$205^A153,IF(A153='Données projet'!$A$62,'Données projet'!$B$62,AI152+AH153-AQ152)))</f>
        <v>292.99999999999903</v>
      </c>
      <c r="AJ153" s="14">
        <f>AI153*VLOOKUP('Données projet'!$B$10,Paramètres!$A$1:$I$89,3,0)*VLOOKUP('Données projet'!$B$10,Paramètres!$A$1:$I$89,5,0)</f>
        <v>265.1063999999991</v>
      </c>
      <c r="AK153" s="14">
        <f t="shared" si="143"/>
        <v>63.809620899125136</v>
      </c>
      <c r="AL153" s="22">
        <f t="shared" si="112"/>
        <v>572.86206973264132</v>
      </c>
      <c r="AM153" s="60">
        <f t="shared" si="113"/>
        <v>859.5550920045016</v>
      </c>
      <c r="AN153" s="60">
        <f ca="1">AVERAGE(OFFSET($AM$3,0,0,'Données projet'!$E$10+1,1))-AVERAGE(OFFSET($H$3,0,0,'Données projet'!$E$10+1,1))</f>
        <v>469.67944008675863</v>
      </c>
      <c r="AO153" s="60">
        <f t="shared" si="144"/>
        <v>266.11908070867173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293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0" t="e">
        <f t="shared" si="116"/>
        <v>#NUM!</v>
      </c>
      <c r="BI153" s="60">
        <f ca="1">AVERAGE(OFFSET($BH$3,0,0,'Données projet'!$E$11+1,1))-AVERAGE(OFFSET($H$3,0,0,'Données projet'!$E$11+1,1))</f>
        <v>216.36762889365235</v>
      </c>
      <c r="BJ153" s="60">
        <f t="shared" si="146"/>
        <v>333.29599352215496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1.2538953774483579</v>
      </c>
      <c r="BQ153" s="23">
        <f>EXP(-LN(2)/25)*BQ152+(1-EXP(-LN(2)/25))/(LN(2)/25)*Calculateur!BL153*Calculateur!BN153*VLOOKUP('Données projet'!$B$11,Paramètres!$A$1:$I$89,3,0)*0.475*44/12</f>
        <v>0.34997298127011223</v>
      </c>
      <c r="BR153" s="23">
        <f>EXP(-LN(2)/2)*BR152+(1-EXP(-LN(2)/2))/(LN(2)/2)*BL153*BO153*VLOOKUP('Données projet'!$B$11,Paramètres!$A$1:$I$89,3,0)*0.475*44/12</f>
        <v>2.5365366898157189E-18</v>
      </c>
      <c r="BS153" s="24">
        <f t="shared" si="117"/>
        <v>1.6038683587184701</v>
      </c>
      <c r="BT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>
        <f>VLOOKUP(A153,'Données projet'!$A$113:$I$133,2,0)</f>
        <v>293</v>
      </c>
      <c r="BW153" s="13">
        <f>VLOOKUP(A153,'Données projet'!$A$113:$I$133,9,0)</f>
        <v>2.4</v>
      </c>
      <c r="BX153" s="13">
        <f t="array" ref="BX153">INDEX(BW:BW,MIN(IF(ISNUMBER(BW153:BW349),ROW(BW153:BW349),"")))</f>
        <v>2.4</v>
      </c>
      <c r="BY153" s="13">
        <f>IF('Données projet'!$A$114&gt;35,BY152+BX153-CG152,IF(A153&lt;'Données projet'!$A$114,$BV$205^A153,IF(A153='Données projet'!$A$114,'Données projet'!$B$114,BY152+BX153-CG152)))</f>
        <v>292.99999999999903</v>
      </c>
      <c r="BZ153" s="14">
        <f>BY153*VLOOKUP('Données projet'!$B$12,Paramètres!$A$1:$I$89,3,0)*VLOOKUP('Données projet'!$B$12,Paramètres!$A$1:$I$89,5,0)</f>
        <v>283.38959999999906</v>
      </c>
      <c r="CA153" s="14">
        <f t="shared" si="147"/>
        <v>67.682826374656187</v>
      </c>
      <c r="CB153" s="22">
        <f t="shared" si="118"/>
        <v>611.45114260252456</v>
      </c>
      <c r="CC153" s="60">
        <f t="shared" si="119"/>
        <v>898.14416487438484</v>
      </c>
      <c r="CD153" s="60">
        <f ca="1">AVERAGE(OFFSET($CC$3,0,0,'Données projet'!$E$12+1,1))-AVERAGE(OFFSET($H$3,0,0,'Données projet'!$E$12+1,1))</f>
        <v>496.33873798282525</v>
      </c>
      <c r="CE153" s="60">
        <f t="shared" si="148"/>
        <v>280.25465074992246</v>
      </c>
      <c r="CF153" s="16">
        <f>IF(ISNA(VLOOKUP(A153,'Données projet'!$A$113:$I$133,3,0)),0,VLOOKUP(A153,'Données projet'!$A$113:$I$133,3,0))</f>
        <v>13</v>
      </c>
      <c r="CG153" s="16">
        <f>IF(ISNA(VLOOKUP(A153,'Données projet'!$A$113:$I$133,4,0)),0,VLOOKUP(A153,'Données projet'!$A$113:$I$133,4,0))</f>
        <v>293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>
        <f>VLOOKUP(A153,'Données projet'!$A$139:$I$159,2,0)</f>
        <v>293</v>
      </c>
      <c r="CR153" s="13">
        <f>VLOOKUP(A153,'Données projet'!$A$139:$I$159,9,0)</f>
        <v>2.4</v>
      </c>
      <c r="CS153" s="13">
        <f t="array" ref="CS153">INDEX(CR:CR,MIN(IF(ISNUMBER(CR153:CR349),ROW(CR153:CR349),"")))</f>
        <v>2.4</v>
      </c>
      <c r="CT153" s="13">
        <f>IF('Données projet'!$A$140&gt;35,CT152+CS153-DB152,IF(A153&lt;'Données projet'!$A$140,$CQ$205^A153,IF(A153='Données projet'!$A$140,'Données projet'!$B$140,CT152+CS153-DB152)))</f>
        <v>292.99999999999903</v>
      </c>
      <c r="CU153" s="18">
        <f>CT153*VLOOKUP('Données projet'!$B$13,Paramètres!$A$1:$I$89,3,0)*VLOOKUP('Données projet'!$B$13,Paramètres!$A$1:$I$89,5,0)</f>
        <v>315.38519999999892</v>
      </c>
      <c r="CV153" s="14">
        <f t="shared" si="149"/>
        <v>74.392344505779604</v>
      </c>
      <c r="CW153" s="22">
        <f t="shared" si="121"/>
        <v>678.86255668089746</v>
      </c>
      <c r="CX153" s="60">
        <f t="shared" si="122"/>
        <v>965.55557895275774</v>
      </c>
      <c r="CY153" s="60">
        <f ca="1">AVERAGE(OFFSET($CX$3,0,0,'Données projet'!$E$13+1,1))-AVERAGE(OFFSET($H$3,0,0,'Données projet'!$E$13+1,1))</f>
        <v>542.90832990875208</v>
      </c>
      <c r="CZ153" s="60">
        <f t="shared" si="150"/>
        <v>304.94365539329362</v>
      </c>
      <c r="DA153" s="16">
        <f>IF(ISNA(VLOOKUP(A153,'Données projet'!$A$139:$I$159,3,0)),0,VLOOKUP(A153,'Données projet'!$A$139:$I$159,3,0))</f>
        <v>13</v>
      </c>
      <c r="DB153" s="16">
        <f>IF(ISNA(VLOOKUP(A153,'Données projet'!$A$139:$I$159,4,0)),0,VLOOKUP(A153,'Données projet'!$A$139:$I$159,4,0))</f>
        <v>293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0" t="e">
        <f t="shared" si="125"/>
        <v>#N/A</v>
      </c>
      <c r="DT153" s="60" t="e">
        <f ca="1">AVERAGE(OFFSET($DS$3,0,0,'Données projet'!$E$14+1,1))-AVERAGE(OFFSET($H$3,0,0,'Données projet'!$E$14+1,1))</f>
        <v>#N/A</v>
      </c>
      <c r="DU153" s="60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0" t="e">
        <f t="shared" si="128"/>
        <v>#N/A</v>
      </c>
      <c r="EO153" s="60" t="e">
        <f ca="1">AVERAGE(OFFSET($EN$3,0,0,'Données projet'!$E$15+1,1))-AVERAGE(OFFSET($H$3,0,0,'Données projet'!$E$15+1,1))</f>
        <v>#N/A</v>
      </c>
      <c r="EP153" s="60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0" t="e">
        <f t="shared" si="131"/>
        <v>#N/A</v>
      </c>
      <c r="FJ153" s="60" t="e">
        <f ca="1">AVERAGE(OFFSET($FI$3,0,0,'Données projet'!$E$16+1,1))-AVERAGE(OFFSET($H$3,0,0,'Données projet'!$E$16+1,1))</f>
        <v>#N/A</v>
      </c>
      <c r="FK153" s="60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0" t="e">
        <f t="shared" si="134"/>
        <v>#N/A</v>
      </c>
      <c r="GE153" s="60" t="e">
        <f ca="1">AVERAGE(OFFSET($GD$3,0,0,'Données projet'!$E$17+1,1))-AVERAGE(OFFSET($H$3,0,0,'Données projet'!$E$17+1,1))</f>
        <v>#N/A</v>
      </c>
      <c r="GF153" s="60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4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3.4106051316484809E-13</v>
      </c>
      <c r="O154" s="14">
        <f>N154*VLOOKUP('Données projet'!$B$9,Paramètres!$A$1:$I$89,3,0)*VLOOKUP('Données projet'!$B$9,Paramètres!$A$1:$I$89,5,0)</f>
        <v>1.5961632016114892E-13</v>
      </c>
      <c r="P154" s="14">
        <f t="shared" si="141"/>
        <v>2.2708641912150958E-12</v>
      </c>
      <c r="Q154" s="22">
        <f t="shared" ref="Q154:Q203" si="162">(O154+P154)*0.475*44/12</f>
        <v>4.2330868906469593E-12</v>
      </c>
      <c r="R154" s="60">
        <f t="shared" si="109"/>
        <v>286.80821682326956</v>
      </c>
      <c r="S154" s="60">
        <f ca="1">AVERAGE(OFFSET($R$3,0,0,'Données projet'!$E$9+1,1))-AVERAGE(OFFSET($H$3,0,0,'Données projet'!$E$9+1,1))</f>
        <v>277.7918215389401</v>
      </c>
      <c r="T154" s="60">
        <f t="shared" si="142"/>
        <v>164.65640238394164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-9.6633812063373625E-13</v>
      </c>
      <c r="AJ154" s="14">
        <f>AI154*VLOOKUP('Données projet'!$B$10,Paramètres!$A$1:$I$89,3,0)*VLOOKUP('Données projet'!$B$10,Paramètres!$A$1:$I$89,5,0)</f>
        <v>-8.7434273154940449E-13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0" t="e">
        <f t="shared" si="113"/>
        <v>#NUM!</v>
      </c>
      <c r="AN154" s="60">
        <f ca="1">AVERAGE(OFFSET($AM$3,0,0,'Données projet'!$E$10+1,1))-AVERAGE(OFFSET($H$3,0,0,'Données projet'!$E$10+1,1))</f>
        <v>469.67944008675863</v>
      </c>
      <c r="AO154" s="60">
        <f t="shared" si="144"/>
        <v>266.11908070867173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0" t="e">
        <f t="shared" si="116"/>
        <v>#NUM!</v>
      </c>
      <c r="BI154" s="60">
        <f ca="1">AVERAGE(OFFSET($BH$3,0,0,'Données projet'!$E$11+1,1))-AVERAGE(OFFSET($H$3,0,0,'Données projet'!$E$11+1,1))</f>
        <v>216.36762889365235</v>
      </c>
      <c r="BJ154" s="60">
        <f t="shared" si="146"/>
        <v>333.29599352215496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1.229307253897258</v>
      </c>
      <c r="BQ154" s="23">
        <f>EXP(-LN(2)/25)*BQ153+(1-EXP(-LN(2)/25))/(LN(2)/25)*Calculateur!BL154*Calculateur!BN154*VLOOKUP('Données projet'!$B$11,Paramètres!$A$1:$I$89,3,0)*0.475*44/12</f>
        <v>0.34040295169300178</v>
      </c>
      <c r="BR154" s="23">
        <f>EXP(-LN(2)/2)*BR153+(1-EXP(-LN(2)/2))/(LN(2)/2)*BL154*BO154*VLOOKUP('Données projet'!$B$11,Paramètres!$A$1:$I$89,3,0)*0.475*44/12</f>
        <v>1.7936022940971731E-18</v>
      </c>
      <c r="BS154" s="24">
        <f t="shared" ref="BS154:BS203" si="169">SUM(BP154:BR154)</f>
        <v>1.5697102055902599</v>
      </c>
      <c r="BT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-9.6633812063373625E-13</v>
      </c>
      <c r="BZ154" s="14">
        <f>BY154*VLOOKUP('Données projet'!$B$12,Paramètres!$A$1:$I$89,3,0)*VLOOKUP('Données projet'!$B$12,Paramètres!$A$1:$I$89,5,0)</f>
        <v>-9.3464223027694966E-13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0" t="e">
        <f t="shared" si="119"/>
        <v>#NUM!</v>
      </c>
      <c r="CD154" s="60">
        <f ca="1">AVERAGE(OFFSET($CC$3,0,0,'Données projet'!$E$12+1,1))-AVERAGE(OFFSET($H$3,0,0,'Données projet'!$E$12+1,1))</f>
        <v>496.33873798282525</v>
      </c>
      <c r="CE154" s="60">
        <f t="shared" si="148"/>
        <v>280.25465074992246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-9.6633812063373625E-13</v>
      </c>
      <c r="CU154" s="18">
        <f>CT154*VLOOKUP('Données projet'!$B$13,Paramètres!$A$1:$I$89,3,0)*VLOOKUP('Données projet'!$B$13,Paramètres!$A$1:$I$89,5,0)</f>
        <v>-1.0401663530501537E-12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0" t="e">
        <f t="shared" si="122"/>
        <v>#NUM!</v>
      </c>
      <c r="CY154" s="60">
        <f ca="1">AVERAGE(OFFSET($CX$3,0,0,'Données projet'!$E$13+1,1))-AVERAGE(OFFSET($H$3,0,0,'Données projet'!$E$13+1,1))</f>
        <v>542.90832990875208</v>
      </c>
      <c r="CZ154" s="60">
        <f t="shared" si="150"/>
        <v>304.94365539329362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0" t="e">
        <f t="shared" si="125"/>
        <v>#N/A</v>
      </c>
      <c r="DT154" s="60" t="e">
        <f ca="1">AVERAGE(OFFSET($DS$3,0,0,'Données projet'!$E$14+1,1))-AVERAGE(OFFSET($H$3,0,0,'Données projet'!$E$14+1,1))</f>
        <v>#N/A</v>
      </c>
      <c r="DU154" s="60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0" t="e">
        <f t="shared" si="128"/>
        <v>#N/A</v>
      </c>
      <c r="EO154" s="60" t="e">
        <f ca="1">AVERAGE(OFFSET($EN$3,0,0,'Données projet'!$E$15+1,1))-AVERAGE(OFFSET($H$3,0,0,'Données projet'!$E$15+1,1))</f>
        <v>#N/A</v>
      </c>
      <c r="EP154" s="60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0" t="e">
        <f t="shared" si="131"/>
        <v>#N/A</v>
      </c>
      <c r="FJ154" s="60" t="e">
        <f ca="1">AVERAGE(OFFSET($FI$3,0,0,'Données projet'!$E$16+1,1))-AVERAGE(OFFSET($H$3,0,0,'Données projet'!$E$16+1,1))</f>
        <v>#N/A</v>
      </c>
      <c r="FK154" s="60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0" t="e">
        <f t="shared" si="134"/>
        <v>#N/A</v>
      </c>
      <c r="GE154" s="60" t="e">
        <f ca="1">AVERAGE(OFFSET($GD$3,0,0,'Données projet'!$E$17+1,1))-AVERAGE(OFFSET($H$3,0,0,'Données projet'!$E$17+1,1))</f>
        <v>#N/A</v>
      </c>
      <c r="GF154" s="60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4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3.4106051316484809E-13</v>
      </c>
      <c r="O155" s="14">
        <f>N155*VLOOKUP('Données projet'!$B$9,Paramètres!$A$1:$I$89,3,0)*VLOOKUP('Données projet'!$B$9,Paramètres!$A$1:$I$89,5,0)</f>
        <v>1.5961632016114892E-13</v>
      </c>
      <c r="P155" s="14">
        <f t="shared" si="141"/>
        <v>2.2708641912150958E-12</v>
      </c>
      <c r="Q155" s="22">
        <f t="shared" si="162"/>
        <v>4.2330868906469593E-12</v>
      </c>
      <c r="R155" s="60">
        <f t="shared" si="109"/>
        <v>286.9214130067441</v>
      </c>
      <c r="S155" s="60">
        <f ca="1">AVERAGE(OFFSET($R$3,0,0,'Données projet'!$E$9+1,1))-AVERAGE(OFFSET($H$3,0,0,'Données projet'!$E$9+1,1))</f>
        <v>277.7918215389401</v>
      </c>
      <c r="T155" s="60">
        <f t="shared" si="142"/>
        <v>164.65640238394164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-9.6633812063373625E-13</v>
      </c>
      <c r="AJ155" s="14">
        <f>AI155*VLOOKUP('Données projet'!$B$10,Paramètres!$A$1:$I$89,3,0)*VLOOKUP('Données projet'!$B$10,Paramètres!$A$1:$I$89,5,0)</f>
        <v>-8.7434273154940449E-13</v>
      </c>
      <c r="AK155" s="14" t="e">
        <f t="shared" si="164"/>
        <v>#NUM!</v>
      </c>
      <c r="AL155" s="22" t="e">
        <f t="shared" si="165"/>
        <v>#NUM!</v>
      </c>
      <c r="AM155" s="60" t="e">
        <f t="shared" si="113"/>
        <v>#NUM!</v>
      </c>
      <c r="AN155" s="60">
        <f ca="1">AVERAGE(OFFSET($AM$3,0,0,'Données projet'!$E$10+1,1))-AVERAGE(OFFSET($H$3,0,0,'Données projet'!$E$10+1,1))</f>
        <v>469.67944008675863</v>
      </c>
      <c r="AO155" s="60">
        <f t="shared" si="144"/>
        <v>266.11908070867173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0" t="e">
        <f t="shared" si="116"/>
        <v>#NUM!</v>
      </c>
      <c r="BI155" s="60">
        <f ca="1">AVERAGE(OFFSET($BH$3,0,0,'Données projet'!$E$11+1,1))-AVERAGE(OFFSET($H$3,0,0,'Données projet'!$E$11+1,1))</f>
        <v>216.36762889365235</v>
      </c>
      <c r="BJ155" s="60">
        <f t="shared" si="146"/>
        <v>333.29599352215496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1.2052012884517207</v>
      </c>
      <c r="BQ155" s="23">
        <f>EXP(-LN(2)/25)*BQ154+(1-EXP(-LN(2)/25))/(LN(2)/25)*Calculateur!BL155*Calculateur!BN155*VLOOKUP('Données projet'!$B$11,Paramètres!$A$1:$I$89,3,0)*0.475*44/12</f>
        <v>0.33109461507794341</v>
      </c>
      <c r="BR155" s="23">
        <f>EXP(-LN(2)/2)*BR154+(1-EXP(-LN(2)/2))/(LN(2)/2)*BL155*BO155*VLOOKUP('Données projet'!$B$11,Paramètres!$A$1:$I$89,3,0)*0.475*44/12</f>
        <v>1.2682683449078595E-18</v>
      </c>
      <c r="BS155" s="24">
        <f t="shared" si="169"/>
        <v>1.5362959035296642</v>
      </c>
      <c r="BT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-9.6633812063373625E-13</v>
      </c>
      <c r="BZ155" s="14">
        <f>BY155*VLOOKUP('Données projet'!$B$12,Paramètres!$A$1:$I$89,3,0)*VLOOKUP('Données projet'!$B$12,Paramètres!$A$1:$I$89,5,0)</f>
        <v>-9.3464223027694966E-13</v>
      </c>
      <c r="CA155" s="14" t="e">
        <f t="shared" si="170"/>
        <v>#NUM!</v>
      </c>
      <c r="CB155" s="22" t="e">
        <f t="shared" si="171"/>
        <v>#NUM!</v>
      </c>
      <c r="CC155" s="60" t="e">
        <f t="shared" si="119"/>
        <v>#NUM!</v>
      </c>
      <c r="CD155" s="60">
        <f ca="1">AVERAGE(OFFSET($CC$3,0,0,'Données projet'!$E$12+1,1))-AVERAGE(OFFSET($H$3,0,0,'Données projet'!$E$12+1,1))</f>
        <v>496.33873798282525</v>
      </c>
      <c r="CE155" s="60">
        <f t="shared" si="148"/>
        <v>280.25465074992246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-9.6633812063373625E-13</v>
      </c>
      <c r="CU155" s="18">
        <f>CT155*VLOOKUP('Données projet'!$B$13,Paramètres!$A$1:$I$89,3,0)*VLOOKUP('Données projet'!$B$13,Paramètres!$A$1:$I$89,5,0)</f>
        <v>-1.0401663530501537E-12</v>
      </c>
      <c r="CV155" s="14" t="e">
        <f t="shared" si="173"/>
        <v>#NUM!</v>
      </c>
      <c r="CW155" s="22" t="e">
        <f t="shared" si="174"/>
        <v>#NUM!</v>
      </c>
      <c r="CX155" s="60" t="e">
        <f t="shared" si="122"/>
        <v>#NUM!</v>
      </c>
      <c r="CY155" s="60">
        <f ca="1">AVERAGE(OFFSET($CX$3,0,0,'Données projet'!$E$13+1,1))-AVERAGE(OFFSET($H$3,0,0,'Données projet'!$E$13+1,1))</f>
        <v>542.90832990875208</v>
      </c>
      <c r="CZ155" s="60">
        <f t="shared" si="150"/>
        <v>304.94365539329362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0" t="e">
        <f t="shared" si="125"/>
        <v>#N/A</v>
      </c>
      <c r="DT155" s="60" t="e">
        <f ca="1">AVERAGE(OFFSET($DS$3,0,0,'Données projet'!$E$14+1,1))-AVERAGE(OFFSET($H$3,0,0,'Données projet'!$E$14+1,1))</f>
        <v>#N/A</v>
      </c>
      <c r="DU155" s="60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0" t="e">
        <f t="shared" si="128"/>
        <v>#N/A</v>
      </c>
      <c r="EO155" s="60" t="e">
        <f ca="1">AVERAGE(OFFSET($EN$3,0,0,'Données projet'!$E$15+1,1))-AVERAGE(OFFSET($H$3,0,0,'Données projet'!$E$15+1,1))</f>
        <v>#N/A</v>
      </c>
      <c r="EP155" s="60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0" t="e">
        <f t="shared" si="131"/>
        <v>#N/A</v>
      </c>
      <c r="FJ155" s="60" t="e">
        <f ca="1">AVERAGE(OFFSET($FI$3,0,0,'Données projet'!$E$16+1,1))-AVERAGE(OFFSET($H$3,0,0,'Données projet'!$E$16+1,1))</f>
        <v>#N/A</v>
      </c>
      <c r="FK155" s="60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0" t="e">
        <f t="shared" si="134"/>
        <v>#N/A</v>
      </c>
      <c r="GE155" s="60" t="e">
        <f ca="1">AVERAGE(OFFSET($GD$3,0,0,'Données projet'!$E$17+1,1))-AVERAGE(OFFSET($H$3,0,0,'Données projet'!$E$17+1,1))</f>
        <v>#N/A</v>
      </c>
      <c r="GF155" s="60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4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3.4106051316484809E-13</v>
      </c>
      <c r="O156" s="14">
        <f>N156*VLOOKUP('Données projet'!$B$9,Paramètres!$A$1:$I$89,3,0)*VLOOKUP('Données projet'!$B$9,Paramètres!$A$1:$I$89,5,0)</f>
        <v>1.5961632016114892E-13</v>
      </c>
      <c r="P156" s="14">
        <f t="shared" si="141"/>
        <v>2.2708641912150958E-12</v>
      </c>
      <c r="Q156" s="22">
        <f t="shared" si="162"/>
        <v>4.2330868906469593E-12</v>
      </c>
      <c r="R156" s="60">
        <f t="shared" si="109"/>
        <v>287.0326454895042</v>
      </c>
      <c r="S156" s="60">
        <f ca="1">AVERAGE(OFFSET($R$3,0,0,'Données projet'!$E$9+1,1))-AVERAGE(OFFSET($H$3,0,0,'Données projet'!$E$9+1,1))</f>
        <v>277.7918215389401</v>
      </c>
      <c r="T156" s="60">
        <f t="shared" si="142"/>
        <v>164.65640238394164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-9.6633812063373625E-13</v>
      </c>
      <c r="AJ156" s="14">
        <f>AI156*VLOOKUP('Données projet'!$B$10,Paramètres!$A$1:$I$89,3,0)*VLOOKUP('Données projet'!$B$10,Paramètres!$A$1:$I$89,5,0)</f>
        <v>-8.7434273154940449E-13</v>
      </c>
      <c r="AK156" s="14" t="e">
        <f t="shared" si="164"/>
        <v>#NUM!</v>
      </c>
      <c r="AL156" s="22" t="e">
        <f t="shared" si="165"/>
        <v>#NUM!</v>
      </c>
      <c r="AM156" s="60" t="e">
        <f t="shared" si="113"/>
        <v>#NUM!</v>
      </c>
      <c r="AN156" s="60">
        <f ca="1">AVERAGE(OFFSET($AM$3,0,0,'Données projet'!$E$10+1,1))-AVERAGE(OFFSET($H$3,0,0,'Données projet'!$E$10+1,1))</f>
        <v>469.67944008675863</v>
      </c>
      <c r="AO156" s="60">
        <f t="shared" si="144"/>
        <v>266.11908070867173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0" t="e">
        <f t="shared" si="116"/>
        <v>#NUM!</v>
      </c>
      <c r="BI156" s="60">
        <f ca="1">AVERAGE(OFFSET($BH$3,0,0,'Données projet'!$E$11+1,1))-AVERAGE(OFFSET($H$3,0,0,'Données projet'!$E$11+1,1))</f>
        <v>216.36762889365235</v>
      </c>
      <c r="BJ156" s="60">
        <f t="shared" si="146"/>
        <v>333.29599352215496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1.1815680262853834</v>
      </c>
      <c r="BQ156" s="23">
        <f>EXP(-LN(2)/25)*BQ155+(1-EXP(-LN(2)/25))/(LN(2)/25)*Calculateur!BL156*Calculateur!BN156*VLOOKUP('Données projet'!$B$11,Paramètres!$A$1:$I$89,3,0)*0.475*44/12</f>
        <v>0.32204081541712798</v>
      </c>
      <c r="BR156" s="23">
        <f>EXP(-LN(2)/2)*BR155+(1-EXP(-LN(2)/2))/(LN(2)/2)*BL156*BO156*VLOOKUP('Données projet'!$B$11,Paramètres!$A$1:$I$89,3,0)*0.475*44/12</f>
        <v>8.9680114704858656E-19</v>
      </c>
      <c r="BS156" s="24">
        <f t="shared" si="169"/>
        <v>1.5036088417025113</v>
      </c>
      <c r="BT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-9.6633812063373625E-13</v>
      </c>
      <c r="BZ156" s="14">
        <f>BY156*VLOOKUP('Données projet'!$B$12,Paramètres!$A$1:$I$89,3,0)*VLOOKUP('Données projet'!$B$12,Paramètres!$A$1:$I$89,5,0)</f>
        <v>-9.3464223027694966E-13</v>
      </c>
      <c r="CA156" s="14" t="e">
        <f t="shared" si="170"/>
        <v>#NUM!</v>
      </c>
      <c r="CB156" s="22" t="e">
        <f t="shared" si="171"/>
        <v>#NUM!</v>
      </c>
      <c r="CC156" s="60" t="e">
        <f t="shared" si="119"/>
        <v>#NUM!</v>
      </c>
      <c r="CD156" s="60">
        <f ca="1">AVERAGE(OFFSET($CC$3,0,0,'Données projet'!$E$12+1,1))-AVERAGE(OFFSET($H$3,0,0,'Données projet'!$E$12+1,1))</f>
        <v>496.33873798282525</v>
      </c>
      <c r="CE156" s="60">
        <f t="shared" si="148"/>
        <v>280.25465074992246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-9.6633812063373625E-13</v>
      </c>
      <c r="CU156" s="18">
        <f>CT156*VLOOKUP('Données projet'!$B$13,Paramètres!$A$1:$I$89,3,0)*VLOOKUP('Données projet'!$B$13,Paramètres!$A$1:$I$89,5,0)</f>
        <v>-1.0401663530501537E-12</v>
      </c>
      <c r="CV156" s="14" t="e">
        <f t="shared" si="173"/>
        <v>#NUM!</v>
      </c>
      <c r="CW156" s="22" t="e">
        <f t="shared" si="174"/>
        <v>#NUM!</v>
      </c>
      <c r="CX156" s="60" t="e">
        <f t="shared" si="122"/>
        <v>#NUM!</v>
      </c>
      <c r="CY156" s="60">
        <f ca="1">AVERAGE(OFFSET($CX$3,0,0,'Données projet'!$E$13+1,1))-AVERAGE(OFFSET($H$3,0,0,'Données projet'!$E$13+1,1))</f>
        <v>542.90832990875208</v>
      </c>
      <c r="CZ156" s="60">
        <f t="shared" si="150"/>
        <v>304.94365539329362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0" t="e">
        <f t="shared" si="125"/>
        <v>#N/A</v>
      </c>
      <c r="DT156" s="60" t="e">
        <f ca="1">AVERAGE(OFFSET($DS$3,0,0,'Données projet'!$E$14+1,1))-AVERAGE(OFFSET($H$3,0,0,'Données projet'!$E$14+1,1))</f>
        <v>#N/A</v>
      </c>
      <c r="DU156" s="60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0" t="e">
        <f t="shared" si="128"/>
        <v>#N/A</v>
      </c>
      <c r="EO156" s="60" t="e">
        <f ca="1">AVERAGE(OFFSET($EN$3,0,0,'Données projet'!$E$15+1,1))-AVERAGE(OFFSET($H$3,0,0,'Données projet'!$E$15+1,1))</f>
        <v>#N/A</v>
      </c>
      <c r="EP156" s="60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0" t="e">
        <f t="shared" si="131"/>
        <v>#N/A</v>
      </c>
      <c r="FJ156" s="60" t="e">
        <f ca="1">AVERAGE(OFFSET($FI$3,0,0,'Données projet'!$E$16+1,1))-AVERAGE(OFFSET($H$3,0,0,'Données projet'!$E$16+1,1))</f>
        <v>#N/A</v>
      </c>
      <c r="FK156" s="60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0" t="e">
        <f t="shared" si="134"/>
        <v>#N/A</v>
      </c>
      <c r="GE156" s="60" t="e">
        <f ca="1">AVERAGE(OFFSET($GD$3,0,0,'Données projet'!$E$17+1,1))-AVERAGE(OFFSET($H$3,0,0,'Données projet'!$E$17+1,1))</f>
        <v>#N/A</v>
      </c>
      <c r="GF156" s="60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4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3.4106051316484809E-13</v>
      </c>
      <c r="O157" s="14">
        <f>N157*VLOOKUP('Données projet'!$B$9,Paramètres!$A$1:$I$89,3,0)*VLOOKUP('Données projet'!$B$9,Paramètres!$A$1:$I$89,5,0)</f>
        <v>1.5961632016114892E-13</v>
      </c>
      <c r="P157" s="14">
        <f t="shared" si="141"/>
        <v>2.2708641912150958E-12</v>
      </c>
      <c r="Q157" s="22">
        <f t="shared" si="162"/>
        <v>4.2330868906469593E-12</v>
      </c>
      <c r="R157" s="60">
        <f t="shared" si="109"/>
        <v>287.14194833736696</v>
      </c>
      <c r="S157" s="60">
        <f ca="1">AVERAGE(OFFSET($R$3,0,0,'Données projet'!$E$9+1,1))-AVERAGE(OFFSET($H$3,0,0,'Données projet'!$E$9+1,1))</f>
        <v>277.7918215389401</v>
      </c>
      <c r="T157" s="60">
        <f t="shared" si="142"/>
        <v>164.65640238394164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-9.6633812063373625E-13</v>
      </c>
      <c r="AJ157" s="14">
        <f>AI157*VLOOKUP('Données projet'!$B$10,Paramètres!$A$1:$I$89,3,0)*VLOOKUP('Données projet'!$B$10,Paramètres!$A$1:$I$89,5,0)</f>
        <v>-8.7434273154940449E-13</v>
      </c>
      <c r="AK157" s="14" t="e">
        <f t="shared" si="164"/>
        <v>#NUM!</v>
      </c>
      <c r="AL157" s="22" t="e">
        <f t="shared" si="165"/>
        <v>#NUM!</v>
      </c>
      <c r="AM157" s="60" t="e">
        <f t="shared" si="113"/>
        <v>#NUM!</v>
      </c>
      <c r="AN157" s="60">
        <f ca="1">AVERAGE(OFFSET($AM$3,0,0,'Données projet'!$E$10+1,1))-AVERAGE(OFFSET($H$3,0,0,'Données projet'!$E$10+1,1))</f>
        <v>469.67944008675863</v>
      </c>
      <c r="AO157" s="60">
        <f t="shared" si="144"/>
        <v>266.11908070867173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0" t="e">
        <f t="shared" si="116"/>
        <v>#NUM!</v>
      </c>
      <c r="BI157" s="60">
        <f ca="1">AVERAGE(OFFSET($BH$3,0,0,'Données projet'!$E$11+1,1))-AVERAGE(OFFSET($H$3,0,0,'Données projet'!$E$11+1,1))</f>
        <v>216.36762889365235</v>
      </c>
      <c r="BJ157" s="60">
        <f t="shared" si="146"/>
        <v>333.29599352215496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1.1583981979752613</v>
      </c>
      <c r="BQ157" s="23">
        <f>EXP(-LN(2)/25)*BQ156+(1-EXP(-LN(2)/25))/(LN(2)/25)*Calculateur!BL157*Calculateur!BN157*VLOOKUP('Données projet'!$B$11,Paramètres!$A$1:$I$89,3,0)*0.475*44/12</f>
        <v>0.31323459238415619</v>
      </c>
      <c r="BR157" s="23">
        <f>EXP(-LN(2)/2)*BR156+(1-EXP(-LN(2)/2))/(LN(2)/2)*BL157*BO157*VLOOKUP('Données projet'!$B$11,Paramètres!$A$1:$I$89,3,0)*0.475*44/12</f>
        <v>6.3413417245392974E-19</v>
      </c>
      <c r="BS157" s="24">
        <f t="shared" si="169"/>
        <v>1.4716327903594175</v>
      </c>
      <c r="BT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-9.6633812063373625E-13</v>
      </c>
      <c r="BZ157" s="14">
        <f>BY157*VLOOKUP('Données projet'!$B$12,Paramètres!$A$1:$I$89,3,0)*VLOOKUP('Données projet'!$B$12,Paramètres!$A$1:$I$89,5,0)</f>
        <v>-9.3464223027694966E-13</v>
      </c>
      <c r="CA157" s="14" t="e">
        <f t="shared" si="170"/>
        <v>#NUM!</v>
      </c>
      <c r="CB157" s="22" t="e">
        <f t="shared" si="171"/>
        <v>#NUM!</v>
      </c>
      <c r="CC157" s="60" t="e">
        <f t="shared" si="119"/>
        <v>#NUM!</v>
      </c>
      <c r="CD157" s="60">
        <f ca="1">AVERAGE(OFFSET($CC$3,0,0,'Données projet'!$E$12+1,1))-AVERAGE(OFFSET($H$3,0,0,'Données projet'!$E$12+1,1))</f>
        <v>496.33873798282525</v>
      </c>
      <c r="CE157" s="60">
        <f t="shared" si="148"/>
        <v>280.25465074992246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-9.6633812063373625E-13</v>
      </c>
      <c r="CU157" s="18">
        <f>CT157*VLOOKUP('Données projet'!$B$13,Paramètres!$A$1:$I$89,3,0)*VLOOKUP('Données projet'!$B$13,Paramètres!$A$1:$I$89,5,0)</f>
        <v>-1.0401663530501537E-12</v>
      </c>
      <c r="CV157" s="14" t="e">
        <f t="shared" si="173"/>
        <v>#NUM!</v>
      </c>
      <c r="CW157" s="22" t="e">
        <f t="shared" si="174"/>
        <v>#NUM!</v>
      </c>
      <c r="CX157" s="60" t="e">
        <f t="shared" si="122"/>
        <v>#NUM!</v>
      </c>
      <c r="CY157" s="60">
        <f ca="1">AVERAGE(OFFSET($CX$3,0,0,'Données projet'!$E$13+1,1))-AVERAGE(OFFSET($H$3,0,0,'Données projet'!$E$13+1,1))</f>
        <v>542.90832990875208</v>
      </c>
      <c r="CZ157" s="60">
        <f t="shared" si="150"/>
        <v>304.94365539329362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0" t="e">
        <f t="shared" si="125"/>
        <v>#N/A</v>
      </c>
      <c r="DT157" s="60" t="e">
        <f ca="1">AVERAGE(OFFSET($DS$3,0,0,'Données projet'!$E$14+1,1))-AVERAGE(OFFSET($H$3,0,0,'Données projet'!$E$14+1,1))</f>
        <v>#N/A</v>
      </c>
      <c r="DU157" s="60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0" t="e">
        <f t="shared" si="128"/>
        <v>#N/A</v>
      </c>
      <c r="EO157" s="60" t="e">
        <f ca="1">AVERAGE(OFFSET($EN$3,0,0,'Données projet'!$E$15+1,1))-AVERAGE(OFFSET($H$3,0,0,'Données projet'!$E$15+1,1))</f>
        <v>#N/A</v>
      </c>
      <c r="EP157" s="60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0" t="e">
        <f t="shared" si="131"/>
        <v>#N/A</v>
      </c>
      <c r="FJ157" s="60" t="e">
        <f ca="1">AVERAGE(OFFSET($FI$3,0,0,'Données projet'!$E$16+1,1))-AVERAGE(OFFSET($H$3,0,0,'Données projet'!$E$16+1,1))</f>
        <v>#N/A</v>
      </c>
      <c r="FK157" s="60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0" t="e">
        <f t="shared" si="134"/>
        <v>#N/A</v>
      </c>
      <c r="GE157" s="60" t="e">
        <f ca="1">AVERAGE(OFFSET($GD$3,0,0,'Données projet'!$E$17+1,1))-AVERAGE(OFFSET($H$3,0,0,'Données projet'!$E$17+1,1))</f>
        <v>#N/A</v>
      </c>
      <c r="GF157" s="60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4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3.4106051316484809E-13</v>
      </c>
      <c r="O158" s="14">
        <f>N158*VLOOKUP('Données projet'!$B$9,Paramètres!$A$1:$I$89,3,0)*VLOOKUP('Données projet'!$B$9,Paramètres!$A$1:$I$89,5,0)</f>
        <v>1.5961632016114892E-13</v>
      </c>
      <c r="P158" s="14">
        <f t="shared" si="141"/>
        <v>2.2708641912150958E-12</v>
      </c>
      <c r="Q158" s="22">
        <f t="shared" si="162"/>
        <v>4.2330868906469593E-12</v>
      </c>
      <c r="R158" s="60">
        <f t="shared" si="109"/>
        <v>287.24935502518389</v>
      </c>
      <c r="S158" s="60">
        <f ca="1">AVERAGE(OFFSET($R$3,0,0,'Données projet'!$E$9+1,1))-AVERAGE(OFFSET($H$3,0,0,'Données projet'!$E$9+1,1))</f>
        <v>277.7918215389401</v>
      </c>
      <c r="T158" s="60">
        <f t="shared" si="142"/>
        <v>164.65640238394164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-9.6633812063373625E-13</v>
      </c>
      <c r="AJ158" s="14">
        <f>AI158*VLOOKUP('Données projet'!$B$10,Paramètres!$A$1:$I$89,3,0)*VLOOKUP('Données projet'!$B$10,Paramètres!$A$1:$I$89,5,0)</f>
        <v>-8.7434273154940449E-13</v>
      </c>
      <c r="AK158" s="14" t="e">
        <f t="shared" si="164"/>
        <v>#NUM!</v>
      </c>
      <c r="AL158" s="22" t="e">
        <f t="shared" si="165"/>
        <v>#NUM!</v>
      </c>
      <c r="AM158" s="60" t="e">
        <f t="shared" si="113"/>
        <v>#NUM!</v>
      </c>
      <c r="AN158" s="60">
        <f ca="1">AVERAGE(OFFSET($AM$3,0,0,'Données projet'!$E$10+1,1))-AVERAGE(OFFSET($H$3,0,0,'Données projet'!$E$10+1,1))</f>
        <v>469.67944008675863</v>
      </c>
      <c r="AO158" s="60">
        <f t="shared" si="144"/>
        <v>266.11908070867173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0" t="e">
        <f t="shared" si="116"/>
        <v>#NUM!</v>
      </c>
      <c r="BI158" s="60">
        <f ca="1">AVERAGE(OFFSET($BH$3,0,0,'Données projet'!$E$11+1,1))-AVERAGE(OFFSET($H$3,0,0,'Données projet'!$E$11+1,1))</f>
        <v>216.36762889365235</v>
      </c>
      <c r="BJ158" s="60">
        <f t="shared" si="146"/>
        <v>333.29599352215496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1.1356827158661009</v>
      </c>
      <c r="BQ158" s="23">
        <f>EXP(-LN(2)/25)*BQ157+(1-EXP(-LN(2)/25))/(LN(2)/25)*Calculateur!BL158*Calculateur!BN158*VLOOKUP('Données projet'!$B$11,Paramètres!$A$1:$I$89,3,0)*0.475*44/12</f>
        <v>0.30466917598312016</v>
      </c>
      <c r="BR158" s="23">
        <f>EXP(-LN(2)/2)*BR157+(1-EXP(-LN(2)/2))/(LN(2)/2)*BL158*BO158*VLOOKUP('Données projet'!$B$11,Paramètres!$A$1:$I$89,3,0)*0.475*44/12</f>
        <v>4.4840057352429328E-19</v>
      </c>
      <c r="BS158" s="24">
        <f t="shared" si="169"/>
        <v>1.4403518918492211</v>
      </c>
      <c r="BT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-9.6633812063373625E-13</v>
      </c>
      <c r="BZ158" s="14">
        <f>BY158*VLOOKUP('Données projet'!$B$12,Paramètres!$A$1:$I$89,3,0)*VLOOKUP('Données projet'!$B$12,Paramètres!$A$1:$I$89,5,0)</f>
        <v>-9.3464223027694966E-13</v>
      </c>
      <c r="CA158" s="14" t="e">
        <f t="shared" si="170"/>
        <v>#NUM!</v>
      </c>
      <c r="CB158" s="22" t="e">
        <f t="shared" si="171"/>
        <v>#NUM!</v>
      </c>
      <c r="CC158" s="60" t="e">
        <f t="shared" si="119"/>
        <v>#NUM!</v>
      </c>
      <c r="CD158" s="60">
        <f ca="1">AVERAGE(OFFSET($CC$3,0,0,'Données projet'!$E$12+1,1))-AVERAGE(OFFSET($H$3,0,0,'Données projet'!$E$12+1,1))</f>
        <v>496.33873798282525</v>
      </c>
      <c r="CE158" s="60">
        <f t="shared" si="148"/>
        <v>280.25465074992246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-9.6633812063373625E-13</v>
      </c>
      <c r="CU158" s="18">
        <f>CT158*VLOOKUP('Données projet'!$B$13,Paramètres!$A$1:$I$89,3,0)*VLOOKUP('Données projet'!$B$13,Paramètres!$A$1:$I$89,5,0)</f>
        <v>-1.0401663530501537E-12</v>
      </c>
      <c r="CV158" s="14" t="e">
        <f t="shared" si="173"/>
        <v>#NUM!</v>
      </c>
      <c r="CW158" s="22" t="e">
        <f t="shared" si="174"/>
        <v>#NUM!</v>
      </c>
      <c r="CX158" s="60" t="e">
        <f t="shared" si="122"/>
        <v>#NUM!</v>
      </c>
      <c r="CY158" s="60">
        <f ca="1">AVERAGE(OFFSET($CX$3,0,0,'Données projet'!$E$13+1,1))-AVERAGE(OFFSET($H$3,0,0,'Données projet'!$E$13+1,1))</f>
        <v>542.90832990875208</v>
      </c>
      <c r="CZ158" s="60">
        <f t="shared" si="150"/>
        <v>304.94365539329362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0" t="e">
        <f t="shared" si="125"/>
        <v>#N/A</v>
      </c>
      <c r="DT158" s="60" t="e">
        <f ca="1">AVERAGE(OFFSET($DS$3,0,0,'Données projet'!$E$14+1,1))-AVERAGE(OFFSET($H$3,0,0,'Données projet'!$E$14+1,1))</f>
        <v>#N/A</v>
      </c>
      <c r="DU158" s="60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0" t="e">
        <f t="shared" si="128"/>
        <v>#N/A</v>
      </c>
      <c r="EO158" s="60" t="e">
        <f ca="1">AVERAGE(OFFSET($EN$3,0,0,'Données projet'!$E$15+1,1))-AVERAGE(OFFSET($H$3,0,0,'Données projet'!$E$15+1,1))</f>
        <v>#N/A</v>
      </c>
      <c r="EP158" s="60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0" t="e">
        <f t="shared" si="131"/>
        <v>#N/A</v>
      </c>
      <c r="FJ158" s="60" t="e">
        <f ca="1">AVERAGE(OFFSET($FI$3,0,0,'Données projet'!$E$16+1,1))-AVERAGE(OFFSET($H$3,0,0,'Données projet'!$E$16+1,1))</f>
        <v>#N/A</v>
      </c>
      <c r="FK158" s="60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0" t="e">
        <f t="shared" si="134"/>
        <v>#N/A</v>
      </c>
      <c r="GE158" s="60" t="e">
        <f ca="1">AVERAGE(OFFSET($GD$3,0,0,'Données projet'!$E$17+1,1))-AVERAGE(OFFSET($H$3,0,0,'Données projet'!$E$17+1,1))</f>
        <v>#N/A</v>
      </c>
      <c r="GF158" s="60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4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3.4106051316484809E-13</v>
      </c>
      <c r="O159" s="14">
        <f>N159*VLOOKUP('Données projet'!$B$9,Paramètres!$A$1:$I$89,3,0)*VLOOKUP('Données projet'!$B$9,Paramètres!$A$1:$I$89,5,0)</f>
        <v>1.5961632016114892E-13</v>
      </c>
      <c r="P159" s="14">
        <f t="shared" si="141"/>
        <v>2.2708641912150958E-12</v>
      </c>
      <c r="Q159" s="22">
        <f t="shared" si="162"/>
        <v>4.2330868906469593E-12</v>
      </c>
      <c r="R159" s="60">
        <f t="shared" si="109"/>
        <v>287.35489844709252</v>
      </c>
      <c r="S159" s="60">
        <f ca="1">AVERAGE(OFFSET($R$3,0,0,'Données projet'!$E$9+1,1))-AVERAGE(OFFSET($H$3,0,0,'Données projet'!$E$9+1,1))</f>
        <v>277.7918215389401</v>
      </c>
      <c r="T159" s="60">
        <f t="shared" si="142"/>
        <v>164.65640238394164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-9.6633812063373625E-13</v>
      </c>
      <c r="AJ159" s="14">
        <f>AI159*VLOOKUP('Données projet'!$B$10,Paramètres!$A$1:$I$89,3,0)*VLOOKUP('Données projet'!$B$10,Paramètres!$A$1:$I$89,5,0)</f>
        <v>-8.7434273154940449E-13</v>
      </c>
      <c r="AK159" s="14" t="e">
        <f t="shared" si="164"/>
        <v>#NUM!</v>
      </c>
      <c r="AL159" s="22" t="e">
        <f t="shared" si="165"/>
        <v>#NUM!</v>
      </c>
      <c r="AM159" s="60" t="e">
        <f t="shared" si="113"/>
        <v>#NUM!</v>
      </c>
      <c r="AN159" s="60">
        <f ca="1">AVERAGE(OFFSET($AM$3,0,0,'Données projet'!$E$10+1,1))-AVERAGE(OFFSET($H$3,0,0,'Données projet'!$E$10+1,1))</f>
        <v>469.67944008675863</v>
      </c>
      <c r="AO159" s="60">
        <f t="shared" si="144"/>
        <v>266.11908070867173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0" t="e">
        <f t="shared" si="116"/>
        <v>#NUM!</v>
      </c>
      <c r="BI159" s="60">
        <f ca="1">AVERAGE(OFFSET($BH$3,0,0,'Données projet'!$E$11+1,1))-AVERAGE(OFFSET($H$3,0,0,'Données projet'!$E$11+1,1))</f>
        <v>216.36762889365235</v>
      </c>
      <c r="BJ159" s="60">
        <f t="shared" si="146"/>
        <v>333.29599352215496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1.1134126705060252</v>
      </c>
      <c r="BQ159" s="23">
        <f>EXP(-LN(2)/25)*BQ158+(1-EXP(-LN(2)/25))/(LN(2)/25)*Calculateur!BL159*Calculateur!BN159*VLOOKUP('Données projet'!$B$11,Paramètres!$A$1:$I$89,3,0)*0.475*44/12</f>
        <v>0.29633798134400607</v>
      </c>
      <c r="BR159" s="23">
        <f>EXP(-LN(2)/2)*BR158+(1-EXP(-LN(2)/2))/(LN(2)/2)*BL159*BO159*VLOOKUP('Données projet'!$B$11,Paramètres!$A$1:$I$89,3,0)*0.475*44/12</f>
        <v>3.1706708622696487E-19</v>
      </c>
      <c r="BS159" s="24">
        <f t="shared" si="169"/>
        <v>1.4097506518500313</v>
      </c>
      <c r="BT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-9.6633812063373625E-13</v>
      </c>
      <c r="BZ159" s="14">
        <f>BY159*VLOOKUP('Données projet'!$B$12,Paramètres!$A$1:$I$89,3,0)*VLOOKUP('Données projet'!$B$12,Paramètres!$A$1:$I$89,5,0)</f>
        <v>-9.3464223027694966E-13</v>
      </c>
      <c r="CA159" s="14" t="e">
        <f t="shared" si="170"/>
        <v>#NUM!</v>
      </c>
      <c r="CB159" s="22" t="e">
        <f t="shared" si="171"/>
        <v>#NUM!</v>
      </c>
      <c r="CC159" s="60" t="e">
        <f t="shared" si="119"/>
        <v>#NUM!</v>
      </c>
      <c r="CD159" s="60">
        <f ca="1">AVERAGE(OFFSET($CC$3,0,0,'Données projet'!$E$12+1,1))-AVERAGE(OFFSET($H$3,0,0,'Données projet'!$E$12+1,1))</f>
        <v>496.33873798282525</v>
      </c>
      <c r="CE159" s="60">
        <f t="shared" si="148"/>
        <v>280.25465074992246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-9.6633812063373625E-13</v>
      </c>
      <c r="CU159" s="18">
        <f>CT159*VLOOKUP('Données projet'!$B$13,Paramètres!$A$1:$I$89,3,0)*VLOOKUP('Données projet'!$B$13,Paramètres!$A$1:$I$89,5,0)</f>
        <v>-1.0401663530501537E-12</v>
      </c>
      <c r="CV159" s="14" t="e">
        <f t="shared" si="173"/>
        <v>#NUM!</v>
      </c>
      <c r="CW159" s="22" t="e">
        <f t="shared" si="174"/>
        <v>#NUM!</v>
      </c>
      <c r="CX159" s="60" t="e">
        <f t="shared" si="122"/>
        <v>#NUM!</v>
      </c>
      <c r="CY159" s="60">
        <f ca="1">AVERAGE(OFFSET($CX$3,0,0,'Données projet'!$E$13+1,1))-AVERAGE(OFFSET($H$3,0,0,'Données projet'!$E$13+1,1))</f>
        <v>542.90832990875208</v>
      </c>
      <c r="CZ159" s="60">
        <f t="shared" si="150"/>
        <v>304.94365539329362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0" t="e">
        <f t="shared" si="125"/>
        <v>#N/A</v>
      </c>
      <c r="DT159" s="60" t="e">
        <f ca="1">AVERAGE(OFFSET($DS$3,0,0,'Données projet'!$E$14+1,1))-AVERAGE(OFFSET($H$3,0,0,'Données projet'!$E$14+1,1))</f>
        <v>#N/A</v>
      </c>
      <c r="DU159" s="60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0" t="e">
        <f t="shared" si="128"/>
        <v>#N/A</v>
      </c>
      <c r="EO159" s="60" t="e">
        <f ca="1">AVERAGE(OFFSET($EN$3,0,0,'Données projet'!$E$15+1,1))-AVERAGE(OFFSET($H$3,0,0,'Données projet'!$E$15+1,1))</f>
        <v>#N/A</v>
      </c>
      <c r="EP159" s="60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0" t="e">
        <f t="shared" si="131"/>
        <v>#N/A</v>
      </c>
      <c r="FJ159" s="60" t="e">
        <f ca="1">AVERAGE(OFFSET($FI$3,0,0,'Données projet'!$E$16+1,1))-AVERAGE(OFFSET($H$3,0,0,'Données projet'!$E$16+1,1))</f>
        <v>#N/A</v>
      </c>
      <c r="FK159" s="60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0" t="e">
        <f t="shared" si="134"/>
        <v>#N/A</v>
      </c>
      <c r="GE159" s="60" t="e">
        <f ca="1">AVERAGE(OFFSET($GD$3,0,0,'Données projet'!$E$17+1,1))-AVERAGE(OFFSET($H$3,0,0,'Données projet'!$E$17+1,1))</f>
        <v>#N/A</v>
      </c>
      <c r="GF159" s="60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4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3.4106051316484809E-13</v>
      </c>
      <c r="O160" s="14">
        <f>N160*VLOOKUP('Données projet'!$B$9,Paramètres!$A$1:$I$89,3,0)*VLOOKUP('Données projet'!$B$9,Paramètres!$A$1:$I$89,5,0)</f>
        <v>1.5961632016114892E-13</v>
      </c>
      <c r="P160" s="14">
        <f t="shared" si="141"/>
        <v>2.2708641912150958E-12</v>
      </c>
      <c r="Q160" s="22">
        <f t="shared" si="162"/>
        <v>4.2330868906469593E-12</v>
      </c>
      <c r="R160" s="60">
        <f t="shared" si="109"/>
        <v>287.45861092659078</v>
      </c>
      <c r="S160" s="60">
        <f ca="1">AVERAGE(OFFSET($R$3,0,0,'Données projet'!$E$9+1,1))-AVERAGE(OFFSET($H$3,0,0,'Données projet'!$E$9+1,1))</f>
        <v>277.7918215389401</v>
      </c>
      <c r="T160" s="60">
        <f t="shared" si="142"/>
        <v>164.65640238394164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-9.6633812063373625E-13</v>
      </c>
      <c r="AJ160" s="14">
        <f>AI160*VLOOKUP('Données projet'!$B$10,Paramètres!$A$1:$I$89,3,0)*VLOOKUP('Données projet'!$B$10,Paramètres!$A$1:$I$89,5,0)</f>
        <v>-8.7434273154940449E-13</v>
      </c>
      <c r="AK160" s="14" t="e">
        <f t="shared" si="164"/>
        <v>#NUM!</v>
      </c>
      <c r="AL160" s="22" t="e">
        <f t="shared" si="165"/>
        <v>#NUM!</v>
      </c>
      <c r="AM160" s="60" t="e">
        <f t="shared" si="113"/>
        <v>#NUM!</v>
      </c>
      <c r="AN160" s="60">
        <f ca="1">AVERAGE(OFFSET($AM$3,0,0,'Données projet'!$E$10+1,1))-AVERAGE(OFFSET($H$3,0,0,'Données projet'!$E$10+1,1))</f>
        <v>469.67944008675863</v>
      </c>
      <c r="AO160" s="60">
        <f t="shared" si="144"/>
        <v>266.11908070867173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0" t="e">
        <f t="shared" si="116"/>
        <v>#NUM!</v>
      </c>
      <c r="BI160" s="60">
        <f ca="1">AVERAGE(OFFSET($BH$3,0,0,'Données projet'!$E$11+1,1))-AVERAGE(OFFSET($H$3,0,0,'Données projet'!$E$11+1,1))</f>
        <v>216.36762889365235</v>
      </c>
      <c r="BJ160" s="60">
        <f t="shared" si="146"/>
        <v>333.29599352215496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1.0915793271520742</v>
      </c>
      <c r="BQ160" s="23">
        <f>EXP(-LN(2)/25)*BQ159+(1-EXP(-LN(2)/25))/(LN(2)/25)*Calculateur!BL160*Calculateur!BN160*VLOOKUP('Données projet'!$B$11,Paramètres!$A$1:$I$89,3,0)*0.475*44/12</f>
        <v>0.28823460366041709</v>
      </c>
      <c r="BR160" s="23">
        <f>EXP(-LN(2)/2)*BR159+(1-EXP(-LN(2)/2))/(LN(2)/2)*BL160*BO160*VLOOKUP('Données projet'!$B$11,Paramètres!$A$1:$I$89,3,0)*0.475*44/12</f>
        <v>2.2420028676214664E-19</v>
      </c>
      <c r="BS160" s="24">
        <f t="shared" si="169"/>
        <v>1.3798139308124913</v>
      </c>
      <c r="BT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-9.6633812063373625E-13</v>
      </c>
      <c r="BZ160" s="14">
        <f>BY160*VLOOKUP('Données projet'!$B$12,Paramètres!$A$1:$I$89,3,0)*VLOOKUP('Données projet'!$B$12,Paramètres!$A$1:$I$89,5,0)</f>
        <v>-9.3464223027694966E-13</v>
      </c>
      <c r="CA160" s="14" t="e">
        <f t="shared" si="170"/>
        <v>#NUM!</v>
      </c>
      <c r="CB160" s="22" t="e">
        <f t="shared" si="171"/>
        <v>#NUM!</v>
      </c>
      <c r="CC160" s="60" t="e">
        <f t="shared" si="119"/>
        <v>#NUM!</v>
      </c>
      <c r="CD160" s="60">
        <f ca="1">AVERAGE(OFFSET($CC$3,0,0,'Données projet'!$E$12+1,1))-AVERAGE(OFFSET($H$3,0,0,'Données projet'!$E$12+1,1))</f>
        <v>496.33873798282525</v>
      </c>
      <c r="CE160" s="60">
        <f t="shared" si="148"/>
        <v>280.25465074992246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-9.6633812063373625E-13</v>
      </c>
      <c r="CU160" s="18">
        <f>CT160*VLOOKUP('Données projet'!$B$13,Paramètres!$A$1:$I$89,3,0)*VLOOKUP('Données projet'!$B$13,Paramètres!$A$1:$I$89,5,0)</f>
        <v>-1.0401663530501537E-12</v>
      </c>
      <c r="CV160" s="14" t="e">
        <f t="shared" si="173"/>
        <v>#NUM!</v>
      </c>
      <c r="CW160" s="22" t="e">
        <f t="shared" si="174"/>
        <v>#NUM!</v>
      </c>
      <c r="CX160" s="60" t="e">
        <f t="shared" si="122"/>
        <v>#NUM!</v>
      </c>
      <c r="CY160" s="60">
        <f ca="1">AVERAGE(OFFSET($CX$3,0,0,'Données projet'!$E$13+1,1))-AVERAGE(OFFSET($H$3,0,0,'Données projet'!$E$13+1,1))</f>
        <v>542.90832990875208</v>
      </c>
      <c r="CZ160" s="60">
        <f t="shared" si="150"/>
        <v>304.94365539329362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0" t="e">
        <f t="shared" si="125"/>
        <v>#N/A</v>
      </c>
      <c r="DT160" s="60" t="e">
        <f ca="1">AVERAGE(OFFSET($DS$3,0,0,'Données projet'!$E$14+1,1))-AVERAGE(OFFSET($H$3,0,0,'Données projet'!$E$14+1,1))</f>
        <v>#N/A</v>
      </c>
      <c r="DU160" s="60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0" t="e">
        <f t="shared" si="128"/>
        <v>#N/A</v>
      </c>
      <c r="EO160" s="60" t="e">
        <f ca="1">AVERAGE(OFFSET($EN$3,0,0,'Données projet'!$E$15+1,1))-AVERAGE(OFFSET($H$3,0,0,'Données projet'!$E$15+1,1))</f>
        <v>#N/A</v>
      </c>
      <c r="EP160" s="60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0" t="e">
        <f t="shared" si="131"/>
        <v>#N/A</v>
      </c>
      <c r="FJ160" s="60" t="e">
        <f ca="1">AVERAGE(OFFSET($FI$3,0,0,'Données projet'!$E$16+1,1))-AVERAGE(OFFSET($H$3,0,0,'Données projet'!$E$16+1,1))</f>
        <v>#N/A</v>
      </c>
      <c r="FK160" s="60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0" t="e">
        <f t="shared" si="134"/>
        <v>#N/A</v>
      </c>
      <c r="GE160" s="60" t="e">
        <f ca="1">AVERAGE(OFFSET($GD$3,0,0,'Données projet'!$E$17+1,1))-AVERAGE(OFFSET($H$3,0,0,'Données projet'!$E$17+1,1))</f>
        <v>#N/A</v>
      </c>
      <c r="GF160" s="60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4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3.4106051316484809E-13</v>
      </c>
      <c r="O161" s="14">
        <f>N161*VLOOKUP('Données projet'!$B$9,Paramètres!$A$1:$I$89,3,0)*VLOOKUP('Données projet'!$B$9,Paramètres!$A$1:$I$89,5,0)</f>
        <v>1.5961632016114892E-13</v>
      </c>
      <c r="P161" s="14">
        <f t="shared" si="141"/>
        <v>2.2708641912150958E-12</v>
      </c>
      <c r="Q161" s="22">
        <f t="shared" si="162"/>
        <v>4.2330868906469593E-12</v>
      </c>
      <c r="R161" s="60">
        <f t="shared" si="109"/>
        <v>287.5605242264362</v>
      </c>
      <c r="S161" s="60">
        <f ca="1">AVERAGE(OFFSET($R$3,0,0,'Données projet'!$E$9+1,1))-AVERAGE(OFFSET($H$3,0,0,'Données projet'!$E$9+1,1))</f>
        <v>277.7918215389401</v>
      </c>
      <c r="T161" s="60">
        <f t="shared" si="142"/>
        <v>164.65640238394164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-9.6633812063373625E-13</v>
      </c>
      <c r="AJ161" s="14">
        <f>AI161*VLOOKUP('Données projet'!$B$10,Paramètres!$A$1:$I$89,3,0)*VLOOKUP('Données projet'!$B$10,Paramètres!$A$1:$I$89,5,0)</f>
        <v>-8.7434273154940449E-13</v>
      </c>
      <c r="AK161" s="14" t="e">
        <f t="shared" si="164"/>
        <v>#NUM!</v>
      </c>
      <c r="AL161" s="22" t="e">
        <f t="shared" si="165"/>
        <v>#NUM!</v>
      </c>
      <c r="AM161" s="60" t="e">
        <f t="shared" si="113"/>
        <v>#NUM!</v>
      </c>
      <c r="AN161" s="60">
        <f ca="1">AVERAGE(OFFSET($AM$3,0,0,'Données projet'!$E$10+1,1))-AVERAGE(OFFSET($H$3,0,0,'Données projet'!$E$10+1,1))</f>
        <v>469.67944008675863</v>
      </c>
      <c r="AO161" s="60">
        <f t="shared" si="144"/>
        <v>266.11908070867173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0" t="e">
        <f t="shared" si="116"/>
        <v>#NUM!</v>
      </c>
      <c r="BI161" s="60">
        <f ca="1">AVERAGE(OFFSET($BH$3,0,0,'Données projet'!$E$11+1,1))-AVERAGE(OFFSET($H$3,0,0,'Données projet'!$E$11+1,1))</f>
        <v>216.36762889365235</v>
      </c>
      <c r="BJ161" s="60">
        <f t="shared" si="146"/>
        <v>333.29599352215496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1.0701741223442696</v>
      </c>
      <c r="BQ161" s="23">
        <f>EXP(-LN(2)/25)*BQ160+(1-EXP(-LN(2)/25))/(LN(2)/25)*Calculateur!BL161*Calculateur!BN161*VLOOKUP('Données projet'!$B$11,Paramètres!$A$1:$I$89,3,0)*0.475*44/12</f>
        <v>0.28035281326572392</v>
      </c>
      <c r="BR161" s="23">
        <f>EXP(-LN(2)/2)*BR160+(1-EXP(-LN(2)/2))/(LN(2)/2)*BL161*BO161*VLOOKUP('Données projet'!$B$11,Paramètres!$A$1:$I$89,3,0)*0.475*44/12</f>
        <v>1.5853354311348243E-19</v>
      </c>
      <c r="BS161" s="24">
        <f t="shared" si="169"/>
        <v>1.3505269356099934</v>
      </c>
      <c r="BT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-9.6633812063373625E-13</v>
      </c>
      <c r="BZ161" s="14">
        <f>BY161*VLOOKUP('Données projet'!$B$12,Paramètres!$A$1:$I$89,3,0)*VLOOKUP('Données projet'!$B$12,Paramètres!$A$1:$I$89,5,0)</f>
        <v>-9.3464223027694966E-13</v>
      </c>
      <c r="CA161" s="14" t="e">
        <f t="shared" si="170"/>
        <v>#NUM!</v>
      </c>
      <c r="CB161" s="22" t="e">
        <f t="shared" si="171"/>
        <v>#NUM!</v>
      </c>
      <c r="CC161" s="60" t="e">
        <f t="shared" si="119"/>
        <v>#NUM!</v>
      </c>
      <c r="CD161" s="60">
        <f ca="1">AVERAGE(OFFSET($CC$3,0,0,'Données projet'!$E$12+1,1))-AVERAGE(OFFSET($H$3,0,0,'Données projet'!$E$12+1,1))</f>
        <v>496.33873798282525</v>
      </c>
      <c r="CE161" s="60">
        <f t="shared" si="148"/>
        <v>280.25465074992246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-9.6633812063373625E-13</v>
      </c>
      <c r="CU161" s="18">
        <f>CT161*VLOOKUP('Données projet'!$B$13,Paramètres!$A$1:$I$89,3,0)*VLOOKUP('Données projet'!$B$13,Paramètres!$A$1:$I$89,5,0)</f>
        <v>-1.0401663530501537E-12</v>
      </c>
      <c r="CV161" s="14" t="e">
        <f t="shared" si="173"/>
        <v>#NUM!</v>
      </c>
      <c r="CW161" s="22" t="e">
        <f t="shared" si="174"/>
        <v>#NUM!</v>
      </c>
      <c r="CX161" s="60" t="e">
        <f t="shared" si="122"/>
        <v>#NUM!</v>
      </c>
      <c r="CY161" s="60">
        <f ca="1">AVERAGE(OFFSET($CX$3,0,0,'Données projet'!$E$13+1,1))-AVERAGE(OFFSET($H$3,0,0,'Données projet'!$E$13+1,1))</f>
        <v>542.90832990875208</v>
      </c>
      <c r="CZ161" s="60">
        <f t="shared" si="150"/>
        <v>304.94365539329362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0" t="e">
        <f t="shared" si="125"/>
        <v>#N/A</v>
      </c>
      <c r="DT161" s="60" t="e">
        <f ca="1">AVERAGE(OFFSET($DS$3,0,0,'Données projet'!$E$14+1,1))-AVERAGE(OFFSET($H$3,0,0,'Données projet'!$E$14+1,1))</f>
        <v>#N/A</v>
      </c>
      <c r="DU161" s="60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0" t="e">
        <f t="shared" si="128"/>
        <v>#N/A</v>
      </c>
      <c r="EO161" s="60" t="e">
        <f ca="1">AVERAGE(OFFSET($EN$3,0,0,'Données projet'!$E$15+1,1))-AVERAGE(OFFSET($H$3,0,0,'Données projet'!$E$15+1,1))</f>
        <v>#N/A</v>
      </c>
      <c r="EP161" s="60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0" t="e">
        <f t="shared" si="131"/>
        <v>#N/A</v>
      </c>
      <c r="FJ161" s="60" t="e">
        <f ca="1">AVERAGE(OFFSET($FI$3,0,0,'Données projet'!$E$16+1,1))-AVERAGE(OFFSET($H$3,0,0,'Données projet'!$E$16+1,1))</f>
        <v>#N/A</v>
      </c>
      <c r="FK161" s="60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0" t="e">
        <f t="shared" si="134"/>
        <v>#N/A</v>
      </c>
      <c r="GE161" s="60" t="e">
        <f ca="1">AVERAGE(OFFSET($GD$3,0,0,'Données projet'!$E$17+1,1))-AVERAGE(OFFSET($H$3,0,0,'Données projet'!$E$17+1,1))</f>
        <v>#N/A</v>
      </c>
      <c r="GF161" s="60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4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3.4106051316484809E-13</v>
      </c>
      <c r="O162" s="14">
        <f>N162*VLOOKUP('Données projet'!$B$9,Paramètres!$A$1:$I$89,3,0)*VLOOKUP('Données projet'!$B$9,Paramètres!$A$1:$I$89,5,0)</f>
        <v>1.5961632016114892E-13</v>
      </c>
      <c r="P162" s="14">
        <f t="shared" si="141"/>
        <v>2.2708641912150958E-12</v>
      </c>
      <c r="Q162" s="22">
        <f t="shared" si="162"/>
        <v>4.2330868906469593E-12</v>
      </c>
      <c r="R162" s="60">
        <f t="shared" si="109"/>
        <v>287.66066955837317</v>
      </c>
      <c r="S162" s="60">
        <f ca="1">AVERAGE(OFFSET($R$3,0,0,'Données projet'!$E$9+1,1))-AVERAGE(OFFSET($H$3,0,0,'Données projet'!$E$9+1,1))</f>
        <v>277.7918215389401</v>
      </c>
      <c r="T162" s="60">
        <f t="shared" si="142"/>
        <v>164.65640238394164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-9.6633812063373625E-13</v>
      </c>
      <c r="AJ162" s="14">
        <f>AI162*VLOOKUP('Données projet'!$B$10,Paramètres!$A$1:$I$89,3,0)*VLOOKUP('Données projet'!$B$10,Paramètres!$A$1:$I$89,5,0)</f>
        <v>-8.7434273154940449E-13</v>
      </c>
      <c r="AK162" s="14" t="e">
        <f t="shared" si="164"/>
        <v>#NUM!</v>
      </c>
      <c r="AL162" s="22" t="e">
        <f t="shared" si="165"/>
        <v>#NUM!</v>
      </c>
      <c r="AM162" s="60" t="e">
        <f t="shared" si="113"/>
        <v>#NUM!</v>
      </c>
      <c r="AN162" s="60">
        <f ca="1">AVERAGE(OFFSET($AM$3,0,0,'Données projet'!$E$10+1,1))-AVERAGE(OFFSET($H$3,0,0,'Données projet'!$E$10+1,1))</f>
        <v>469.67944008675863</v>
      </c>
      <c r="AO162" s="60">
        <f t="shared" si="144"/>
        <v>266.11908070867173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0" t="e">
        <f t="shared" si="116"/>
        <v>#NUM!</v>
      </c>
      <c r="BI162" s="60">
        <f ca="1">AVERAGE(OFFSET($BH$3,0,0,'Données projet'!$E$11+1,1))-AVERAGE(OFFSET($H$3,0,0,'Données projet'!$E$11+1,1))</f>
        <v>216.36762889365235</v>
      </c>
      <c r="BJ162" s="60">
        <f t="shared" si="146"/>
        <v>333.29599352215496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1.0491886605468601</v>
      </c>
      <c r="BQ162" s="23">
        <f>EXP(-LN(2)/25)*BQ161+(1-EXP(-LN(2)/25))/(LN(2)/25)*Calculateur!BL162*Calculateur!BN162*VLOOKUP('Données projet'!$B$11,Paramètres!$A$1:$I$89,3,0)*0.475*44/12</f>
        <v>0.27268655084385901</v>
      </c>
      <c r="BR162" s="23">
        <f>EXP(-LN(2)/2)*BR161+(1-EXP(-LN(2)/2))/(LN(2)/2)*BL162*BO162*VLOOKUP('Données projet'!$B$11,Paramètres!$A$1:$I$89,3,0)*0.475*44/12</f>
        <v>1.1210014338107332E-19</v>
      </c>
      <c r="BS162" s="24">
        <f t="shared" si="169"/>
        <v>1.3218752113907191</v>
      </c>
      <c r="BT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-9.6633812063373625E-13</v>
      </c>
      <c r="BZ162" s="14">
        <f>BY162*VLOOKUP('Données projet'!$B$12,Paramètres!$A$1:$I$89,3,0)*VLOOKUP('Données projet'!$B$12,Paramètres!$A$1:$I$89,5,0)</f>
        <v>-9.3464223027694966E-13</v>
      </c>
      <c r="CA162" s="14" t="e">
        <f t="shared" si="170"/>
        <v>#NUM!</v>
      </c>
      <c r="CB162" s="22" t="e">
        <f t="shared" si="171"/>
        <v>#NUM!</v>
      </c>
      <c r="CC162" s="60" t="e">
        <f t="shared" si="119"/>
        <v>#NUM!</v>
      </c>
      <c r="CD162" s="60">
        <f ca="1">AVERAGE(OFFSET($CC$3,0,0,'Données projet'!$E$12+1,1))-AVERAGE(OFFSET($H$3,0,0,'Données projet'!$E$12+1,1))</f>
        <v>496.33873798282525</v>
      </c>
      <c r="CE162" s="60">
        <f t="shared" si="148"/>
        <v>280.25465074992246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-9.6633812063373625E-13</v>
      </c>
      <c r="CU162" s="18">
        <f>CT162*VLOOKUP('Données projet'!$B$13,Paramètres!$A$1:$I$89,3,0)*VLOOKUP('Données projet'!$B$13,Paramètres!$A$1:$I$89,5,0)</f>
        <v>-1.0401663530501537E-12</v>
      </c>
      <c r="CV162" s="14" t="e">
        <f t="shared" si="173"/>
        <v>#NUM!</v>
      </c>
      <c r="CW162" s="22" t="e">
        <f t="shared" si="174"/>
        <v>#NUM!</v>
      </c>
      <c r="CX162" s="60" t="e">
        <f t="shared" si="122"/>
        <v>#NUM!</v>
      </c>
      <c r="CY162" s="60">
        <f ca="1">AVERAGE(OFFSET($CX$3,0,0,'Données projet'!$E$13+1,1))-AVERAGE(OFFSET($H$3,0,0,'Données projet'!$E$13+1,1))</f>
        <v>542.90832990875208</v>
      </c>
      <c r="CZ162" s="60">
        <f t="shared" si="150"/>
        <v>304.94365539329362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0" t="e">
        <f t="shared" si="125"/>
        <v>#N/A</v>
      </c>
      <c r="DT162" s="60" t="e">
        <f ca="1">AVERAGE(OFFSET($DS$3,0,0,'Données projet'!$E$14+1,1))-AVERAGE(OFFSET($H$3,0,0,'Données projet'!$E$14+1,1))</f>
        <v>#N/A</v>
      </c>
      <c r="DU162" s="60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0" t="e">
        <f t="shared" si="128"/>
        <v>#N/A</v>
      </c>
      <c r="EO162" s="60" t="e">
        <f ca="1">AVERAGE(OFFSET($EN$3,0,0,'Données projet'!$E$15+1,1))-AVERAGE(OFFSET($H$3,0,0,'Données projet'!$E$15+1,1))</f>
        <v>#N/A</v>
      </c>
      <c r="EP162" s="60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0" t="e">
        <f t="shared" si="131"/>
        <v>#N/A</v>
      </c>
      <c r="FJ162" s="60" t="e">
        <f ca="1">AVERAGE(OFFSET($FI$3,0,0,'Données projet'!$E$16+1,1))-AVERAGE(OFFSET($H$3,0,0,'Données projet'!$E$16+1,1))</f>
        <v>#N/A</v>
      </c>
      <c r="FK162" s="60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0" t="e">
        <f t="shared" si="134"/>
        <v>#N/A</v>
      </c>
      <c r="GE162" s="60" t="e">
        <f ca="1">AVERAGE(OFFSET($GD$3,0,0,'Données projet'!$E$17+1,1))-AVERAGE(OFFSET($H$3,0,0,'Données projet'!$E$17+1,1))</f>
        <v>#N/A</v>
      </c>
      <c r="GF162" s="60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4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3.4106051316484809E-13</v>
      </c>
      <c r="O163" s="14">
        <f>N163*VLOOKUP('Données projet'!$B$9,Paramètres!$A$1:$I$89,3,0)*VLOOKUP('Données projet'!$B$9,Paramètres!$A$1:$I$89,5,0)</f>
        <v>1.5961632016114892E-13</v>
      </c>
      <c r="P163" s="14">
        <f t="shared" si="141"/>
        <v>2.2708641912150958E-12</v>
      </c>
      <c r="Q163" s="22">
        <f t="shared" si="162"/>
        <v>4.2330868906469593E-12</v>
      </c>
      <c r="R163" s="60">
        <f t="shared" si="109"/>
        <v>287.75907759269256</v>
      </c>
      <c r="S163" s="60">
        <f ca="1">AVERAGE(OFFSET($R$3,0,0,'Données projet'!$E$9+1,1))-AVERAGE(OFFSET($H$3,0,0,'Données projet'!$E$9+1,1))</f>
        <v>277.7918215389401</v>
      </c>
      <c r="T163" s="60">
        <f t="shared" si="142"/>
        <v>164.65640238394164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-9.6633812063373625E-13</v>
      </c>
      <c r="AJ163" s="14">
        <f>AI163*VLOOKUP('Données projet'!$B$10,Paramètres!$A$1:$I$89,3,0)*VLOOKUP('Données projet'!$B$10,Paramètres!$A$1:$I$89,5,0)</f>
        <v>-8.7434273154940449E-13</v>
      </c>
      <c r="AK163" s="14" t="e">
        <f t="shared" si="164"/>
        <v>#NUM!</v>
      </c>
      <c r="AL163" s="22" t="e">
        <f t="shared" si="165"/>
        <v>#NUM!</v>
      </c>
      <c r="AM163" s="60" t="e">
        <f t="shared" si="113"/>
        <v>#NUM!</v>
      </c>
      <c r="AN163" s="60">
        <f ca="1">AVERAGE(OFFSET($AM$3,0,0,'Données projet'!$E$10+1,1))-AVERAGE(OFFSET($H$3,0,0,'Données projet'!$E$10+1,1))</f>
        <v>469.67944008675863</v>
      </c>
      <c r="AO163" s="60">
        <f t="shared" si="144"/>
        <v>266.11908070867173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0" t="e">
        <f t="shared" si="116"/>
        <v>#NUM!</v>
      </c>
      <c r="BI163" s="60">
        <f ca="1">AVERAGE(OFFSET($BH$3,0,0,'Données projet'!$E$11+1,1))-AVERAGE(OFFSET($H$3,0,0,'Données projet'!$E$11+1,1))</f>
        <v>216.36762889365235</v>
      </c>
      <c r="BJ163" s="60">
        <f t="shared" si="146"/>
        <v>333.29599352215496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1.02861471085543</v>
      </c>
      <c r="BQ163" s="23">
        <f>EXP(-LN(2)/25)*BQ162+(1-EXP(-LN(2)/25))/(LN(2)/25)*Calculateur!BL163*Calculateur!BN163*VLOOKUP('Données projet'!$B$11,Paramètres!$A$1:$I$89,3,0)*0.475*44/12</f>
        <v>0.26522992277107121</v>
      </c>
      <c r="BR163" s="23">
        <f>EXP(-LN(2)/2)*BR162+(1-EXP(-LN(2)/2))/(LN(2)/2)*BL163*BO163*VLOOKUP('Données projet'!$B$11,Paramètres!$A$1:$I$89,3,0)*0.475*44/12</f>
        <v>7.9266771556741217E-20</v>
      </c>
      <c r="BS163" s="24">
        <f t="shared" si="169"/>
        <v>1.2938446336265013</v>
      </c>
      <c r="BT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-9.6633812063373625E-13</v>
      </c>
      <c r="BZ163" s="14">
        <f>BY163*VLOOKUP('Données projet'!$B$12,Paramètres!$A$1:$I$89,3,0)*VLOOKUP('Données projet'!$B$12,Paramètres!$A$1:$I$89,5,0)</f>
        <v>-9.3464223027694966E-13</v>
      </c>
      <c r="CA163" s="14" t="e">
        <f t="shared" si="170"/>
        <v>#NUM!</v>
      </c>
      <c r="CB163" s="22" t="e">
        <f t="shared" si="171"/>
        <v>#NUM!</v>
      </c>
      <c r="CC163" s="60" t="e">
        <f t="shared" si="119"/>
        <v>#NUM!</v>
      </c>
      <c r="CD163" s="60">
        <f ca="1">AVERAGE(OFFSET($CC$3,0,0,'Données projet'!$E$12+1,1))-AVERAGE(OFFSET($H$3,0,0,'Données projet'!$E$12+1,1))</f>
        <v>496.33873798282525</v>
      </c>
      <c r="CE163" s="60">
        <f t="shared" si="148"/>
        <v>280.25465074992246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-9.6633812063373625E-13</v>
      </c>
      <c r="CU163" s="18">
        <f>CT163*VLOOKUP('Données projet'!$B$13,Paramètres!$A$1:$I$89,3,0)*VLOOKUP('Données projet'!$B$13,Paramètres!$A$1:$I$89,5,0)</f>
        <v>-1.0401663530501537E-12</v>
      </c>
      <c r="CV163" s="14" t="e">
        <f t="shared" si="173"/>
        <v>#NUM!</v>
      </c>
      <c r="CW163" s="22" t="e">
        <f t="shared" si="174"/>
        <v>#NUM!</v>
      </c>
      <c r="CX163" s="60" t="e">
        <f t="shared" si="122"/>
        <v>#NUM!</v>
      </c>
      <c r="CY163" s="60">
        <f ca="1">AVERAGE(OFFSET($CX$3,0,0,'Données projet'!$E$13+1,1))-AVERAGE(OFFSET($H$3,0,0,'Données projet'!$E$13+1,1))</f>
        <v>542.90832990875208</v>
      </c>
      <c r="CZ163" s="60">
        <f t="shared" si="150"/>
        <v>304.94365539329362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0" t="e">
        <f t="shared" si="125"/>
        <v>#N/A</v>
      </c>
      <c r="DT163" s="60" t="e">
        <f ca="1">AVERAGE(OFFSET($DS$3,0,0,'Données projet'!$E$14+1,1))-AVERAGE(OFFSET($H$3,0,0,'Données projet'!$E$14+1,1))</f>
        <v>#N/A</v>
      </c>
      <c r="DU163" s="60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0" t="e">
        <f t="shared" si="128"/>
        <v>#N/A</v>
      </c>
      <c r="EO163" s="60" t="e">
        <f ca="1">AVERAGE(OFFSET($EN$3,0,0,'Données projet'!$E$15+1,1))-AVERAGE(OFFSET($H$3,0,0,'Données projet'!$E$15+1,1))</f>
        <v>#N/A</v>
      </c>
      <c r="EP163" s="60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0" t="e">
        <f t="shared" si="131"/>
        <v>#N/A</v>
      </c>
      <c r="FJ163" s="60" t="e">
        <f ca="1">AVERAGE(OFFSET($FI$3,0,0,'Données projet'!$E$16+1,1))-AVERAGE(OFFSET($H$3,0,0,'Données projet'!$E$16+1,1))</f>
        <v>#N/A</v>
      </c>
      <c r="FK163" s="60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0" t="e">
        <f t="shared" si="134"/>
        <v>#N/A</v>
      </c>
      <c r="GE163" s="60" t="e">
        <f ca="1">AVERAGE(OFFSET($GD$3,0,0,'Données projet'!$E$17+1,1))-AVERAGE(OFFSET($H$3,0,0,'Données projet'!$E$17+1,1))</f>
        <v>#N/A</v>
      </c>
      <c r="GF163" s="60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4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3.4106051316484809E-13</v>
      </c>
      <c r="O164" s="14">
        <f>N164*VLOOKUP('Données projet'!$B$9,Paramètres!$A$1:$I$89,3,0)*VLOOKUP('Données projet'!$B$9,Paramètres!$A$1:$I$89,5,0)</f>
        <v>1.5961632016114892E-13</v>
      </c>
      <c r="P164" s="14">
        <f t="shared" si="141"/>
        <v>2.2708641912150958E-12</v>
      </c>
      <c r="Q164" s="22">
        <f t="shared" si="162"/>
        <v>4.2330868906469593E-12</v>
      </c>
      <c r="R164" s="60">
        <f t="shared" si="109"/>
        <v>287.85577846762391</v>
      </c>
      <c r="S164" s="60">
        <f ca="1">AVERAGE(OFFSET($R$3,0,0,'Données projet'!$E$9+1,1))-AVERAGE(OFFSET($H$3,0,0,'Données projet'!$E$9+1,1))</f>
        <v>277.7918215389401</v>
      </c>
      <c r="T164" s="60">
        <f t="shared" si="142"/>
        <v>164.65640238394164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-9.6633812063373625E-13</v>
      </c>
      <c r="AJ164" s="14">
        <f>AI164*VLOOKUP('Données projet'!$B$10,Paramètres!$A$1:$I$89,3,0)*VLOOKUP('Données projet'!$B$10,Paramètres!$A$1:$I$89,5,0)</f>
        <v>-8.7434273154940449E-13</v>
      </c>
      <c r="AK164" s="14" t="e">
        <f t="shared" si="164"/>
        <v>#NUM!</v>
      </c>
      <c r="AL164" s="22" t="e">
        <f t="shared" si="165"/>
        <v>#NUM!</v>
      </c>
      <c r="AM164" s="60" t="e">
        <f t="shared" si="113"/>
        <v>#NUM!</v>
      </c>
      <c r="AN164" s="60">
        <f ca="1">AVERAGE(OFFSET($AM$3,0,0,'Données projet'!$E$10+1,1))-AVERAGE(OFFSET($H$3,0,0,'Données projet'!$E$10+1,1))</f>
        <v>469.67944008675863</v>
      </c>
      <c r="AO164" s="60">
        <f t="shared" si="144"/>
        <v>266.11908070867173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0" t="e">
        <f t="shared" si="116"/>
        <v>#NUM!</v>
      </c>
      <c r="BI164" s="60">
        <f ca="1">AVERAGE(OFFSET($BH$3,0,0,'Données projet'!$E$11+1,1))-AVERAGE(OFFSET($H$3,0,0,'Données projet'!$E$11+1,1))</f>
        <v>216.36762889365235</v>
      </c>
      <c r="BJ164" s="60">
        <f t="shared" si="146"/>
        <v>333.29599352215496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1.0084442037685788</v>
      </c>
      <c r="BQ164" s="23">
        <f>EXP(-LN(2)/25)*BQ163+(1-EXP(-LN(2)/25))/(LN(2)/25)*Calculateur!BL164*Calculateur!BN164*VLOOKUP('Données projet'!$B$11,Paramètres!$A$1:$I$89,3,0)*0.475*44/12</f>
        <v>0.2579771965850608</v>
      </c>
      <c r="BR164" s="23">
        <f>EXP(-LN(2)/2)*BR163+(1-EXP(-LN(2)/2))/(LN(2)/2)*BL164*BO164*VLOOKUP('Données projet'!$B$11,Paramètres!$A$1:$I$89,3,0)*0.475*44/12</f>
        <v>5.605007169053666E-20</v>
      </c>
      <c r="BS164" s="24">
        <f t="shared" si="169"/>
        <v>1.2664214003536396</v>
      </c>
      <c r="BT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-9.6633812063373625E-13</v>
      </c>
      <c r="BZ164" s="14">
        <f>BY164*VLOOKUP('Données projet'!$B$12,Paramètres!$A$1:$I$89,3,0)*VLOOKUP('Données projet'!$B$12,Paramètres!$A$1:$I$89,5,0)</f>
        <v>-9.3464223027694966E-13</v>
      </c>
      <c r="CA164" s="14" t="e">
        <f t="shared" si="170"/>
        <v>#NUM!</v>
      </c>
      <c r="CB164" s="22" t="e">
        <f t="shared" si="171"/>
        <v>#NUM!</v>
      </c>
      <c r="CC164" s="60" t="e">
        <f t="shared" si="119"/>
        <v>#NUM!</v>
      </c>
      <c r="CD164" s="60">
        <f ca="1">AVERAGE(OFFSET($CC$3,0,0,'Données projet'!$E$12+1,1))-AVERAGE(OFFSET($H$3,0,0,'Données projet'!$E$12+1,1))</f>
        <v>496.33873798282525</v>
      </c>
      <c r="CE164" s="60">
        <f t="shared" si="148"/>
        <v>280.25465074992246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-9.6633812063373625E-13</v>
      </c>
      <c r="CU164" s="18">
        <f>CT164*VLOOKUP('Données projet'!$B$13,Paramètres!$A$1:$I$89,3,0)*VLOOKUP('Données projet'!$B$13,Paramètres!$A$1:$I$89,5,0)</f>
        <v>-1.0401663530501537E-12</v>
      </c>
      <c r="CV164" s="14" t="e">
        <f t="shared" si="173"/>
        <v>#NUM!</v>
      </c>
      <c r="CW164" s="22" t="e">
        <f t="shared" si="174"/>
        <v>#NUM!</v>
      </c>
      <c r="CX164" s="60" t="e">
        <f t="shared" si="122"/>
        <v>#NUM!</v>
      </c>
      <c r="CY164" s="60">
        <f ca="1">AVERAGE(OFFSET($CX$3,0,0,'Données projet'!$E$13+1,1))-AVERAGE(OFFSET($H$3,0,0,'Données projet'!$E$13+1,1))</f>
        <v>542.90832990875208</v>
      </c>
      <c r="CZ164" s="60">
        <f t="shared" si="150"/>
        <v>304.94365539329362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0" t="e">
        <f t="shared" si="125"/>
        <v>#N/A</v>
      </c>
      <c r="DT164" s="60" t="e">
        <f ca="1">AVERAGE(OFFSET($DS$3,0,0,'Données projet'!$E$14+1,1))-AVERAGE(OFFSET($H$3,0,0,'Données projet'!$E$14+1,1))</f>
        <v>#N/A</v>
      </c>
      <c r="DU164" s="60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0" t="e">
        <f t="shared" si="128"/>
        <v>#N/A</v>
      </c>
      <c r="EO164" s="60" t="e">
        <f ca="1">AVERAGE(OFFSET($EN$3,0,0,'Données projet'!$E$15+1,1))-AVERAGE(OFFSET($H$3,0,0,'Données projet'!$E$15+1,1))</f>
        <v>#N/A</v>
      </c>
      <c r="EP164" s="60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0" t="e">
        <f t="shared" si="131"/>
        <v>#N/A</v>
      </c>
      <c r="FJ164" s="60" t="e">
        <f ca="1">AVERAGE(OFFSET($FI$3,0,0,'Données projet'!$E$16+1,1))-AVERAGE(OFFSET($H$3,0,0,'Données projet'!$E$16+1,1))</f>
        <v>#N/A</v>
      </c>
      <c r="FK164" s="60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0" t="e">
        <f t="shared" si="134"/>
        <v>#N/A</v>
      </c>
      <c r="GE164" s="60" t="e">
        <f ca="1">AVERAGE(OFFSET($GD$3,0,0,'Données projet'!$E$17+1,1))-AVERAGE(OFFSET($H$3,0,0,'Données projet'!$E$17+1,1))</f>
        <v>#N/A</v>
      </c>
      <c r="GF164" s="60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4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3.4106051316484809E-13</v>
      </c>
      <c r="O165" s="14">
        <f>N165*VLOOKUP('Données projet'!$B$9,Paramètres!$A$1:$I$89,3,0)*VLOOKUP('Données projet'!$B$9,Paramètres!$A$1:$I$89,5,0)</f>
        <v>1.5961632016114892E-13</v>
      </c>
      <c r="P165" s="14">
        <f t="shared" si="141"/>
        <v>2.2708641912150958E-12</v>
      </c>
      <c r="Q165" s="22">
        <f t="shared" si="162"/>
        <v>4.2330868906469593E-12</v>
      </c>
      <c r="R165" s="60">
        <f t="shared" si="109"/>
        <v>287.95080179856592</v>
      </c>
      <c r="S165" s="60">
        <f ca="1">AVERAGE(OFFSET($R$3,0,0,'Données projet'!$E$9+1,1))-AVERAGE(OFFSET($H$3,0,0,'Données projet'!$E$9+1,1))</f>
        <v>277.7918215389401</v>
      </c>
      <c r="T165" s="60">
        <f t="shared" si="142"/>
        <v>164.65640238394164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-9.6633812063373625E-13</v>
      </c>
      <c r="AJ165" s="14">
        <f>AI165*VLOOKUP('Données projet'!$B$10,Paramètres!$A$1:$I$89,3,0)*VLOOKUP('Données projet'!$B$10,Paramètres!$A$1:$I$89,5,0)</f>
        <v>-8.7434273154940449E-13</v>
      </c>
      <c r="AK165" s="14" t="e">
        <f t="shared" si="164"/>
        <v>#NUM!</v>
      </c>
      <c r="AL165" s="22" t="e">
        <f t="shared" si="165"/>
        <v>#NUM!</v>
      </c>
      <c r="AM165" s="60" t="e">
        <f t="shared" si="113"/>
        <v>#NUM!</v>
      </c>
      <c r="AN165" s="60">
        <f ca="1">AVERAGE(OFFSET($AM$3,0,0,'Données projet'!$E$10+1,1))-AVERAGE(OFFSET($H$3,0,0,'Données projet'!$E$10+1,1))</f>
        <v>469.67944008675863</v>
      </c>
      <c r="AO165" s="60">
        <f t="shared" si="144"/>
        <v>266.11908070867173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0" t="e">
        <f t="shared" si="116"/>
        <v>#NUM!</v>
      </c>
      <c r="BI165" s="60">
        <f ca="1">AVERAGE(OFFSET($BH$3,0,0,'Données projet'!$E$11+1,1))-AVERAGE(OFFSET($H$3,0,0,'Données projet'!$E$11+1,1))</f>
        <v>216.36762889365235</v>
      </c>
      <c r="BJ165" s="60">
        <f t="shared" si="146"/>
        <v>333.29599352215496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0.98866922802290613</v>
      </c>
      <c r="BQ165" s="23">
        <f>EXP(-LN(2)/25)*BQ164+(1-EXP(-LN(2)/25))/(LN(2)/25)*Calculateur!BL165*Calculateur!BN165*VLOOKUP('Données projet'!$B$11,Paramètres!$A$1:$I$89,3,0)*0.475*44/12</f>
        <v>0.25092279657801114</v>
      </c>
      <c r="BR165" s="23">
        <f>EXP(-LN(2)/2)*BR164+(1-EXP(-LN(2)/2))/(LN(2)/2)*BL165*BO165*VLOOKUP('Données projet'!$B$11,Paramètres!$A$1:$I$89,3,0)*0.475*44/12</f>
        <v>3.9633385778370609E-20</v>
      </c>
      <c r="BS165" s="24">
        <f t="shared" si="169"/>
        <v>1.2395920246009173</v>
      </c>
      <c r="BT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-9.6633812063373625E-13</v>
      </c>
      <c r="BZ165" s="14">
        <f>BY165*VLOOKUP('Données projet'!$B$12,Paramètres!$A$1:$I$89,3,0)*VLOOKUP('Données projet'!$B$12,Paramètres!$A$1:$I$89,5,0)</f>
        <v>-9.3464223027694966E-13</v>
      </c>
      <c r="CA165" s="14" t="e">
        <f t="shared" si="170"/>
        <v>#NUM!</v>
      </c>
      <c r="CB165" s="22" t="e">
        <f t="shared" si="171"/>
        <v>#NUM!</v>
      </c>
      <c r="CC165" s="60" t="e">
        <f t="shared" si="119"/>
        <v>#NUM!</v>
      </c>
      <c r="CD165" s="60">
        <f ca="1">AVERAGE(OFFSET($CC$3,0,0,'Données projet'!$E$12+1,1))-AVERAGE(OFFSET($H$3,0,0,'Données projet'!$E$12+1,1))</f>
        <v>496.33873798282525</v>
      </c>
      <c r="CE165" s="60">
        <f t="shared" si="148"/>
        <v>280.25465074992246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-9.6633812063373625E-13</v>
      </c>
      <c r="CU165" s="18">
        <f>CT165*VLOOKUP('Données projet'!$B$13,Paramètres!$A$1:$I$89,3,0)*VLOOKUP('Données projet'!$B$13,Paramètres!$A$1:$I$89,5,0)</f>
        <v>-1.0401663530501537E-12</v>
      </c>
      <c r="CV165" s="14" t="e">
        <f t="shared" si="173"/>
        <v>#NUM!</v>
      </c>
      <c r="CW165" s="22" t="e">
        <f t="shared" si="174"/>
        <v>#NUM!</v>
      </c>
      <c r="CX165" s="60" t="e">
        <f t="shared" si="122"/>
        <v>#NUM!</v>
      </c>
      <c r="CY165" s="60">
        <f ca="1">AVERAGE(OFFSET($CX$3,0,0,'Données projet'!$E$13+1,1))-AVERAGE(OFFSET($H$3,0,0,'Données projet'!$E$13+1,1))</f>
        <v>542.90832990875208</v>
      </c>
      <c r="CZ165" s="60">
        <f t="shared" si="150"/>
        <v>304.94365539329362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0" t="e">
        <f t="shared" si="125"/>
        <v>#N/A</v>
      </c>
      <c r="DT165" s="60" t="e">
        <f ca="1">AVERAGE(OFFSET($DS$3,0,0,'Données projet'!$E$14+1,1))-AVERAGE(OFFSET($H$3,0,0,'Données projet'!$E$14+1,1))</f>
        <v>#N/A</v>
      </c>
      <c r="DU165" s="60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0" t="e">
        <f t="shared" si="128"/>
        <v>#N/A</v>
      </c>
      <c r="EO165" s="60" t="e">
        <f ca="1">AVERAGE(OFFSET($EN$3,0,0,'Données projet'!$E$15+1,1))-AVERAGE(OFFSET($H$3,0,0,'Données projet'!$E$15+1,1))</f>
        <v>#N/A</v>
      </c>
      <c r="EP165" s="60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0" t="e">
        <f t="shared" si="131"/>
        <v>#N/A</v>
      </c>
      <c r="FJ165" s="60" t="e">
        <f ca="1">AVERAGE(OFFSET($FI$3,0,0,'Données projet'!$E$16+1,1))-AVERAGE(OFFSET($H$3,0,0,'Données projet'!$E$16+1,1))</f>
        <v>#N/A</v>
      </c>
      <c r="FK165" s="60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0" t="e">
        <f t="shared" si="134"/>
        <v>#N/A</v>
      </c>
      <c r="GE165" s="60" t="e">
        <f ca="1">AVERAGE(OFFSET($GD$3,0,0,'Données projet'!$E$17+1,1))-AVERAGE(OFFSET($H$3,0,0,'Données projet'!$E$17+1,1))</f>
        <v>#N/A</v>
      </c>
      <c r="GF165" s="60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4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3.4106051316484809E-13</v>
      </c>
      <c r="O166" s="14">
        <f>N166*VLOOKUP('Données projet'!$B$9,Paramètres!$A$1:$I$89,3,0)*VLOOKUP('Données projet'!$B$9,Paramètres!$A$1:$I$89,5,0)</f>
        <v>1.5961632016114892E-13</v>
      </c>
      <c r="P166" s="14">
        <f t="shared" si="141"/>
        <v>2.2708641912150958E-12</v>
      </c>
      <c r="Q166" s="22">
        <f t="shared" si="162"/>
        <v>4.2330868906469593E-12</v>
      </c>
      <c r="R166" s="60">
        <f t="shared" si="109"/>
        <v>288.04417668715644</v>
      </c>
      <c r="S166" s="60">
        <f ca="1">AVERAGE(OFFSET($R$3,0,0,'Données projet'!$E$9+1,1))-AVERAGE(OFFSET($H$3,0,0,'Données projet'!$E$9+1,1))</f>
        <v>277.7918215389401</v>
      </c>
      <c r="T166" s="60">
        <f t="shared" si="142"/>
        <v>164.65640238394164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-9.6633812063373625E-13</v>
      </c>
      <c r="AJ166" s="14">
        <f>AI166*VLOOKUP('Données projet'!$B$10,Paramètres!$A$1:$I$89,3,0)*VLOOKUP('Données projet'!$B$10,Paramètres!$A$1:$I$89,5,0)</f>
        <v>-8.7434273154940449E-13</v>
      </c>
      <c r="AK166" s="14" t="e">
        <f t="shared" si="164"/>
        <v>#NUM!</v>
      </c>
      <c r="AL166" s="22" t="e">
        <f t="shared" si="165"/>
        <v>#NUM!</v>
      </c>
      <c r="AM166" s="60" t="e">
        <f t="shared" si="113"/>
        <v>#NUM!</v>
      </c>
      <c r="AN166" s="60">
        <f ca="1">AVERAGE(OFFSET($AM$3,0,0,'Données projet'!$E$10+1,1))-AVERAGE(OFFSET($H$3,0,0,'Données projet'!$E$10+1,1))</f>
        <v>469.67944008675863</v>
      </c>
      <c r="AO166" s="60">
        <f t="shared" si="144"/>
        <v>266.11908070867173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0" t="e">
        <f t="shared" si="116"/>
        <v>#NUM!</v>
      </c>
      <c r="BI166" s="60">
        <f ca="1">AVERAGE(OFFSET($BH$3,0,0,'Données projet'!$E$11+1,1))-AVERAGE(OFFSET($H$3,0,0,'Données projet'!$E$11+1,1))</f>
        <v>216.36762889365235</v>
      </c>
      <c r="BJ166" s="60">
        <f t="shared" si="146"/>
        <v>333.29599352215496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0.96928202749006187</v>
      </c>
      <c r="BQ166" s="23">
        <f>EXP(-LN(2)/25)*BQ165+(1-EXP(-LN(2)/25))/(LN(2)/25)*Calculateur!BL166*Calculateur!BN166*VLOOKUP('Données projet'!$B$11,Paramètres!$A$1:$I$89,3,0)*0.475*44/12</f>
        <v>0.24406129951012906</v>
      </c>
      <c r="BR166" s="23">
        <f>EXP(-LN(2)/2)*BR165+(1-EXP(-LN(2)/2))/(LN(2)/2)*BL166*BO166*VLOOKUP('Données projet'!$B$11,Paramètres!$A$1:$I$89,3,0)*0.475*44/12</f>
        <v>2.802503584526833E-20</v>
      </c>
      <c r="BS166" s="24">
        <f t="shared" si="169"/>
        <v>1.213343327000191</v>
      </c>
      <c r="BT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-9.6633812063373625E-13</v>
      </c>
      <c r="BZ166" s="14">
        <f>BY166*VLOOKUP('Données projet'!$B$12,Paramètres!$A$1:$I$89,3,0)*VLOOKUP('Données projet'!$B$12,Paramètres!$A$1:$I$89,5,0)</f>
        <v>-9.3464223027694966E-13</v>
      </c>
      <c r="CA166" s="14" t="e">
        <f t="shared" si="170"/>
        <v>#NUM!</v>
      </c>
      <c r="CB166" s="22" t="e">
        <f t="shared" si="171"/>
        <v>#NUM!</v>
      </c>
      <c r="CC166" s="60" t="e">
        <f t="shared" si="119"/>
        <v>#NUM!</v>
      </c>
      <c r="CD166" s="60">
        <f ca="1">AVERAGE(OFFSET($CC$3,0,0,'Données projet'!$E$12+1,1))-AVERAGE(OFFSET($H$3,0,0,'Données projet'!$E$12+1,1))</f>
        <v>496.33873798282525</v>
      </c>
      <c r="CE166" s="60">
        <f t="shared" si="148"/>
        <v>280.25465074992246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-9.6633812063373625E-13</v>
      </c>
      <c r="CU166" s="18">
        <f>CT166*VLOOKUP('Données projet'!$B$13,Paramètres!$A$1:$I$89,3,0)*VLOOKUP('Données projet'!$B$13,Paramètres!$A$1:$I$89,5,0)</f>
        <v>-1.0401663530501537E-12</v>
      </c>
      <c r="CV166" s="14" t="e">
        <f t="shared" si="173"/>
        <v>#NUM!</v>
      </c>
      <c r="CW166" s="22" t="e">
        <f t="shared" si="174"/>
        <v>#NUM!</v>
      </c>
      <c r="CX166" s="60" t="e">
        <f t="shared" si="122"/>
        <v>#NUM!</v>
      </c>
      <c r="CY166" s="60">
        <f ca="1">AVERAGE(OFFSET($CX$3,0,0,'Données projet'!$E$13+1,1))-AVERAGE(OFFSET($H$3,0,0,'Données projet'!$E$13+1,1))</f>
        <v>542.90832990875208</v>
      </c>
      <c r="CZ166" s="60">
        <f t="shared" si="150"/>
        <v>304.94365539329362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0" t="e">
        <f t="shared" si="125"/>
        <v>#N/A</v>
      </c>
      <c r="DT166" s="60" t="e">
        <f ca="1">AVERAGE(OFFSET($DS$3,0,0,'Données projet'!$E$14+1,1))-AVERAGE(OFFSET($H$3,0,0,'Données projet'!$E$14+1,1))</f>
        <v>#N/A</v>
      </c>
      <c r="DU166" s="60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0" t="e">
        <f t="shared" si="128"/>
        <v>#N/A</v>
      </c>
      <c r="EO166" s="60" t="e">
        <f ca="1">AVERAGE(OFFSET($EN$3,0,0,'Données projet'!$E$15+1,1))-AVERAGE(OFFSET($H$3,0,0,'Données projet'!$E$15+1,1))</f>
        <v>#N/A</v>
      </c>
      <c r="EP166" s="60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0" t="e">
        <f t="shared" si="131"/>
        <v>#N/A</v>
      </c>
      <c r="FJ166" s="60" t="e">
        <f ca="1">AVERAGE(OFFSET($FI$3,0,0,'Données projet'!$E$16+1,1))-AVERAGE(OFFSET($H$3,0,0,'Données projet'!$E$16+1,1))</f>
        <v>#N/A</v>
      </c>
      <c r="FK166" s="60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0" t="e">
        <f t="shared" si="134"/>
        <v>#N/A</v>
      </c>
      <c r="GE166" s="60" t="e">
        <f ca="1">AVERAGE(OFFSET($GD$3,0,0,'Données projet'!$E$17+1,1))-AVERAGE(OFFSET($H$3,0,0,'Données projet'!$E$17+1,1))</f>
        <v>#N/A</v>
      </c>
      <c r="GF166" s="60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4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3.4106051316484809E-13</v>
      </c>
      <c r="O167" s="14">
        <f>N167*VLOOKUP('Données projet'!$B$9,Paramètres!$A$1:$I$89,3,0)*VLOOKUP('Données projet'!$B$9,Paramètres!$A$1:$I$89,5,0)</f>
        <v>1.5961632016114892E-13</v>
      </c>
      <c r="P167" s="14">
        <f t="shared" si="141"/>
        <v>2.2708641912150958E-12</v>
      </c>
      <c r="Q167" s="22">
        <f t="shared" si="162"/>
        <v>4.2330868906469593E-12</v>
      </c>
      <c r="R167" s="60">
        <f t="shared" si="109"/>
        <v>288.13593173018489</v>
      </c>
      <c r="S167" s="60">
        <f ca="1">AVERAGE(OFFSET($R$3,0,0,'Données projet'!$E$9+1,1))-AVERAGE(OFFSET($H$3,0,0,'Données projet'!$E$9+1,1))</f>
        <v>277.7918215389401</v>
      </c>
      <c r="T167" s="60">
        <f t="shared" si="142"/>
        <v>164.65640238394164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-9.6633812063373625E-13</v>
      </c>
      <c r="AJ167" s="14">
        <f>AI167*VLOOKUP('Données projet'!$B$10,Paramètres!$A$1:$I$89,3,0)*VLOOKUP('Données projet'!$B$10,Paramètres!$A$1:$I$89,5,0)</f>
        <v>-8.7434273154940449E-13</v>
      </c>
      <c r="AK167" s="14" t="e">
        <f t="shared" si="164"/>
        <v>#NUM!</v>
      </c>
      <c r="AL167" s="22" t="e">
        <f t="shared" si="165"/>
        <v>#NUM!</v>
      </c>
      <c r="AM167" s="60" t="e">
        <f t="shared" si="113"/>
        <v>#NUM!</v>
      </c>
      <c r="AN167" s="60">
        <f ca="1">AVERAGE(OFFSET($AM$3,0,0,'Données projet'!$E$10+1,1))-AVERAGE(OFFSET($H$3,0,0,'Données projet'!$E$10+1,1))</f>
        <v>469.67944008675863</v>
      </c>
      <c r="AO167" s="60">
        <f t="shared" si="144"/>
        <v>266.11908070867173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0" t="e">
        <f t="shared" si="116"/>
        <v>#NUM!</v>
      </c>
      <c r="BI167" s="60">
        <f ca="1">AVERAGE(OFFSET($BH$3,0,0,'Données projet'!$E$11+1,1))-AVERAGE(OFFSET($H$3,0,0,'Données projet'!$E$11+1,1))</f>
        <v>216.36762889365235</v>
      </c>
      <c r="BJ167" s="60">
        <f t="shared" si="146"/>
        <v>333.29599352215496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0.950274998134642</v>
      </c>
      <c r="BQ167" s="23">
        <f>EXP(-LN(2)/25)*BQ166+(1-EXP(-LN(2)/25))/(LN(2)/25)*Calculateur!BL167*Calculateur!BN167*VLOOKUP('Données projet'!$B$11,Paramètres!$A$1:$I$89,3,0)*0.475*44/12</f>
        <v>0.23738743044039864</v>
      </c>
      <c r="BR167" s="23">
        <f>EXP(-LN(2)/2)*BR166+(1-EXP(-LN(2)/2))/(LN(2)/2)*BL167*BO167*VLOOKUP('Données projet'!$B$11,Paramètres!$A$1:$I$89,3,0)*0.475*44/12</f>
        <v>1.9816692889185304E-20</v>
      </c>
      <c r="BS167" s="24">
        <f t="shared" si="169"/>
        <v>1.1876624285750406</v>
      </c>
      <c r="BT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-9.6633812063373625E-13</v>
      </c>
      <c r="BZ167" s="14">
        <f>BY167*VLOOKUP('Données projet'!$B$12,Paramètres!$A$1:$I$89,3,0)*VLOOKUP('Données projet'!$B$12,Paramètres!$A$1:$I$89,5,0)</f>
        <v>-9.3464223027694966E-13</v>
      </c>
      <c r="CA167" s="14" t="e">
        <f t="shared" si="170"/>
        <v>#NUM!</v>
      </c>
      <c r="CB167" s="22" t="e">
        <f t="shared" si="171"/>
        <v>#NUM!</v>
      </c>
      <c r="CC167" s="60" t="e">
        <f t="shared" si="119"/>
        <v>#NUM!</v>
      </c>
      <c r="CD167" s="60">
        <f ca="1">AVERAGE(OFFSET($CC$3,0,0,'Données projet'!$E$12+1,1))-AVERAGE(OFFSET($H$3,0,0,'Données projet'!$E$12+1,1))</f>
        <v>496.33873798282525</v>
      </c>
      <c r="CE167" s="60">
        <f t="shared" si="148"/>
        <v>280.25465074992246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-9.6633812063373625E-13</v>
      </c>
      <c r="CU167" s="18">
        <f>CT167*VLOOKUP('Données projet'!$B$13,Paramètres!$A$1:$I$89,3,0)*VLOOKUP('Données projet'!$B$13,Paramètres!$A$1:$I$89,5,0)</f>
        <v>-1.0401663530501537E-12</v>
      </c>
      <c r="CV167" s="14" t="e">
        <f t="shared" si="173"/>
        <v>#NUM!</v>
      </c>
      <c r="CW167" s="22" t="e">
        <f t="shared" si="174"/>
        <v>#NUM!</v>
      </c>
      <c r="CX167" s="60" t="e">
        <f t="shared" si="122"/>
        <v>#NUM!</v>
      </c>
      <c r="CY167" s="60">
        <f ca="1">AVERAGE(OFFSET($CX$3,0,0,'Données projet'!$E$13+1,1))-AVERAGE(OFFSET($H$3,0,0,'Données projet'!$E$13+1,1))</f>
        <v>542.90832990875208</v>
      </c>
      <c r="CZ167" s="60">
        <f t="shared" si="150"/>
        <v>304.94365539329362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0" t="e">
        <f t="shared" si="125"/>
        <v>#N/A</v>
      </c>
      <c r="DT167" s="60" t="e">
        <f ca="1">AVERAGE(OFFSET($DS$3,0,0,'Données projet'!$E$14+1,1))-AVERAGE(OFFSET($H$3,0,0,'Données projet'!$E$14+1,1))</f>
        <v>#N/A</v>
      </c>
      <c r="DU167" s="60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0" t="e">
        <f t="shared" si="128"/>
        <v>#N/A</v>
      </c>
      <c r="EO167" s="60" t="e">
        <f ca="1">AVERAGE(OFFSET($EN$3,0,0,'Données projet'!$E$15+1,1))-AVERAGE(OFFSET($H$3,0,0,'Données projet'!$E$15+1,1))</f>
        <v>#N/A</v>
      </c>
      <c r="EP167" s="60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0" t="e">
        <f t="shared" si="131"/>
        <v>#N/A</v>
      </c>
      <c r="FJ167" s="60" t="e">
        <f ca="1">AVERAGE(OFFSET($FI$3,0,0,'Données projet'!$E$16+1,1))-AVERAGE(OFFSET($H$3,0,0,'Données projet'!$E$16+1,1))</f>
        <v>#N/A</v>
      </c>
      <c r="FK167" s="60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0" t="e">
        <f t="shared" si="134"/>
        <v>#N/A</v>
      </c>
      <c r="GE167" s="60" t="e">
        <f ca="1">AVERAGE(OFFSET($GD$3,0,0,'Données projet'!$E$17+1,1))-AVERAGE(OFFSET($H$3,0,0,'Données projet'!$E$17+1,1))</f>
        <v>#N/A</v>
      </c>
      <c r="GF167" s="60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4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3.4106051316484809E-13</v>
      </c>
      <c r="O168" s="14">
        <f>N168*VLOOKUP('Données projet'!$B$9,Paramètres!$A$1:$I$89,3,0)*VLOOKUP('Données projet'!$B$9,Paramètres!$A$1:$I$89,5,0)</f>
        <v>1.5961632016114892E-13</v>
      </c>
      <c r="P168" s="14">
        <f t="shared" si="141"/>
        <v>2.2708641912150958E-12</v>
      </c>
      <c r="Q168" s="22">
        <f t="shared" si="162"/>
        <v>4.2330868906469593E-12</v>
      </c>
      <c r="R168" s="60">
        <f t="shared" si="109"/>
        <v>288.22609502835036</v>
      </c>
      <c r="S168" s="60">
        <f ca="1">AVERAGE(OFFSET($R$3,0,0,'Données projet'!$E$9+1,1))-AVERAGE(OFFSET($H$3,0,0,'Données projet'!$E$9+1,1))</f>
        <v>277.7918215389401</v>
      </c>
      <c r="T168" s="60">
        <f t="shared" si="142"/>
        <v>164.65640238394164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-9.6633812063373625E-13</v>
      </c>
      <c r="AJ168" s="14">
        <f>AI168*VLOOKUP('Données projet'!$B$10,Paramètres!$A$1:$I$89,3,0)*VLOOKUP('Données projet'!$B$10,Paramètres!$A$1:$I$89,5,0)</f>
        <v>-8.7434273154940449E-13</v>
      </c>
      <c r="AK168" s="14" t="e">
        <f t="shared" si="164"/>
        <v>#NUM!</v>
      </c>
      <c r="AL168" s="22" t="e">
        <f t="shared" si="165"/>
        <v>#NUM!</v>
      </c>
      <c r="AM168" s="60" t="e">
        <f t="shared" si="113"/>
        <v>#NUM!</v>
      </c>
      <c r="AN168" s="60">
        <f ca="1">AVERAGE(OFFSET($AM$3,0,0,'Données projet'!$E$10+1,1))-AVERAGE(OFFSET($H$3,0,0,'Données projet'!$E$10+1,1))</f>
        <v>469.67944008675863</v>
      </c>
      <c r="AO168" s="60">
        <f t="shared" si="144"/>
        <v>266.11908070867173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0" t="e">
        <f t="shared" si="116"/>
        <v>#NUM!</v>
      </c>
      <c r="BI168" s="60">
        <f ca="1">AVERAGE(OFFSET($BH$3,0,0,'Données projet'!$E$11+1,1))-AVERAGE(OFFSET($H$3,0,0,'Données projet'!$E$11+1,1))</f>
        <v>216.36762889365235</v>
      </c>
      <c r="BJ168" s="60">
        <f t="shared" si="146"/>
        <v>333.29599352215496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0.9316406850317388</v>
      </c>
      <c r="BQ168" s="23">
        <f>EXP(-LN(2)/25)*BQ167+(1-EXP(-LN(2)/25))/(LN(2)/25)*Calculateur!BL168*Calculateur!BN168*VLOOKUP('Données projet'!$B$11,Paramètres!$A$1:$I$89,3,0)*0.475*44/12</f>
        <v>0.23089605867134352</v>
      </c>
      <c r="BR168" s="23">
        <f>EXP(-LN(2)/2)*BR167+(1-EXP(-LN(2)/2))/(LN(2)/2)*BL168*BO168*VLOOKUP('Données projet'!$B$11,Paramètres!$A$1:$I$89,3,0)*0.475*44/12</f>
        <v>1.4012517922634165E-20</v>
      </c>
      <c r="BS168" s="24">
        <f t="shared" si="169"/>
        <v>1.1625367437030822</v>
      </c>
      <c r="BT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-9.6633812063373625E-13</v>
      </c>
      <c r="BZ168" s="14">
        <f>BY168*VLOOKUP('Données projet'!$B$12,Paramètres!$A$1:$I$89,3,0)*VLOOKUP('Données projet'!$B$12,Paramètres!$A$1:$I$89,5,0)</f>
        <v>-9.3464223027694966E-13</v>
      </c>
      <c r="CA168" s="14" t="e">
        <f t="shared" si="170"/>
        <v>#NUM!</v>
      </c>
      <c r="CB168" s="22" t="e">
        <f t="shared" si="171"/>
        <v>#NUM!</v>
      </c>
      <c r="CC168" s="60" t="e">
        <f t="shared" si="119"/>
        <v>#NUM!</v>
      </c>
      <c r="CD168" s="60">
        <f ca="1">AVERAGE(OFFSET($CC$3,0,0,'Données projet'!$E$12+1,1))-AVERAGE(OFFSET($H$3,0,0,'Données projet'!$E$12+1,1))</f>
        <v>496.33873798282525</v>
      </c>
      <c r="CE168" s="60">
        <f t="shared" si="148"/>
        <v>280.25465074992246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-9.6633812063373625E-13</v>
      </c>
      <c r="CU168" s="18">
        <f>CT168*VLOOKUP('Données projet'!$B$13,Paramètres!$A$1:$I$89,3,0)*VLOOKUP('Données projet'!$B$13,Paramètres!$A$1:$I$89,5,0)</f>
        <v>-1.0401663530501537E-12</v>
      </c>
      <c r="CV168" s="14" t="e">
        <f t="shared" si="173"/>
        <v>#NUM!</v>
      </c>
      <c r="CW168" s="22" t="e">
        <f t="shared" si="174"/>
        <v>#NUM!</v>
      </c>
      <c r="CX168" s="60" t="e">
        <f t="shared" si="122"/>
        <v>#NUM!</v>
      </c>
      <c r="CY168" s="60">
        <f ca="1">AVERAGE(OFFSET($CX$3,0,0,'Données projet'!$E$13+1,1))-AVERAGE(OFFSET($H$3,0,0,'Données projet'!$E$13+1,1))</f>
        <v>542.90832990875208</v>
      </c>
      <c r="CZ168" s="60">
        <f t="shared" si="150"/>
        <v>304.94365539329362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0" t="e">
        <f t="shared" si="125"/>
        <v>#N/A</v>
      </c>
      <c r="DT168" s="60" t="e">
        <f ca="1">AVERAGE(OFFSET($DS$3,0,0,'Données projet'!$E$14+1,1))-AVERAGE(OFFSET($H$3,0,0,'Données projet'!$E$14+1,1))</f>
        <v>#N/A</v>
      </c>
      <c r="DU168" s="60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0" t="e">
        <f t="shared" si="128"/>
        <v>#N/A</v>
      </c>
      <c r="EO168" s="60" t="e">
        <f ca="1">AVERAGE(OFFSET($EN$3,0,0,'Données projet'!$E$15+1,1))-AVERAGE(OFFSET($H$3,0,0,'Données projet'!$E$15+1,1))</f>
        <v>#N/A</v>
      </c>
      <c r="EP168" s="60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0" t="e">
        <f t="shared" si="131"/>
        <v>#N/A</v>
      </c>
      <c r="FJ168" s="60" t="e">
        <f ca="1">AVERAGE(OFFSET($FI$3,0,0,'Données projet'!$E$16+1,1))-AVERAGE(OFFSET($H$3,0,0,'Données projet'!$E$16+1,1))</f>
        <v>#N/A</v>
      </c>
      <c r="FK168" s="60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0" t="e">
        <f t="shared" si="134"/>
        <v>#N/A</v>
      </c>
      <c r="GE168" s="60" t="e">
        <f ca="1">AVERAGE(OFFSET($GD$3,0,0,'Données projet'!$E$17+1,1))-AVERAGE(OFFSET($H$3,0,0,'Données projet'!$E$17+1,1))</f>
        <v>#N/A</v>
      </c>
      <c r="GF168" s="60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4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3.4106051316484809E-13</v>
      </c>
      <c r="O169" s="14">
        <f>N169*VLOOKUP('Données projet'!$B$9,Paramètres!$A$1:$I$89,3,0)*VLOOKUP('Données projet'!$B$9,Paramètres!$A$1:$I$89,5,0)</f>
        <v>1.5961632016114892E-13</v>
      </c>
      <c r="P169" s="14">
        <f t="shared" si="141"/>
        <v>2.2708641912150958E-12</v>
      </c>
      <c r="Q169" s="22">
        <f t="shared" si="162"/>
        <v>4.2330868906469593E-12</v>
      </c>
      <c r="R169" s="60">
        <f t="shared" si="109"/>
        <v>288.31469419486763</v>
      </c>
      <c r="S169" s="60">
        <f ca="1">AVERAGE(OFFSET($R$3,0,0,'Données projet'!$E$9+1,1))-AVERAGE(OFFSET($H$3,0,0,'Données projet'!$E$9+1,1))</f>
        <v>277.7918215389401</v>
      </c>
      <c r="T169" s="60">
        <f t="shared" si="142"/>
        <v>164.65640238394164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-9.6633812063373625E-13</v>
      </c>
      <c r="AJ169" s="14">
        <f>AI169*VLOOKUP('Données projet'!$B$10,Paramètres!$A$1:$I$89,3,0)*VLOOKUP('Données projet'!$B$10,Paramètres!$A$1:$I$89,5,0)</f>
        <v>-8.7434273154940449E-13</v>
      </c>
      <c r="AK169" s="14" t="e">
        <f t="shared" si="164"/>
        <v>#NUM!</v>
      </c>
      <c r="AL169" s="22" t="e">
        <f t="shared" si="165"/>
        <v>#NUM!</v>
      </c>
      <c r="AM169" s="60" t="e">
        <f t="shared" si="113"/>
        <v>#NUM!</v>
      </c>
      <c r="AN169" s="60">
        <f ca="1">AVERAGE(OFFSET($AM$3,0,0,'Données projet'!$E$10+1,1))-AVERAGE(OFFSET($H$3,0,0,'Données projet'!$E$10+1,1))</f>
        <v>469.67944008675863</v>
      </c>
      <c r="AO169" s="60">
        <f t="shared" si="144"/>
        <v>266.11908070867173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0" t="e">
        <f t="shared" si="116"/>
        <v>#NUM!</v>
      </c>
      <c r="BI169" s="60">
        <f ca="1">AVERAGE(OFFSET($BH$3,0,0,'Données projet'!$E$11+1,1))-AVERAGE(OFFSET($H$3,0,0,'Données projet'!$E$11+1,1))</f>
        <v>216.36762889365235</v>
      </c>
      <c r="BJ169" s="60">
        <f t="shared" si="146"/>
        <v>333.29599352215496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0.91337177944297476</v>
      </c>
      <c r="BQ169" s="23">
        <f>EXP(-LN(2)/25)*BQ168+(1-EXP(-LN(2)/25))/(LN(2)/25)*Calculateur!BL169*Calculateur!BN169*VLOOKUP('Données projet'!$B$11,Paramètres!$A$1:$I$89,3,0)*0.475*44/12</f>
        <v>0.22458219380467964</v>
      </c>
      <c r="BR169" s="23">
        <f>EXP(-LN(2)/2)*BR168+(1-EXP(-LN(2)/2))/(LN(2)/2)*BL169*BO169*VLOOKUP('Données projet'!$B$11,Paramètres!$A$1:$I$89,3,0)*0.475*44/12</f>
        <v>9.9083464445926521E-21</v>
      </c>
      <c r="BS169" s="24">
        <f t="shared" si="169"/>
        <v>1.1379539732476545</v>
      </c>
      <c r="BT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-9.6633812063373625E-13</v>
      </c>
      <c r="BZ169" s="14">
        <f>BY169*VLOOKUP('Données projet'!$B$12,Paramètres!$A$1:$I$89,3,0)*VLOOKUP('Données projet'!$B$12,Paramètres!$A$1:$I$89,5,0)</f>
        <v>-9.3464223027694966E-13</v>
      </c>
      <c r="CA169" s="14" t="e">
        <f t="shared" si="170"/>
        <v>#NUM!</v>
      </c>
      <c r="CB169" s="22" t="e">
        <f t="shared" si="171"/>
        <v>#NUM!</v>
      </c>
      <c r="CC169" s="60" t="e">
        <f t="shared" si="119"/>
        <v>#NUM!</v>
      </c>
      <c r="CD169" s="60">
        <f ca="1">AVERAGE(OFFSET($CC$3,0,0,'Données projet'!$E$12+1,1))-AVERAGE(OFFSET($H$3,0,0,'Données projet'!$E$12+1,1))</f>
        <v>496.33873798282525</v>
      </c>
      <c r="CE169" s="60">
        <f t="shared" si="148"/>
        <v>280.25465074992246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-9.6633812063373625E-13</v>
      </c>
      <c r="CU169" s="18">
        <f>CT169*VLOOKUP('Données projet'!$B$13,Paramètres!$A$1:$I$89,3,0)*VLOOKUP('Données projet'!$B$13,Paramètres!$A$1:$I$89,5,0)</f>
        <v>-1.0401663530501537E-12</v>
      </c>
      <c r="CV169" s="14" t="e">
        <f t="shared" si="173"/>
        <v>#NUM!</v>
      </c>
      <c r="CW169" s="22" t="e">
        <f t="shared" si="174"/>
        <v>#NUM!</v>
      </c>
      <c r="CX169" s="60" t="e">
        <f t="shared" si="122"/>
        <v>#NUM!</v>
      </c>
      <c r="CY169" s="60">
        <f ca="1">AVERAGE(OFFSET($CX$3,0,0,'Données projet'!$E$13+1,1))-AVERAGE(OFFSET($H$3,0,0,'Données projet'!$E$13+1,1))</f>
        <v>542.90832990875208</v>
      </c>
      <c r="CZ169" s="60">
        <f t="shared" si="150"/>
        <v>304.94365539329362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0" t="e">
        <f t="shared" si="125"/>
        <v>#N/A</v>
      </c>
      <c r="DT169" s="60" t="e">
        <f ca="1">AVERAGE(OFFSET($DS$3,0,0,'Données projet'!$E$14+1,1))-AVERAGE(OFFSET($H$3,0,0,'Données projet'!$E$14+1,1))</f>
        <v>#N/A</v>
      </c>
      <c r="DU169" s="60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0" t="e">
        <f t="shared" si="128"/>
        <v>#N/A</v>
      </c>
      <c r="EO169" s="60" t="e">
        <f ca="1">AVERAGE(OFFSET($EN$3,0,0,'Données projet'!$E$15+1,1))-AVERAGE(OFFSET($H$3,0,0,'Données projet'!$E$15+1,1))</f>
        <v>#N/A</v>
      </c>
      <c r="EP169" s="60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0" t="e">
        <f t="shared" si="131"/>
        <v>#N/A</v>
      </c>
      <c r="FJ169" s="60" t="e">
        <f ca="1">AVERAGE(OFFSET($FI$3,0,0,'Données projet'!$E$16+1,1))-AVERAGE(OFFSET($H$3,0,0,'Données projet'!$E$16+1,1))</f>
        <v>#N/A</v>
      </c>
      <c r="FK169" s="60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0" t="e">
        <f t="shared" si="134"/>
        <v>#N/A</v>
      </c>
      <c r="GE169" s="60" t="e">
        <f ca="1">AVERAGE(OFFSET($GD$3,0,0,'Données projet'!$E$17+1,1))-AVERAGE(OFFSET($H$3,0,0,'Données projet'!$E$17+1,1))</f>
        <v>#N/A</v>
      </c>
      <c r="GF169" s="60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4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3.4106051316484809E-13</v>
      </c>
      <c r="O170" s="14">
        <f>N170*VLOOKUP('Données projet'!$B$9,Paramètres!$A$1:$I$89,3,0)*VLOOKUP('Données projet'!$B$9,Paramètres!$A$1:$I$89,5,0)</f>
        <v>1.5961632016114892E-13</v>
      </c>
      <c r="P170" s="14">
        <f t="shared" si="141"/>
        <v>2.2708641912150958E-12</v>
      </c>
      <c r="Q170" s="22">
        <f t="shared" si="162"/>
        <v>4.2330868906469593E-12</v>
      </c>
      <c r="R170" s="60">
        <f t="shared" si="109"/>
        <v>288.40175636392382</v>
      </c>
      <c r="S170" s="60">
        <f ca="1">AVERAGE(OFFSET($R$3,0,0,'Données projet'!$E$9+1,1))-AVERAGE(OFFSET($H$3,0,0,'Données projet'!$E$9+1,1))</f>
        <v>277.7918215389401</v>
      </c>
      <c r="T170" s="60">
        <f t="shared" si="142"/>
        <v>164.65640238394164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-9.6633812063373625E-13</v>
      </c>
      <c r="AJ170" s="14">
        <f>AI170*VLOOKUP('Données projet'!$B$10,Paramètres!$A$1:$I$89,3,0)*VLOOKUP('Données projet'!$B$10,Paramètres!$A$1:$I$89,5,0)</f>
        <v>-8.7434273154940449E-13</v>
      </c>
      <c r="AK170" s="14" t="e">
        <f t="shared" si="164"/>
        <v>#NUM!</v>
      </c>
      <c r="AL170" s="22" t="e">
        <f t="shared" si="165"/>
        <v>#NUM!</v>
      </c>
      <c r="AM170" s="60" t="e">
        <f t="shared" si="113"/>
        <v>#NUM!</v>
      </c>
      <c r="AN170" s="60">
        <f ca="1">AVERAGE(OFFSET($AM$3,0,0,'Données projet'!$E$10+1,1))-AVERAGE(OFFSET($H$3,0,0,'Données projet'!$E$10+1,1))</f>
        <v>469.67944008675863</v>
      </c>
      <c r="AO170" s="60">
        <f t="shared" si="144"/>
        <v>266.11908070867173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0" t="e">
        <f t="shared" si="116"/>
        <v>#NUM!</v>
      </c>
      <c r="BI170" s="60">
        <f ca="1">AVERAGE(OFFSET($BH$3,0,0,'Données projet'!$E$11+1,1))-AVERAGE(OFFSET($H$3,0,0,'Données projet'!$E$11+1,1))</f>
        <v>216.36762889365235</v>
      </c>
      <c r="BJ170" s="60">
        <f t="shared" si="146"/>
        <v>333.29599352215496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0.89546111594987421</v>
      </c>
      <c r="BQ170" s="23">
        <f>EXP(-LN(2)/25)*BQ169+(1-EXP(-LN(2)/25))/(LN(2)/25)*Calculateur!BL170*Calculateur!BN170*VLOOKUP('Données projet'!$B$11,Paramètres!$A$1:$I$89,3,0)*0.475*44/12</f>
        <v>0.21844098190482639</v>
      </c>
      <c r="BR170" s="23">
        <f>EXP(-LN(2)/2)*BR169+(1-EXP(-LN(2)/2))/(LN(2)/2)*BL170*BO170*VLOOKUP('Données projet'!$B$11,Paramètres!$A$1:$I$89,3,0)*0.475*44/12</f>
        <v>7.0062589613170825E-21</v>
      </c>
      <c r="BS170" s="24">
        <f t="shared" si="169"/>
        <v>1.1139020978547005</v>
      </c>
      <c r="BT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-9.6633812063373625E-13</v>
      </c>
      <c r="BZ170" s="14">
        <f>BY170*VLOOKUP('Données projet'!$B$12,Paramètres!$A$1:$I$89,3,0)*VLOOKUP('Données projet'!$B$12,Paramètres!$A$1:$I$89,5,0)</f>
        <v>-9.3464223027694966E-13</v>
      </c>
      <c r="CA170" s="14" t="e">
        <f t="shared" si="170"/>
        <v>#NUM!</v>
      </c>
      <c r="CB170" s="22" t="e">
        <f t="shared" si="171"/>
        <v>#NUM!</v>
      </c>
      <c r="CC170" s="60" t="e">
        <f t="shared" si="119"/>
        <v>#NUM!</v>
      </c>
      <c r="CD170" s="60">
        <f ca="1">AVERAGE(OFFSET($CC$3,0,0,'Données projet'!$E$12+1,1))-AVERAGE(OFFSET($H$3,0,0,'Données projet'!$E$12+1,1))</f>
        <v>496.33873798282525</v>
      </c>
      <c r="CE170" s="60">
        <f t="shared" si="148"/>
        <v>280.25465074992246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-9.6633812063373625E-13</v>
      </c>
      <c r="CU170" s="18">
        <f>CT170*VLOOKUP('Données projet'!$B$13,Paramètres!$A$1:$I$89,3,0)*VLOOKUP('Données projet'!$B$13,Paramètres!$A$1:$I$89,5,0)</f>
        <v>-1.0401663530501537E-12</v>
      </c>
      <c r="CV170" s="14" t="e">
        <f t="shared" si="173"/>
        <v>#NUM!</v>
      </c>
      <c r="CW170" s="22" t="e">
        <f t="shared" si="174"/>
        <v>#NUM!</v>
      </c>
      <c r="CX170" s="60" t="e">
        <f t="shared" si="122"/>
        <v>#NUM!</v>
      </c>
      <c r="CY170" s="60">
        <f ca="1">AVERAGE(OFFSET($CX$3,0,0,'Données projet'!$E$13+1,1))-AVERAGE(OFFSET($H$3,0,0,'Données projet'!$E$13+1,1))</f>
        <v>542.90832990875208</v>
      </c>
      <c r="CZ170" s="60">
        <f t="shared" si="150"/>
        <v>304.94365539329362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0" t="e">
        <f t="shared" si="125"/>
        <v>#N/A</v>
      </c>
      <c r="DT170" s="60" t="e">
        <f ca="1">AVERAGE(OFFSET($DS$3,0,0,'Données projet'!$E$14+1,1))-AVERAGE(OFFSET($H$3,0,0,'Données projet'!$E$14+1,1))</f>
        <v>#N/A</v>
      </c>
      <c r="DU170" s="60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0" t="e">
        <f t="shared" si="128"/>
        <v>#N/A</v>
      </c>
      <c r="EO170" s="60" t="e">
        <f ca="1">AVERAGE(OFFSET($EN$3,0,0,'Données projet'!$E$15+1,1))-AVERAGE(OFFSET($H$3,0,0,'Données projet'!$E$15+1,1))</f>
        <v>#N/A</v>
      </c>
      <c r="EP170" s="60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0" t="e">
        <f t="shared" si="131"/>
        <v>#N/A</v>
      </c>
      <c r="FJ170" s="60" t="e">
        <f ca="1">AVERAGE(OFFSET($FI$3,0,0,'Données projet'!$E$16+1,1))-AVERAGE(OFFSET($H$3,0,0,'Données projet'!$E$16+1,1))</f>
        <v>#N/A</v>
      </c>
      <c r="FK170" s="60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0" t="e">
        <f t="shared" si="134"/>
        <v>#N/A</v>
      </c>
      <c r="GE170" s="60" t="e">
        <f ca="1">AVERAGE(OFFSET($GD$3,0,0,'Données projet'!$E$17+1,1))-AVERAGE(OFFSET($H$3,0,0,'Données projet'!$E$17+1,1))</f>
        <v>#N/A</v>
      </c>
      <c r="GF170" s="60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4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3.4106051316484809E-13</v>
      </c>
      <c r="O171" s="14">
        <f>N171*VLOOKUP('Données projet'!$B$9,Paramètres!$A$1:$I$89,3,0)*VLOOKUP('Données projet'!$B$9,Paramètres!$A$1:$I$89,5,0)</f>
        <v>1.5961632016114892E-13</v>
      </c>
      <c r="P171" s="14">
        <f t="shared" si="141"/>
        <v>2.2708641912150958E-12</v>
      </c>
      <c r="Q171" s="22">
        <f t="shared" si="162"/>
        <v>4.2330868906469593E-12</v>
      </c>
      <c r="R171" s="60">
        <f t="shared" si="109"/>
        <v>288.48730819898873</v>
      </c>
      <c r="S171" s="60">
        <f ca="1">AVERAGE(OFFSET($R$3,0,0,'Données projet'!$E$9+1,1))-AVERAGE(OFFSET($H$3,0,0,'Données projet'!$E$9+1,1))</f>
        <v>277.7918215389401</v>
      </c>
      <c r="T171" s="60">
        <f t="shared" si="142"/>
        <v>164.65640238394164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-9.6633812063373625E-13</v>
      </c>
      <c r="AJ171" s="14">
        <f>AI171*VLOOKUP('Données projet'!$B$10,Paramètres!$A$1:$I$89,3,0)*VLOOKUP('Données projet'!$B$10,Paramètres!$A$1:$I$89,5,0)</f>
        <v>-8.7434273154940449E-13</v>
      </c>
      <c r="AK171" s="14" t="e">
        <f t="shared" si="164"/>
        <v>#NUM!</v>
      </c>
      <c r="AL171" s="22" t="e">
        <f t="shared" si="165"/>
        <v>#NUM!</v>
      </c>
      <c r="AM171" s="60" t="e">
        <f t="shared" si="113"/>
        <v>#NUM!</v>
      </c>
      <c r="AN171" s="60">
        <f ca="1">AVERAGE(OFFSET($AM$3,0,0,'Données projet'!$E$10+1,1))-AVERAGE(OFFSET($H$3,0,0,'Données projet'!$E$10+1,1))</f>
        <v>469.67944008675863</v>
      </c>
      <c r="AO171" s="60">
        <f t="shared" si="144"/>
        <v>266.11908070867173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0" t="e">
        <f t="shared" si="116"/>
        <v>#NUM!</v>
      </c>
      <c r="BI171" s="60">
        <f ca="1">AVERAGE(OFFSET($BH$3,0,0,'Données projet'!$E$11+1,1))-AVERAGE(OFFSET($H$3,0,0,'Données projet'!$E$11+1,1))</f>
        <v>216.36762889365235</v>
      </c>
      <c r="BJ171" s="60">
        <f t="shared" si="146"/>
        <v>333.29599352215496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0.8779016696434474</v>
      </c>
      <c r="BQ171" s="23">
        <f>EXP(-LN(2)/25)*BQ170+(1-EXP(-LN(2)/25))/(LN(2)/25)*Calculateur!BL171*Calculateur!BN171*VLOOKUP('Données projet'!$B$11,Paramètres!$A$1:$I$89,3,0)*0.475*44/12</f>
        <v>0.21246770176732693</v>
      </c>
      <c r="BR171" s="23">
        <f>EXP(-LN(2)/2)*BR170+(1-EXP(-LN(2)/2))/(LN(2)/2)*BL171*BO171*VLOOKUP('Données projet'!$B$11,Paramètres!$A$1:$I$89,3,0)*0.475*44/12</f>
        <v>4.9541732222963261E-21</v>
      </c>
      <c r="BS171" s="24">
        <f t="shared" si="169"/>
        <v>1.0903693714107743</v>
      </c>
      <c r="BT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-9.6633812063373625E-13</v>
      </c>
      <c r="BZ171" s="14">
        <f>BY171*VLOOKUP('Données projet'!$B$12,Paramètres!$A$1:$I$89,3,0)*VLOOKUP('Données projet'!$B$12,Paramètres!$A$1:$I$89,5,0)</f>
        <v>-9.3464223027694966E-13</v>
      </c>
      <c r="CA171" s="14" t="e">
        <f t="shared" si="170"/>
        <v>#NUM!</v>
      </c>
      <c r="CB171" s="22" t="e">
        <f t="shared" si="171"/>
        <v>#NUM!</v>
      </c>
      <c r="CC171" s="60" t="e">
        <f t="shared" si="119"/>
        <v>#NUM!</v>
      </c>
      <c r="CD171" s="60">
        <f ca="1">AVERAGE(OFFSET($CC$3,0,0,'Données projet'!$E$12+1,1))-AVERAGE(OFFSET($H$3,0,0,'Données projet'!$E$12+1,1))</f>
        <v>496.33873798282525</v>
      </c>
      <c r="CE171" s="60">
        <f t="shared" si="148"/>
        <v>280.25465074992246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-9.6633812063373625E-13</v>
      </c>
      <c r="CU171" s="18">
        <f>CT171*VLOOKUP('Données projet'!$B$13,Paramètres!$A$1:$I$89,3,0)*VLOOKUP('Données projet'!$B$13,Paramètres!$A$1:$I$89,5,0)</f>
        <v>-1.0401663530501537E-12</v>
      </c>
      <c r="CV171" s="14" t="e">
        <f t="shared" si="173"/>
        <v>#NUM!</v>
      </c>
      <c r="CW171" s="22" t="e">
        <f t="shared" si="174"/>
        <v>#NUM!</v>
      </c>
      <c r="CX171" s="60" t="e">
        <f t="shared" si="122"/>
        <v>#NUM!</v>
      </c>
      <c r="CY171" s="60">
        <f ca="1">AVERAGE(OFFSET($CX$3,0,0,'Données projet'!$E$13+1,1))-AVERAGE(OFFSET($H$3,0,0,'Données projet'!$E$13+1,1))</f>
        <v>542.90832990875208</v>
      </c>
      <c r="CZ171" s="60">
        <f t="shared" si="150"/>
        <v>304.94365539329362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0" t="e">
        <f t="shared" si="125"/>
        <v>#N/A</v>
      </c>
      <c r="DT171" s="60" t="e">
        <f ca="1">AVERAGE(OFFSET($DS$3,0,0,'Données projet'!$E$14+1,1))-AVERAGE(OFFSET($H$3,0,0,'Données projet'!$E$14+1,1))</f>
        <v>#N/A</v>
      </c>
      <c r="DU171" s="60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0" t="e">
        <f t="shared" si="128"/>
        <v>#N/A</v>
      </c>
      <c r="EO171" s="60" t="e">
        <f ca="1">AVERAGE(OFFSET($EN$3,0,0,'Données projet'!$E$15+1,1))-AVERAGE(OFFSET($H$3,0,0,'Données projet'!$E$15+1,1))</f>
        <v>#N/A</v>
      </c>
      <c r="EP171" s="60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0" t="e">
        <f t="shared" si="131"/>
        <v>#N/A</v>
      </c>
      <c r="FJ171" s="60" t="e">
        <f ca="1">AVERAGE(OFFSET($FI$3,0,0,'Données projet'!$E$16+1,1))-AVERAGE(OFFSET($H$3,0,0,'Données projet'!$E$16+1,1))</f>
        <v>#N/A</v>
      </c>
      <c r="FK171" s="60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0" t="e">
        <f t="shared" si="134"/>
        <v>#N/A</v>
      </c>
      <c r="GE171" s="60" t="e">
        <f ca="1">AVERAGE(OFFSET($GD$3,0,0,'Données projet'!$E$17+1,1))-AVERAGE(OFFSET($H$3,0,0,'Données projet'!$E$17+1,1))</f>
        <v>#N/A</v>
      </c>
      <c r="GF171" s="60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4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3.4106051316484809E-13</v>
      </c>
      <c r="O172" s="14">
        <f>N172*VLOOKUP('Données projet'!$B$9,Paramètres!$A$1:$I$89,3,0)*VLOOKUP('Données projet'!$B$9,Paramètres!$A$1:$I$89,5,0)</f>
        <v>1.5961632016114892E-13</v>
      </c>
      <c r="P172" s="14">
        <f t="shared" si="141"/>
        <v>2.2708641912150958E-12</v>
      </c>
      <c r="Q172" s="22">
        <f t="shared" si="162"/>
        <v>4.2330868906469593E-12</v>
      </c>
      <c r="R172" s="60">
        <f t="shared" si="109"/>
        <v>288.57137590098063</v>
      </c>
      <c r="S172" s="60">
        <f ca="1">AVERAGE(OFFSET($R$3,0,0,'Données projet'!$E$9+1,1))-AVERAGE(OFFSET($H$3,0,0,'Données projet'!$E$9+1,1))</f>
        <v>277.7918215389401</v>
      </c>
      <c r="T172" s="60">
        <f t="shared" si="142"/>
        <v>164.65640238394164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-9.6633812063373625E-13</v>
      </c>
      <c r="AJ172" s="14">
        <f>AI172*VLOOKUP('Données projet'!$B$10,Paramètres!$A$1:$I$89,3,0)*VLOOKUP('Données projet'!$B$10,Paramètres!$A$1:$I$89,5,0)</f>
        <v>-8.7434273154940449E-13</v>
      </c>
      <c r="AK172" s="14" t="e">
        <f t="shared" si="164"/>
        <v>#NUM!</v>
      </c>
      <c r="AL172" s="22" t="e">
        <f t="shared" si="165"/>
        <v>#NUM!</v>
      </c>
      <c r="AM172" s="60" t="e">
        <f t="shared" si="113"/>
        <v>#NUM!</v>
      </c>
      <c r="AN172" s="60">
        <f ca="1">AVERAGE(OFFSET($AM$3,0,0,'Données projet'!$E$10+1,1))-AVERAGE(OFFSET($H$3,0,0,'Données projet'!$E$10+1,1))</f>
        <v>469.67944008675863</v>
      </c>
      <c r="AO172" s="60">
        <f t="shared" si="144"/>
        <v>266.11908070867173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0" t="e">
        <f t="shared" si="116"/>
        <v>#NUM!</v>
      </c>
      <c r="BI172" s="60">
        <f ca="1">AVERAGE(OFFSET($BH$3,0,0,'Données projet'!$E$11+1,1))-AVERAGE(OFFSET($H$3,0,0,'Données projet'!$E$11+1,1))</f>
        <v>216.36762889365235</v>
      </c>
      <c r="BJ172" s="60">
        <f t="shared" si="146"/>
        <v>333.29599352215496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0.86068655336888489</v>
      </c>
      <c r="BQ172" s="23">
        <f>EXP(-LN(2)/25)*BQ171+(1-EXP(-LN(2)/25))/(LN(2)/25)*Calculateur!BL172*Calculateur!BN172*VLOOKUP('Données projet'!$B$11,Paramètres!$A$1:$I$89,3,0)*0.475*44/12</f>
        <v>0.20665776128930854</v>
      </c>
      <c r="BR172" s="23">
        <f>EXP(-LN(2)/2)*BR171+(1-EXP(-LN(2)/2))/(LN(2)/2)*BL172*BO172*VLOOKUP('Données projet'!$B$11,Paramètres!$A$1:$I$89,3,0)*0.475*44/12</f>
        <v>3.5031294806585413E-21</v>
      </c>
      <c r="BS172" s="24">
        <f t="shared" si="169"/>
        <v>1.0673443146581933</v>
      </c>
      <c r="BT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-9.6633812063373625E-13</v>
      </c>
      <c r="BZ172" s="14">
        <f>BY172*VLOOKUP('Données projet'!$B$12,Paramètres!$A$1:$I$89,3,0)*VLOOKUP('Données projet'!$B$12,Paramètres!$A$1:$I$89,5,0)</f>
        <v>-9.3464223027694966E-13</v>
      </c>
      <c r="CA172" s="14" t="e">
        <f t="shared" si="170"/>
        <v>#NUM!</v>
      </c>
      <c r="CB172" s="22" t="e">
        <f t="shared" si="171"/>
        <v>#NUM!</v>
      </c>
      <c r="CC172" s="60" t="e">
        <f t="shared" si="119"/>
        <v>#NUM!</v>
      </c>
      <c r="CD172" s="60">
        <f ca="1">AVERAGE(OFFSET($CC$3,0,0,'Données projet'!$E$12+1,1))-AVERAGE(OFFSET($H$3,0,0,'Données projet'!$E$12+1,1))</f>
        <v>496.33873798282525</v>
      </c>
      <c r="CE172" s="60">
        <f t="shared" si="148"/>
        <v>280.25465074992246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-9.6633812063373625E-13</v>
      </c>
      <c r="CU172" s="18">
        <f>CT172*VLOOKUP('Données projet'!$B$13,Paramètres!$A$1:$I$89,3,0)*VLOOKUP('Données projet'!$B$13,Paramètres!$A$1:$I$89,5,0)</f>
        <v>-1.0401663530501537E-12</v>
      </c>
      <c r="CV172" s="14" t="e">
        <f t="shared" si="173"/>
        <v>#NUM!</v>
      </c>
      <c r="CW172" s="22" t="e">
        <f t="shared" si="174"/>
        <v>#NUM!</v>
      </c>
      <c r="CX172" s="60" t="e">
        <f t="shared" si="122"/>
        <v>#NUM!</v>
      </c>
      <c r="CY172" s="60">
        <f ca="1">AVERAGE(OFFSET($CX$3,0,0,'Données projet'!$E$13+1,1))-AVERAGE(OFFSET($H$3,0,0,'Données projet'!$E$13+1,1))</f>
        <v>542.90832990875208</v>
      </c>
      <c r="CZ172" s="60">
        <f t="shared" si="150"/>
        <v>304.94365539329362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0" t="e">
        <f t="shared" si="125"/>
        <v>#N/A</v>
      </c>
      <c r="DT172" s="60" t="e">
        <f ca="1">AVERAGE(OFFSET($DS$3,0,0,'Données projet'!$E$14+1,1))-AVERAGE(OFFSET($H$3,0,0,'Données projet'!$E$14+1,1))</f>
        <v>#N/A</v>
      </c>
      <c r="DU172" s="60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0" t="e">
        <f t="shared" si="128"/>
        <v>#N/A</v>
      </c>
      <c r="EO172" s="60" t="e">
        <f ca="1">AVERAGE(OFFSET($EN$3,0,0,'Données projet'!$E$15+1,1))-AVERAGE(OFFSET($H$3,0,0,'Données projet'!$E$15+1,1))</f>
        <v>#N/A</v>
      </c>
      <c r="EP172" s="60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0" t="e">
        <f t="shared" si="131"/>
        <v>#N/A</v>
      </c>
      <c r="FJ172" s="60" t="e">
        <f ca="1">AVERAGE(OFFSET($FI$3,0,0,'Données projet'!$E$16+1,1))-AVERAGE(OFFSET($H$3,0,0,'Données projet'!$E$16+1,1))</f>
        <v>#N/A</v>
      </c>
      <c r="FK172" s="60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0" t="e">
        <f t="shared" si="134"/>
        <v>#N/A</v>
      </c>
      <c r="GE172" s="60" t="e">
        <f ca="1">AVERAGE(OFFSET($GD$3,0,0,'Données projet'!$E$17+1,1))-AVERAGE(OFFSET($H$3,0,0,'Données projet'!$E$17+1,1))</f>
        <v>#N/A</v>
      </c>
      <c r="GF172" s="60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4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3.4106051316484809E-13</v>
      </c>
      <c r="O173" s="14">
        <f>N173*VLOOKUP('Données projet'!$B$9,Paramètres!$A$1:$I$89,3,0)*VLOOKUP('Données projet'!$B$9,Paramètres!$A$1:$I$89,5,0)</f>
        <v>1.5961632016114892E-13</v>
      </c>
      <c r="P173" s="14">
        <f t="shared" si="141"/>
        <v>2.2708641912150958E-12</v>
      </c>
      <c r="Q173" s="22">
        <f t="shared" si="162"/>
        <v>4.2330868906469593E-12</v>
      </c>
      <c r="R173" s="60">
        <f t="shared" si="109"/>
        <v>288.6539852162901</v>
      </c>
      <c r="S173" s="60">
        <f ca="1">AVERAGE(OFFSET($R$3,0,0,'Données projet'!$E$9+1,1))-AVERAGE(OFFSET($H$3,0,0,'Données projet'!$E$9+1,1))</f>
        <v>277.7918215389401</v>
      </c>
      <c r="T173" s="60">
        <f t="shared" si="142"/>
        <v>164.65640238394164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-9.6633812063373625E-13</v>
      </c>
      <c r="AJ173" s="14">
        <f>AI173*VLOOKUP('Données projet'!$B$10,Paramètres!$A$1:$I$89,3,0)*VLOOKUP('Données projet'!$B$10,Paramètres!$A$1:$I$89,5,0)</f>
        <v>-8.7434273154940449E-13</v>
      </c>
      <c r="AK173" s="14" t="e">
        <f t="shared" si="164"/>
        <v>#NUM!</v>
      </c>
      <c r="AL173" s="22" t="e">
        <f t="shared" si="165"/>
        <v>#NUM!</v>
      </c>
      <c r="AM173" s="60" t="e">
        <f t="shared" si="113"/>
        <v>#NUM!</v>
      </c>
      <c r="AN173" s="60">
        <f ca="1">AVERAGE(OFFSET($AM$3,0,0,'Données projet'!$E$10+1,1))-AVERAGE(OFFSET($H$3,0,0,'Données projet'!$E$10+1,1))</f>
        <v>469.67944008675863</v>
      </c>
      <c r="AO173" s="60">
        <f t="shared" si="144"/>
        <v>266.11908070867173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0" t="e">
        <f t="shared" si="116"/>
        <v>#NUM!</v>
      </c>
      <c r="BI173" s="60">
        <f ca="1">AVERAGE(OFFSET($BH$3,0,0,'Données projet'!$E$11+1,1))-AVERAGE(OFFSET($H$3,0,0,'Données projet'!$E$11+1,1))</f>
        <v>216.36762889365235</v>
      </c>
      <c r="BJ173" s="60">
        <f t="shared" si="146"/>
        <v>333.29599352215496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0.84380901502428241</v>
      </c>
      <c r="BQ173" s="23">
        <f>EXP(-LN(2)/25)*BQ172+(1-EXP(-LN(2)/25))/(LN(2)/25)*Calculateur!BL173*Calculateur!BN173*VLOOKUP('Données projet'!$B$11,Paramètres!$A$1:$I$89,3,0)*0.475*44/12</f>
        <v>0.20100669393919307</v>
      </c>
      <c r="BR173" s="23">
        <f>EXP(-LN(2)/2)*BR172+(1-EXP(-LN(2)/2))/(LN(2)/2)*BL173*BO173*VLOOKUP('Données projet'!$B$11,Paramètres!$A$1:$I$89,3,0)*0.475*44/12</f>
        <v>2.477086611148163E-21</v>
      </c>
      <c r="BS173" s="24">
        <f t="shared" si="169"/>
        <v>1.0448157089634755</v>
      </c>
      <c r="BT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-9.6633812063373625E-13</v>
      </c>
      <c r="BZ173" s="14">
        <f>BY173*VLOOKUP('Données projet'!$B$12,Paramètres!$A$1:$I$89,3,0)*VLOOKUP('Données projet'!$B$12,Paramètres!$A$1:$I$89,5,0)</f>
        <v>-9.3464223027694966E-13</v>
      </c>
      <c r="CA173" s="14" t="e">
        <f t="shared" si="170"/>
        <v>#NUM!</v>
      </c>
      <c r="CB173" s="22" t="e">
        <f t="shared" si="171"/>
        <v>#NUM!</v>
      </c>
      <c r="CC173" s="60" t="e">
        <f t="shared" si="119"/>
        <v>#NUM!</v>
      </c>
      <c r="CD173" s="60">
        <f ca="1">AVERAGE(OFFSET($CC$3,0,0,'Données projet'!$E$12+1,1))-AVERAGE(OFFSET($H$3,0,0,'Données projet'!$E$12+1,1))</f>
        <v>496.33873798282525</v>
      </c>
      <c r="CE173" s="60">
        <f t="shared" si="148"/>
        <v>280.25465074992246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-9.6633812063373625E-13</v>
      </c>
      <c r="CU173" s="18">
        <f>CT173*VLOOKUP('Données projet'!$B$13,Paramètres!$A$1:$I$89,3,0)*VLOOKUP('Données projet'!$B$13,Paramètres!$A$1:$I$89,5,0)</f>
        <v>-1.0401663530501537E-12</v>
      </c>
      <c r="CV173" s="14" t="e">
        <f t="shared" si="173"/>
        <v>#NUM!</v>
      </c>
      <c r="CW173" s="22" t="e">
        <f t="shared" si="174"/>
        <v>#NUM!</v>
      </c>
      <c r="CX173" s="60" t="e">
        <f t="shared" si="122"/>
        <v>#NUM!</v>
      </c>
      <c r="CY173" s="60">
        <f ca="1">AVERAGE(OFFSET($CX$3,0,0,'Données projet'!$E$13+1,1))-AVERAGE(OFFSET($H$3,0,0,'Données projet'!$E$13+1,1))</f>
        <v>542.90832990875208</v>
      </c>
      <c r="CZ173" s="60">
        <f t="shared" si="150"/>
        <v>304.94365539329362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0" t="e">
        <f t="shared" si="125"/>
        <v>#N/A</v>
      </c>
      <c r="DT173" s="60" t="e">
        <f ca="1">AVERAGE(OFFSET($DS$3,0,0,'Données projet'!$E$14+1,1))-AVERAGE(OFFSET($H$3,0,0,'Données projet'!$E$14+1,1))</f>
        <v>#N/A</v>
      </c>
      <c r="DU173" s="60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0" t="e">
        <f t="shared" si="128"/>
        <v>#N/A</v>
      </c>
      <c r="EO173" s="60" t="e">
        <f ca="1">AVERAGE(OFFSET($EN$3,0,0,'Données projet'!$E$15+1,1))-AVERAGE(OFFSET($H$3,0,0,'Données projet'!$E$15+1,1))</f>
        <v>#N/A</v>
      </c>
      <c r="EP173" s="60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0" t="e">
        <f t="shared" si="131"/>
        <v>#N/A</v>
      </c>
      <c r="FJ173" s="60" t="e">
        <f ca="1">AVERAGE(OFFSET($FI$3,0,0,'Données projet'!$E$16+1,1))-AVERAGE(OFFSET($H$3,0,0,'Données projet'!$E$16+1,1))</f>
        <v>#N/A</v>
      </c>
      <c r="FK173" s="60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0" t="e">
        <f t="shared" si="134"/>
        <v>#N/A</v>
      </c>
      <c r="GE173" s="60" t="e">
        <f ca="1">AVERAGE(OFFSET($GD$3,0,0,'Données projet'!$E$17+1,1))-AVERAGE(OFFSET($H$3,0,0,'Données projet'!$E$17+1,1))</f>
        <v>#N/A</v>
      </c>
      <c r="GF173" s="60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4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3.4106051316484809E-13</v>
      </c>
      <c r="O174" s="14">
        <f>N174*VLOOKUP('Données projet'!$B$9,Paramètres!$A$1:$I$89,3,0)*VLOOKUP('Données projet'!$B$9,Paramètres!$A$1:$I$89,5,0)</f>
        <v>1.5961632016114892E-13</v>
      </c>
      <c r="P174" s="14">
        <f t="shared" si="141"/>
        <v>2.2708641912150958E-12</v>
      </c>
      <c r="Q174" s="22">
        <f t="shared" si="162"/>
        <v>4.2330868906469593E-12</v>
      </c>
      <c r="R174" s="60">
        <f t="shared" si="109"/>
        <v>288.73516144466572</v>
      </c>
      <c r="S174" s="60">
        <f ca="1">AVERAGE(OFFSET($R$3,0,0,'Données projet'!$E$9+1,1))-AVERAGE(OFFSET($H$3,0,0,'Données projet'!$E$9+1,1))</f>
        <v>277.7918215389401</v>
      </c>
      <c r="T174" s="60">
        <f t="shared" si="142"/>
        <v>164.65640238394164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-9.6633812063373625E-13</v>
      </c>
      <c r="AJ174" s="14">
        <f>AI174*VLOOKUP('Données projet'!$B$10,Paramètres!$A$1:$I$89,3,0)*VLOOKUP('Données projet'!$B$10,Paramètres!$A$1:$I$89,5,0)</f>
        <v>-8.7434273154940449E-13</v>
      </c>
      <c r="AK174" s="14" t="e">
        <f t="shared" si="164"/>
        <v>#NUM!</v>
      </c>
      <c r="AL174" s="22" t="e">
        <f t="shared" si="165"/>
        <v>#NUM!</v>
      </c>
      <c r="AM174" s="60" t="e">
        <f t="shared" si="113"/>
        <v>#NUM!</v>
      </c>
      <c r="AN174" s="60">
        <f ca="1">AVERAGE(OFFSET($AM$3,0,0,'Données projet'!$E$10+1,1))-AVERAGE(OFFSET($H$3,0,0,'Données projet'!$E$10+1,1))</f>
        <v>469.67944008675863</v>
      </c>
      <c r="AO174" s="60">
        <f t="shared" si="144"/>
        <v>266.11908070867173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0" t="e">
        <f t="shared" si="116"/>
        <v>#NUM!</v>
      </c>
      <c r="BI174" s="60">
        <f ca="1">AVERAGE(OFFSET($BH$3,0,0,'Données projet'!$E$11+1,1))-AVERAGE(OFFSET($H$3,0,0,'Données projet'!$E$11+1,1))</f>
        <v>216.36762889365235</v>
      </c>
      <c r="BJ174" s="60">
        <f t="shared" si="146"/>
        <v>333.29599352215496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0.82726243491233564</v>
      </c>
      <c r="BQ174" s="23">
        <f>EXP(-LN(2)/25)*BQ173+(1-EXP(-LN(2)/25))/(LN(2)/25)*Calculateur!BL174*Calculateur!BN174*VLOOKUP('Données projet'!$B$11,Paramètres!$A$1:$I$89,3,0)*0.475*44/12</f>
        <v>0.19551015532294322</v>
      </c>
      <c r="BR174" s="23">
        <f>EXP(-LN(2)/2)*BR173+(1-EXP(-LN(2)/2))/(LN(2)/2)*BL174*BO174*VLOOKUP('Données projet'!$B$11,Paramètres!$A$1:$I$89,3,0)*0.475*44/12</f>
        <v>1.7515647403292706E-21</v>
      </c>
      <c r="BS174" s="24">
        <f t="shared" si="169"/>
        <v>1.0227725902352789</v>
      </c>
      <c r="BT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-9.6633812063373625E-13</v>
      </c>
      <c r="BZ174" s="14">
        <f>BY174*VLOOKUP('Données projet'!$B$12,Paramètres!$A$1:$I$89,3,0)*VLOOKUP('Données projet'!$B$12,Paramètres!$A$1:$I$89,5,0)</f>
        <v>-9.3464223027694966E-13</v>
      </c>
      <c r="CA174" s="14" t="e">
        <f t="shared" si="170"/>
        <v>#NUM!</v>
      </c>
      <c r="CB174" s="22" t="e">
        <f t="shared" si="171"/>
        <v>#NUM!</v>
      </c>
      <c r="CC174" s="60" t="e">
        <f t="shared" si="119"/>
        <v>#NUM!</v>
      </c>
      <c r="CD174" s="60">
        <f ca="1">AVERAGE(OFFSET($CC$3,0,0,'Données projet'!$E$12+1,1))-AVERAGE(OFFSET($H$3,0,0,'Données projet'!$E$12+1,1))</f>
        <v>496.33873798282525</v>
      </c>
      <c r="CE174" s="60">
        <f t="shared" si="148"/>
        <v>280.25465074992246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-9.6633812063373625E-13</v>
      </c>
      <c r="CU174" s="18">
        <f>CT174*VLOOKUP('Données projet'!$B$13,Paramètres!$A$1:$I$89,3,0)*VLOOKUP('Données projet'!$B$13,Paramètres!$A$1:$I$89,5,0)</f>
        <v>-1.0401663530501537E-12</v>
      </c>
      <c r="CV174" s="14" t="e">
        <f t="shared" si="173"/>
        <v>#NUM!</v>
      </c>
      <c r="CW174" s="22" t="e">
        <f t="shared" si="174"/>
        <v>#NUM!</v>
      </c>
      <c r="CX174" s="60" t="e">
        <f t="shared" si="122"/>
        <v>#NUM!</v>
      </c>
      <c r="CY174" s="60">
        <f ca="1">AVERAGE(OFFSET($CX$3,0,0,'Données projet'!$E$13+1,1))-AVERAGE(OFFSET($H$3,0,0,'Données projet'!$E$13+1,1))</f>
        <v>542.90832990875208</v>
      </c>
      <c r="CZ174" s="60">
        <f t="shared" si="150"/>
        <v>304.94365539329362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0" t="e">
        <f t="shared" si="125"/>
        <v>#N/A</v>
      </c>
      <c r="DT174" s="60" t="e">
        <f ca="1">AVERAGE(OFFSET($DS$3,0,0,'Données projet'!$E$14+1,1))-AVERAGE(OFFSET($H$3,0,0,'Données projet'!$E$14+1,1))</f>
        <v>#N/A</v>
      </c>
      <c r="DU174" s="60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0" t="e">
        <f t="shared" si="128"/>
        <v>#N/A</v>
      </c>
      <c r="EO174" s="60" t="e">
        <f ca="1">AVERAGE(OFFSET($EN$3,0,0,'Données projet'!$E$15+1,1))-AVERAGE(OFFSET($H$3,0,0,'Données projet'!$E$15+1,1))</f>
        <v>#N/A</v>
      </c>
      <c r="EP174" s="60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0" t="e">
        <f t="shared" si="131"/>
        <v>#N/A</v>
      </c>
      <c r="FJ174" s="60" t="e">
        <f ca="1">AVERAGE(OFFSET($FI$3,0,0,'Données projet'!$E$16+1,1))-AVERAGE(OFFSET($H$3,0,0,'Données projet'!$E$16+1,1))</f>
        <v>#N/A</v>
      </c>
      <c r="FK174" s="60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0" t="e">
        <f t="shared" si="134"/>
        <v>#N/A</v>
      </c>
      <c r="GE174" s="60" t="e">
        <f ca="1">AVERAGE(OFFSET($GD$3,0,0,'Données projet'!$E$17+1,1))-AVERAGE(OFFSET($H$3,0,0,'Données projet'!$E$17+1,1))</f>
        <v>#N/A</v>
      </c>
      <c r="GF174" s="60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4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3.4106051316484809E-13</v>
      </c>
      <c r="O175" s="14">
        <f>N175*VLOOKUP('Données projet'!$B$9,Paramètres!$A$1:$I$89,3,0)*VLOOKUP('Données projet'!$B$9,Paramètres!$A$1:$I$89,5,0)</f>
        <v>1.5961632016114892E-13</v>
      </c>
      <c r="P175" s="14">
        <f t="shared" si="141"/>
        <v>2.2708641912150958E-12</v>
      </c>
      <c r="Q175" s="22">
        <f t="shared" si="162"/>
        <v>4.2330868906469593E-12</v>
      </c>
      <c r="R175" s="60">
        <f t="shared" si="109"/>
        <v>288.81492944696186</v>
      </c>
      <c r="S175" s="60">
        <f ca="1">AVERAGE(OFFSET($R$3,0,0,'Données projet'!$E$9+1,1))-AVERAGE(OFFSET($H$3,0,0,'Données projet'!$E$9+1,1))</f>
        <v>277.7918215389401</v>
      </c>
      <c r="T175" s="60">
        <f t="shared" si="142"/>
        <v>164.65640238394164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-9.6633812063373625E-13</v>
      </c>
      <c r="AJ175" s="14">
        <f>AI175*VLOOKUP('Données projet'!$B$10,Paramètres!$A$1:$I$89,3,0)*VLOOKUP('Données projet'!$B$10,Paramètres!$A$1:$I$89,5,0)</f>
        <v>-8.7434273154940449E-13</v>
      </c>
      <c r="AK175" s="14" t="e">
        <f t="shared" si="164"/>
        <v>#NUM!</v>
      </c>
      <c r="AL175" s="22" t="e">
        <f t="shared" si="165"/>
        <v>#NUM!</v>
      </c>
      <c r="AM175" s="60" t="e">
        <f t="shared" si="113"/>
        <v>#NUM!</v>
      </c>
      <c r="AN175" s="60">
        <f ca="1">AVERAGE(OFFSET($AM$3,0,0,'Données projet'!$E$10+1,1))-AVERAGE(OFFSET($H$3,0,0,'Données projet'!$E$10+1,1))</f>
        <v>469.67944008675863</v>
      </c>
      <c r="AO175" s="60">
        <f t="shared" si="144"/>
        <v>266.11908070867173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0" t="e">
        <f t="shared" si="116"/>
        <v>#NUM!</v>
      </c>
      <c r="BI175" s="60">
        <f ca="1">AVERAGE(OFFSET($BH$3,0,0,'Données projet'!$E$11+1,1))-AVERAGE(OFFSET($H$3,0,0,'Données projet'!$E$11+1,1))</f>
        <v>216.36762889365235</v>
      </c>
      <c r="BJ175" s="60">
        <f t="shared" si="146"/>
        <v>333.29599352215496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0.8110403231439669</v>
      </c>
      <c r="BQ175" s="23">
        <f>EXP(-LN(2)/25)*BQ174+(1-EXP(-LN(2)/25))/(LN(2)/25)*Calculateur!BL175*Calculateur!BN175*VLOOKUP('Données projet'!$B$11,Paramètres!$A$1:$I$89,3,0)*0.475*44/12</f>
        <v>0.19016391984420511</v>
      </c>
      <c r="BR175" s="23">
        <f>EXP(-LN(2)/2)*BR174+(1-EXP(-LN(2)/2))/(LN(2)/2)*BL175*BO175*VLOOKUP('Données projet'!$B$11,Paramètres!$A$1:$I$89,3,0)*0.475*44/12</f>
        <v>1.2385433055740815E-21</v>
      </c>
      <c r="BS175" s="24">
        <f t="shared" si="169"/>
        <v>1.001204242988172</v>
      </c>
      <c r="BT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-9.6633812063373625E-13</v>
      </c>
      <c r="BZ175" s="14">
        <f>BY175*VLOOKUP('Données projet'!$B$12,Paramètres!$A$1:$I$89,3,0)*VLOOKUP('Données projet'!$B$12,Paramètres!$A$1:$I$89,5,0)</f>
        <v>-9.3464223027694966E-13</v>
      </c>
      <c r="CA175" s="14" t="e">
        <f t="shared" si="170"/>
        <v>#NUM!</v>
      </c>
      <c r="CB175" s="22" t="e">
        <f t="shared" si="171"/>
        <v>#NUM!</v>
      </c>
      <c r="CC175" s="60" t="e">
        <f t="shared" si="119"/>
        <v>#NUM!</v>
      </c>
      <c r="CD175" s="60">
        <f ca="1">AVERAGE(OFFSET($CC$3,0,0,'Données projet'!$E$12+1,1))-AVERAGE(OFFSET($H$3,0,0,'Données projet'!$E$12+1,1))</f>
        <v>496.33873798282525</v>
      </c>
      <c r="CE175" s="60">
        <f t="shared" si="148"/>
        <v>280.25465074992246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-9.6633812063373625E-13</v>
      </c>
      <c r="CU175" s="18">
        <f>CT175*VLOOKUP('Données projet'!$B$13,Paramètres!$A$1:$I$89,3,0)*VLOOKUP('Données projet'!$B$13,Paramètres!$A$1:$I$89,5,0)</f>
        <v>-1.0401663530501537E-12</v>
      </c>
      <c r="CV175" s="14" t="e">
        <f t="shared" si="173"/>
        <v>#NUM!</v>
      </c>
      <c r="CW175" s="22" t="e">
        <f t="shared" si="174"/>
        <v>#NUM!</v>
      </c>
      <c r="CX175" s="60" t="e">
        <f t="shared" si="122"/>
        <v>#NUM!</v>
      </c>
      <c r="CY175" s="60">
        <f ca="1">AVERAGE(OFFSET($CX$3,0,0,'Données projet'!$E$13+1,1))-AVERAGE(OFFSET($H$3,0,0,'Données projet'!$E$13+1,1))</f>
        <v>542.90832990875208</v>
      </c>
      <c r="CZ175" s="60">
        <f t="shared" si="150"/>
        <v>304.94365539329362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0" t="e">
        <f t="shared" si="125"/>
        <v>#N/A</v>
      </c>
      <c r="DT175" s="60" t="e">
        <f ca="1">AVERAGE(OFFSET($DS$3,0,0,'Données projet'!$E$14+1,1))-AVERAGE(OFFSET($H$3,0,0,'Données projet'!$E$14+1,1))</f>
        <v>#N/A</v>
      </c>
      <c r="DU175" s="60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0" t="e">
        <f t="shared" si="128"/>
        <v>#N/A</v>
      </c>
      <c r="EO175" s="60" t="e">
        <f ca="1">AVERAGE(OFFSET($EN$3,0,0,'Données projet'!$E$15+1,1))-AVERAGE(OFFSET($H$3,0,0,'Données projet'!$E$15+1,1))</f>
        <v>#N/A</v>
      </c>
      <c r="EP175" s="60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0" t="e">
        <f t="shared" si="131"/>
        <v>#N/A</v>
      </c>
      <c r="FJ175" s="60" t="e">
        <f ca="1">AVERAGE(OFFSET($FI$3,0,0,'Données projet'!$E$16+1,1))-AVERAGE(OFFSET($H$3,0,0,'Données projet'!$E$16+1,1))</f>
        <v>#N/A</v>
      </c>
      <c r="FK175" s="60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0" t="e">
        <f t="shared" si="134"/>
        <v>#N/A</v>
      </c>
      <c r="GE175" s="60" t="e">
        <f ca="1">AVERAGE(OFFSET($GD$3,0,0,'Données projet'!$E$17+1,1))-AVERAGE(OFFSET($H$3,0,0,'Données projet'!$E$17+1,1))</f>
        <v>#N/A</v>
      </c>
      <c r="GF175" s="60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4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3.4106051316484809E-13</v>
      </c>
      <c r="O176" s="14">
        <f>N176*VLOOKUP('Données projet'!$B$9,Paramètres!$A$1:$I$89,3,0)*VLOOKUP('Données projet'!$B$9,Paramètres!$A$1:$I$89,5,0)</f>
        <v>1.5961632016114892E-13</v>
      </c>
      <c r="P176" s="14">
        <f t="shared" si="141"/>
        <v>2.2708641912150958E-12</v>
      </c>
      <c r="Q176" s="22">
        <f t="shared" si="162"/>
        <v>4.2330868906469593E-12</v>
      </c>
      <c r="R176" s="60">
        <f t="shared" si="109"/>
        <v>288.89331365275268</v>
      </c>
      <c r="S176" s="60">
        <f ca="1">AVERAGE(OFFSET($R$3,0,0,'Données projet'!$E$9+1,1))-AVERAGE(OFFSET($H$3,0,0,'Données projet'!$E$9+1,1))</f>
        <v>277.7918215389401</v>
      </c>
      <c r="T176" s="60">
        <f t="shared" si="142"/>
        <v>164.65640238394164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-9.6633812063373625E-13</v>
      </c>
      <c r="AJ176" s="14">
        <f>AI176*VLOOKUP('Données projet'!$B$10,Paramètres!$A$1:$I$89,3,0)*VLOOKUP('Données projet'!$B$10,Paramètres!$A$1:$I$89,5,0)</f>
        <v>-8.7434273154940449E-13</v>
      </c>
      <c r="AK176" s="14" t="e">
        <f t="shared" si="164"/>
        <v>#NUM!</v>
      </c>
      <c r="AL176" s="22" t="e">
        <f t="shared" si="165"/>
        <v>#NUM!</v>
      </c>
      <c r="AM176" s="60" t="e">
        <f t="shared" si="113"/>
        <v>#NUM!</v>
      </c>
      <c r="AN176" s="60">
        <f ca="1">AVERAGE(OFFSET($AM$3,0,0,'Données projet'!$E$10+1,1))-AVERAGE(OFFSET($H$3,0,0,'Données projet'!$E$10+1,1))</f>
        <v>469.67944008675863</v>
      </c>
      <c r="AO176" s="60">
        <f t="shared" si="144"/>
        <v>266.11908070867173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0" t="e">
        <f t="shared" si="116"/>
        <v>#NUM!</v>
      </c>
      <c r="BI176" s="60">
        <f ca="1">AVERAGE(OFFSET($BH$3,0,0,'Données projet'!$E$11+1,1))-AVERAGE(OFFSET($H$3,0,0,'Données projet'!$E$11+1,1))</f>
        <v>216.36762889365235</v>
      </c>
      <c r="BJ176" s="60">
        <f t="shared" si="146"/>
        <v>333.29599352215496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0.7951363170928647</v>
      </c>
      <c r="BQ176" s="23">
        <f>EXP(-LN(2)/25)*BQ175+(1-EXP(-LN(2)/25))/(LN(2)/25)*Calculateur!BL176*Calculateur!BN176*VLOOKUP('Données projet'!$B$11,Paramètres!$A$1:$I$89,3,0)*0.475*44/12</f>
        <v>0.18496387745577941</v>
      </c>
      <c r="BR176" s="23">
        <f>EXP(-LN(2)/2)*BR175+(1-EXP(-LN(2)/2))/(LN(2)/2)*BL176*BO176*VLOOKUP('Données projet'!$B$11,Paramètres!$A$1:$I$89,3,0)*0.475*44/12</f>
        <v>8.7578237016463531E-22</v>
      </c>
      <c r="BS176" s="24">
        <f t="shared" si="169"/>
        <v>0.98010019454864405</v>
      </c>
      <c r="BT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-9.6633812063373625E-13</v>
      </c>
      <c r="BZ176" s="14">
        <f>BY176*VLOOKUP('Données projet'!$B$12,Paramètres!$A$1:$I$89,3,0)*VLOOKUP('Données projet'!$B$12,Paramètres!$A$1:$I$89,5,0)</f>
        <v>-9.3464223027694966E-13</v>
      </c>
      <c r="CA176" s="14" t="e">
        <f t="shared" si="170"/>
        <v>#NUM!</v>
      </c>
      <c r="CB176" s="22" t="e">
        <f t="shared" si="171"/>
        <v>#NUM!</v>
      </c>
      <c r="CC176" s="60" t="e">
        <f t="shared" si="119"/>
        <v>#NUM!</v>
      </c>
      <c r="CD176" s="60">
        <f ca="1">AVERAGE(OFFSET($CC$3,0,0,'Données projet'!$E$12+1,1))-AVERAGE(OFFSET($H$3,0,0,'Données projet'!$E$12+1,1))</f>
        <v>496.33873798282525</v>
      </c>
      <c r="CE176" s="60">
        <f t="shared" si="148"/>
        <v>280.25465074992246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-9.6633812063373625E-13</v>
      </c>
      <c r="CU176" s="18">
        <f>CT176*VLOOKUP('Données projet'!$B$13,Paramètres!$A$1:$I$89,3,0)*VLOOKUP('Données projet'!$B$13,Paramètres!$A$1:$I$89,5,0)</f>
        <v>-1.0401663530501537E-12</v>
      </c>
      <c r="CV176" s="14" t="e">
        <f t="shared" si="173"/>
        <v>#NUM!</v>
      </c>
      <c r="CW176" s="22" t="e">
        <f t="shared" si="174"/>
        <v>#NUM!</v>
      </c>
      <c r="CX176" s="60" t="e">
        <f t="shared" si="122"/>
        <v>#NUM!</v>
      </c>
      <c r="CY176" s="60">
        <f ca="1">AVERAGE(OFFSET($CX$3,0,0,'Données projet'!$E$13+1,1))-AVERAGE(OFFSET($H$3,0,0,'Données projet'!$E$13+1,1))</f>
        <v>542.90832990875208</v>
      </c>
      <c r="CZ176" s="60">
        <f t="shared" si="150"/>
        <v>304.94365539329362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0" t="e">
        <f t="shared" si="125"/>
        <v>#N/A</v>
      </c>
      <c r="DT176" s="60" t="e">
        <f ca="1">AVERAGE(OFFSET($DS$3,0,0,'Données projet'!$E$14+1,1))-AVERAGE(OFFSET($H$3,0,0,'Données projet'!$E$14+1,1))</f>
        <v>#N/A</v>
      </c>
      <c r="DU176" s="60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0" t="e">
        <f t="shared" si="128"/>
        <v>#N/A</v>
      </c>
      <c r="EO176" s="60" t="e">
        <f ca="1">AVERAGE(OFFSET($EN$3,0,0,'Données projet'!$E$15+1,1))-AVERAGE(OFFSET($H$3,0,0,'Données projet'!$E$15+1,1))</f>
        <v>#N/A</v>
      </c>
      <c r="EP176" s="60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0" t="e">
        <f t="shared" si="131"/>
        <v>#N/A</v>
      </c>
      <c r="FJ176" s="60" t="e">
        <f ca="1">AVERAGE(OFFSET($FI$3,0,0,'Données projet'!$E$16+1,1))-AVERAGE(OFFSET($H$3,0,0,'Données projet'!$E$16+1,1))</f>
        <v>#N/A</v>
      </c>
      <c r="FK176" s="60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0" t="e">
        <f t="shared" si="134"/>
        <v>#N/A</v>
      </c>
      <c r="GE176" s="60" t="e">
        <f ca="1">AVERAGE(OFFSET($GD$3,0,0,'Données projet'!$E$17+1,1))-AVERAGE(OFFSET($H$3,0,0,'Données projet'!$E$17+1,1))</f>
        <v>#N/A</v>
      </c>
      <c r="GF176" s="60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4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3.4106051316484809E-13</v>
      </c>
      <c r="O177" s="14">
        <f>N177*VLOOKUP('Données projet'!$B$9,Paramètres!$A$1:$I$89,3,0)*VLOOKUP('Données projet'!$B$9,Paramètres!$A$1:$I$89,5,0)</f>
        <v>1.5961632016114892E-13</v>
      </c>
      <c r="P177" s="14">
        <f t="shared" si="141"/>
        <v>2.2708641912150958E-12</v>
      </c>
      <c r="Q177" s="22">
        <f t="shared" si="162"/>
        <v>4.2330868906469593E-12</v>
      </c>
      <c r="R177" s="60">
        <f t="shared" si="109"/>
        <v>288.97033806781394</v>
      </c>
      <c r="S177" s="60">
        <f ca="1">AVERAGE(OFFSET($R$3,0,0,'Données projet'!$E$9+1,1))-AVERAGE(OFFSET($H$3,0,0,'Données projet'!$E$9+1,1))</f>
        <v>277.7918215389401</v>
      </c>
      <c r="T177" s="60">
        <f t="shared" si="142"/>
        <v>164.65640238394164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-9.6633812063373625E-13</v>
      </c>
      <c r="AJ177" s="14">
        <f>AI177*VLOOKUP('Données projet'!$B$10,Paramètres!$A$1:$I$89,3,0)*VLOOKUP('Données projet'!$B$10,Paramètres!$A$1:$I$89,5,0)</f>
        <v>-8.7434273154940449E-13</v>
      </c>
      <c r="AK177" s="14" t="e">
        <f t="shared" si="164"/>
        <v>#NUM!</v>
      </c>
      <c r="AL177" s="22" t="e">
        <f t="shared" si="165"/>
        <v>#NUM!</v>
      </c>
      <c r="AM177" s="60" t="e">
        <f t="shared" si="113"/>
        <v>#NUM!</v>
      </c>
      <c r="AN177" s="60">
        <f ca="1">AVERAGE(OFFSET($AM$3,0,0,'Données projet'!$E$10+1,1))-AVERAGE(OFFSET($H$3,0,0,'Données projet'!$E$10+1,1))</f>
        <v>469.67944008675863</v>
      </c>
      <c r="AO177" s="60">
        <f t="shared" si="144"/>
        <v>266.11908070867173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0" t="e">
        <f t="shared" si="116"/>
        <v>#NUM!</v>
      </c>
      <c r="BI177" s="60">
        <f ca="1">AVERAGE(OFFSET($BH$3,0,0,'Données projet'!$E$11+1,1))-AVERAGE(OFFSET($H$3,0,0,'Données projet'!$E$11+1,1))</f>
        <v>216.36762889365235</v>
      </c>
      <c r="BJ177" s="60">
        <f t="shared" si="146"/>
        <v>333.29599352215496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0.77954417889993877</v>
      </c>
      <c r="BQ177" s="23">
        <f>EXP(-LN(2)/25)*BQ176+(1-EXP(-LN(2)/25))/(LN(2)/25)*Calculateur!BL177*Calculateur!BN177*VLOOKUP('Données projet'!$B$11,Paramètres!$A$1:$I$89,3,0)*0.475*44/12</f>
        <v>0.17990603049992354</v>
      </c>
      <c r="BR177" s="23">
        <f>EXP(-LN(2)/2)*BR176+(1-EXP(-LN(2)/2))/(LN(2)/2)*BL177*BO177*VLOOKUP('Données projet'!$B$11,Paramètres!$A$1:$I$89,3,0)*0.475*44/12</f>
        <v>6.1927165278704076E-22</v>
      </c>
      <c r="BS177" s="24">
        <f t="shared" si="169"/>
        <v>0.95945020939986225</v>
      </c>
      <c r="BT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-9.6633812063373625E-13</v>
      </c>
      <c r="BZ177" s="14">
        <f>BY177*VLOOKUP('Données projet'!$B$12,Paramètres!$A$1:$I$89,3,0)*VLOOKUP('Données projet'!$B$12,Paramètres!$A$1:$I$89,5,0)</f>
        <v>-9.3464223027694966E-13</v>
      </c>
      <c r="CA177" s="14" t="e">
        <f t="shared" si="170"/>
        <v>#NUM!</v>
      </c>
      <c r="CB177" s="22" t="e">
        <f t="shared" si="171"/>
        <v>#NUM!</v>
      </c>
      <c r="CC177" s="60" t="e">
        <f t="shared" si="119"/>
        <v>#NUM!</v>
      </c>
      <c r="CD177" s="60">
        <f ca="1">AVERAGE(OFFSET($CC$3,0,0,'Données projet'!$E$12+1,1))-AVERAGE(OFFSET($H$3,0,0,'Données projet'!$E$12+1,1))</f>
        <v>496.33873798282525</v>
      </c>
      <c r="CE177" s="60">
        <f t="shared" si="148"/>
        <v>280.25465074992246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-9.6633812063373625E-13</v>
      </c>
      <c r="CU177" s="18">
        <f>CT177*VLOOKUP('Données projet'!$B$13,Paramètres!$A$1:$I$89,3,0)*VLOOKUP('Données projet'!$B$13,Paramètres!$A$1:$I$89,5,0)</f>
        <v>-1.0401663530501537E-12</v>
      </c>
      <c r="CV177" s="14" t="e">
        <f t="shared" si="173"/>
        <v>#NUM!</v>
      </c>
      <c r="CW177" s="22" t="e">
        <f t="shared" si="174"/>
        <v>#NUM!</v>
      </c>
      <c r="CX177" s="60" t="e">
        <f t="shared" si="122"/>
        <v>#NUM!</v>
      </c>
      <c r="CY177" s="60">
        <f ca="1">AVERAGE(OFFSET($CX$3,0,0,'Données projet'!$E$13+1,1))-AVERAGE(OFFSET($H$3,0,0,'Données projet'!$E$13+1,1))</f>
        <v>542.90832990875208</v>
      </c>
      <c r="CZ177" s="60">
        <f t="shared" si="150"/>
        <v>304.94365539329362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0" t="e">
        <f t="shared" si="125"/>
        <v>#N/A</v>
      </c>
      <c r="DT177" s="60" t="e">
        <f ca="1">AVERAGE(OFFSET($DS$3,0,0,'Données projet'!$E$14+1,1))-AVERAGE(OFFSET($H$3,0,0,'Données projet'!$E$14+1,1))</f>
        <v>#N/A</v>
      </c>
      <c r="DU177" s="60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0" t="e">
        <f t="shared" si="128"/>
        <v>#N/A</v>
      </c>
      <c r="EO177" s="60" t="e">
        <f ca="1">AVERAGE(OFFSET($EN$3,0,0,'Données projet'!$E$15+1,1))-AVERAGE(OFFSET($H$3,0,0,'Données projet'!$E$15+1,1))</f>
        <v>#N/A</v>
      </c>
      <c r="EP177" s="60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0" t="e">
        <f t="shared" si="131"/>
        <v>#N/A</v>
      </c>
      <c r="FJ177" s="60" t="e">
        <f ca="1">AVERAGE(OFFSET($FI$3,0,0,'Données projet'!$E$16+1,1))-AVERAGE(OFFSET($H$3,0,0,'Données projet'!$E$16+1,1))</f>
        <v>#N/A</v>
      </c>
      <c r="FK177" s="60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0" t="e">
        <f t="shared" si="134"/>
        <v>#N/A</v>
      </c>
      <c r="GE177" s="60" t="e">
        <f ca="1">AVERAGE(OFFSET($GD$3,0,0,'Données projet'!$E$17+1,1))-AVERAGE(OFFSET($H$3,0,0,'Données projet'!$E$17+1,1))</f>
        <v>#N/A</v>
      </c>
      <c r="GF177" s="60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4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3.4106051316484809E-13</v>
      </c>
      <c r="O178" s="14">
        <f>N178*VLOOKUP('Données projet'!$B$9,Paramètres!$A$1:$I$89,3,0)*VLOOKUP('Données projet'!$B$9,Paramètres!$A$1:$I$89,5,0)</f>
        <v>1.5961632016114892E-13</v>
      </c>
      <c r="P178" s="14">
        <f t="shared" si="141"/>
        <v>2.2708641912150958E-12</v>
      </c>
      <c r="Q178" s="22">
        <f t="shared" si="162"/>
        <v>4.2330868906469593E-12</v>
      </c>
      <c r="R178" s="60">
        <f t="shared" si="109"/>
        <v>289.04602628147461</v>
      </c>
      <c r="S178" s="60">
        <f ca="1">AVERAGE(OFFSET($R$3,0,0,'Données projet'!$E$9+1,1))-AVERAGE(OFFSET($H$3,0,0,'Données projet'!$E$9+1,1))</f>
        <v>277.7918215389401</v>
      </c>
      <c r="T178" s="60">
        <f t="shared" si="142"/>
        <v>164.65640238394164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-9.6633812063373625E-13</v>
      </c>
      <c r="AJ178" s="14">
        <f>AI178*VLOOKUP('Données projet'!$B$10,Paramètres!$A$1:$I$89,3,0)*VLOOKUP('Données projet'!$B$10,Paramètres!$A$1:$I$89,5,0)</f>
        <v>-8.7434273154940449E-13</v>
      </c>
      <c r="AK178" s="14" t="e">
        <f t="shared" si="164"/>
        <v>#NUM!</v>
      </c>
      <c r="AL178" s="22" t="e">
        <f t="shared" si="165"/>
        <v>#NUM!</v>
      </c>
      <c r="AM178" s="60" t="e">
        <f t="shared" si="113"/>
        <v>#NUM!</v>
      </c>
      <c r="AN178" s="60">
        <f ca="1">AVERAGE(OFFSET($AM$3,0,0,'Données projet'!$E$10+1,1))-AVERAGE(OFFSET($H$3,0,0,'Données projet'!$E$10+1,1))</f>
        <v>469.67944008675863</v>
      </c>
      <c r="AO178" s="60">
        <f t="shared" si="144"/>
        <v>266.11908070867173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0" t="e">
        <f t="shared" si="116"/>
        <v>#NUM!</v>
      </c>
      <c r="BI178" s="60">
        <f ca="1">AVERAGE(OFFSET($BH$3,0,0,'Données projet'!$E$11+1,1))-AVERAGE(OFFSET($H$3,0,0,'Données projet'!$E$11+1,1))</f>
        <v>216.36762889365235</v>
      </c>
      <c r="BJ178" s="60">
        <f t="shared" si="146"/>
        <v>333.29599352215496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0.76425779302671082</v>
      </c>
      <c r="BQ178" s="23">
        <f>EXP(-LN(2)/25)*BQ177+(1-EXP(-LN(2)/25))/(LN(2)/25)*Calculateur!BL178*Calculateur!BN178*VLOOKUP('Données projet'!$B$11,Paramètres!$A$1:$I$89,3,0)*0.475*44/12</f>
        <v>0.17498649063505617</v>
      </c>
      <c r="BR178" s="23">
        <f>EXP(-LN(2)/2)*BR177+(1-EXP(-LN(2)/2))/(LN(2)/2)*BL178*BO178*VLOOKUP('Données projet'!$B$11,Paramètres!$A$1:$I$89,3,0)*0.475*44/12</f>
        <v>4.3789118508231766E-22</v>
      </c>
      <c r="BS178" s="24">
        <f t="shared" si="169"/>
        <v>0.93924428366176693</v>
      </c>
      <c r="BT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-9.6633812063373625E-13</v>
      </c>
      <c r="BZ178" s="14">
        <f>BY178*VLOOKUP('Données projet'!$B$12,Paramètres!$A$1:$I$89,3,0)*VLOOKUP('Données projet'!$B$12,Paramètres!$A$1:$I$89,5,0)</f>
        <v>-9.3464223027694966E-13</v>
      </c>
      <c r="CA178" s="14" t="e">
        <f t="shared" si="170"/>
        <v>#NUM!</v>
      </c>
      <c r="CB178" s="22" t="e">
        <f t="shared" si="171"/>
        <v>#NUM!</v>
      </c>
      <c r="CC178" s="60" t="e">
        <f t="shared" si="119"/>
        <v>#NUM!</v>
      </c>
      <c r="CD178" s="60">
        <f ca="1">AVERAGE(OFFSET($CC$3,0,0,'Données projet'!$E$12+1,1))-AVERAGE(OFFSET($H$3,0,0,'Données projet'!$E$12+1,1))</f>
        <v>496.33873798282525</v>
      </c>
      <c r="CE178" s="60">
        <f t="shared" si="148"/>
        <v>280.25465074992246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-9.6633812063373625E-13</v>
      </c>
      <c r="CU178" s="18">
        <f>CT178*VLOOKUP('Données projet'!$B$13,Paramètres!$A$1:$I$89,3,0)*VLOOKUP('Données projet'!$B$13,Paramètres!$A$1:$I$89,5,0)</f>
        <v>-1.0401663530501537E-12</v>
      </c>
      <c r="CV178" s="14" t="e">
        <f t="shared" si="173"/>
        <v>#NUM!</v>
      </c>
      <c r="CW178" s="22" t="e">
        <f t="shared" si="174"/>
        <v>#NUM!</v>
      </c>
      <c r="CX178" s="60" t="e">
        <f t="shared" si="122"/>
        <v>#NUM!</v>
      </c>
      <c r="CY178" s="60">
        <f ca="1">AVERAGE(OFFSET($CX$3,0,0,'Données projet'!$E$13+1,1))-AVERAGE(OFFSET($H$3,0,0,'Données projet'!$E$13+1,1))</f>
        <v>542.90832990875208</v>
      </c>
      <c r="CZ178" s="60">
        <f t="shared" si="150"/>
        <v>304.94365539329362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0" t="e">
        <f t="shared" si="125"/>
        <v>#N/A</v>
      </c>
      <c r="DT178" s="60" t="e">
        <f ca="1">AVERAGE(OFFSET($DS$3,0,0,'Données projet'!$E$14+1,1))-AVERAGE(OFFSET($H$3,0,0,'Données projet'!$E$14+1,1))</f>
        <v>#N/A</v>
      </c>
      <c r="DU178" s="60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0" t="e">
        <f t="shared" si="128"/>
        <v>#N/A</v>
      </c>
      <c r="EO178" s="60" t="e">
        <f ca="1">AVERAGE(OFFSET($EN$3,0,0,'Données projet'!$E$15+1,1))-AVERAGE(OFFSET($H$3,0,0,'Données projet'!$E$15+1,1))</f>
        <v>#N/A</v>
      </c>
      <c r="EP178" s="60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0" t="e">
        <f t="shared" si="131"/>
        <v>#N/A</v>
      </c>
      <c r="FJ178" s="60" t="e">
        <f ca="1">AVERAGE(OFFSET($FI$3,0,0,'Données projet'!$E$16+1,1))-AVERAGE(OFFSET($H$3,0,0,'Données projet'!$E$16+1,1))</f>
        <v>#N/A</v>
      </c>
      <c r="FK178" s="60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0" t="e">
        <f t="shared" si="134"/>
        <v>#N/A</v>
      </c>
      <c r="GE178" s="60" t="e">
        <f ca="1">AVERAGE(OFFSET($GD$3,0,0,'Données projet'!$E$17+1,1))-AVERAGE(OFFSET($H$3,0,0,'Données projet'!$E$17+1,1))</f>
        <v>#N/A</v>
      </c>
      <c r="GF178" s="60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4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3.4106051316484809E-13</v>
      </c>
      <c r="O179" s="14">
        <f>N179*VLOOKUP('Données projet'!$B$9,Paramètres!$A$1:$I$89,3,0)*VLOOKUP('Données projet'!$B$9,Paramètres!$A$1:$I$89,5,0)</f>
        <v>1.5961632016114892E-13</v>
      </c>
      <c r="P179" s="14">
        <f t="shared" si="141"/>
        <v>2.2708641912150958E-12</v>
      </c>
      <c r="Q179" s="22">
        <f t="shared" si="162"/>
        <v>4.2330868906469593E-12</v>
      </c>
      <c r="R179" s="60">
        <f t="shared" si="109"/>
        <v>289.12040147384181</v>
      </c>
      <c r="S179" s="60">
        <f ca="1">AVERAGE(OFFSET($R$3,0,0,'Données projet'!$E$9+1,1))-AVERAGE(OFFSET($H$3,0,0,'Données projet'!$E$9+1,1))</f>
        <v>277.7918215389401</v>
      </c>
      <c r="T179" s="60">
        <f t="shared" si="142"/>
        <v>164.65640238394164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-9.6633812063373625E-13</v>
      </c>
      <c r="AJ179" s="14">
        <f>AI179*VLOOKUP('Données projet'!$B$10,Paramètres!$A$1:$I$89,3,0)*VLOOKUP('Données projet'!$B$10,Paramètres!$A$1:$I$89,5,0)</f>
        <v>-8.7434273154940449E-13</v>
      </c>
      <c r="AK179" s="14" t="e">
        <f t="shared" si="164"/>
        <v>#NUM!</v>
      </c>
      <c r="AL179" s="22" t="e">
        <f t="shared" si="165"/>
        <v>#NUM!</v>
      </c>
      <c r="AM179" s="60" t="e">
        <f t="shared" si="113"/>
        <v>#NUM!</v>
      </c>
      <c r="AN179" s="60">
        <f ca="1">AVERAGE(OFFSET($AM$3,0,0,'Données projet'!$E$10+1,1))-AVERAGE(OFFSET($H$3,0,0,'Données projet'!$E$10+1,1))</f>
        <v>469.67944008675863</v>
      </c>
      <c r="AO179" s="60">
        <f t="shared" si="144"/>
        <v>266.11908070867173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0" t="e">
        <f t="shared" si="116"/>
        <v>#NUM!</v>
      </c>
      <c r="BI179" s="60">
        <f ca="1">AVERAGE(OFFSET($BH$3,0,0,'Données projet'!$E$11+1,1))-AVERAGE(OFFSET($H$3,0,0,'Données projet'!$E$11+1,1))</f>
        <v>216.36762889365235</v>
      </c>
      <c r="BJ179" s="60">
        <f t="shared" si="146"/>
        <v>333.29599352215496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0.74927116385668213</v>
      </c>
      <c r="BQ179" s="23">
        <f>EXP(-LN(2)/25)*BQ178+(1-EXP(-LN(2)/25))/(LN(2)/25)*Calculateur!BL179*Calculateur!BN179*VLOOKUP('Données projet'!$B$11,Paramètres!$A$1:$I$89,3,0)*0.475*44/12</f>
        <v>0.17020147584650094</v>
      </c>
      <c r="BR179" s="23">
        <f>EXP(-LN(2)/2)*BR178+(1-EXP(-LN(2)/2))/(LN(2)/2)*BL179*BO179*VLOOKUP('Données projet'!$B$11,Paramètres!$A$1:$I$89,3,0)*0.475*44/12</f>
        <v>3.0963582639352038E-22</v>
      </c>
      <c r="BS179" s="24">
        <f t="shared" si="169"/>
        <v>0.91947263970318305</v>
      </c>
      <c r="BT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-9.6633812063373625E-13</v>
      </c>
      <c r="BZ179" s="14">
        <f>BY179*VLOOKUP('Données projet'!$B$12,Paramètres!$A$1:$I$89,3,0)*VLOOKUP('Données projet'!$B$12,Paramètres!$A$1:$I$89,5,0)</f>
        <v>-9.3464223027694966E-13</v>
      </c>
      <c r="CA179" s="14" t="e">
        <f t="shared" si="170"/>
        <v>#NUM!</v>
      </c>
      <c r="CB179" s="22" t="e">
        <f t="shared" si="171"/>
        <v>#NUM!</v>
      </c>
      <c r="CC179" s="60" t="e">
        <f t="shared" si="119"/>
        <v>#NUM!</v>
      </c>
      <c r="CD179" s="60">
        <f ca="1">AVERAGE(OFFSET($CC$3,0,0,'Données projet'!$E$12+1,1))-AVERAGE(OFFSET($H$3,0,0,'Données projet'!$E$12+1,1))</f>
        <v>496.33873798282525</v>
      </c>
      <c r="CE179" s="60">
        <f t="shared" si="148"/>
        <v>280.25465074992246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-9.6633812063373625E-13</v>
      </c>
      <c r="CU179" s="18">
        <f>CT179*VLOOKUP('Données projet'!$B$13,Paramètres!$A$1:$I$89,3,0)*VLOOKUP('Données projet'!$B$13,Paramètres!$A$1:$I$89,5,0)</f>
        <v>-1.0401663530501537E-12</v>
      </c>
      <c r="CV179" s="14" t="e">
        <f t="shared" si="173"/>
        <v>#NUM!</v>
      </c>
      <c r="CW179" s="22" t="e">
        <f t="shared" si="174"/>
        <v>#NUM!</v>
      </c>
      <c r="CX179" s="60" t="e">
        <f t="shared" si="122"/>
        <v>#NUM!</v>
      </c>
      <c r="CY179" s="60">
        <f ca="1">AVERAGE(OFFSET($CX$3,0,0,'Données projet'!$E$13+1,1))-AVERAGE(OFFSET($H$3,0,0,'Données projet'!$E$13+1,1))</f>
        <v>542.90832990875208</v>
      </c>
      <c r="CZ179" s="60">
        <f t="shared" si="150"/>
        <v>304.94365539329362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0" t="e">
        <f t="shared" si="125"/>
        <v>#N/A</v>
      </c>
      <c r="DT179" s="60" t="e">
        <f ca="1">AVERAGE(OFFSET($DS$3,0,0,'Données projet'!$E$14+1,1))-AVERAGE(OFFSET($H$3,0,0,'Données projet'!$E$14+1,1))</f>
        <v>#N/A</v>
      </c>
      <c r="DU179" s="60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0" t="e">
        <f t="shared" si="128"/>
        <v>#N/A</v>
      </c>
      <c r="EO179" s="60" t="e">
        <f ca="1">AVERAGE(OFFSET($EN$3,0,0,'Données projet'!$E$15+1,1))-AVERAGE(OFFSET($H$3,0,0,'Données projet'!$E$15+1,1))</f>
        <v>#N/A</v>
      </c>
      <c r="EP179" s="60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0" t="e">
        <f t="shared" si="131"/>
        <v>#N/A</v>
      </c>
      <c r="FJ179" s="60" t="e">
        <f ca="1">AVERAGE(OFFSET($FI$3,0,0,'Données projet'!$E$16+1,1))-AVERAGE(OFFSET($H$3,0,0,'Données projet'!$E$16+1,1))</f>
        <v>#N/A</v>
      </c>
      <c r="FK179" s="60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0" t="e">
        <f t="shared" si="134"/>
        <v>#N/A</v>
      </c>
      <c r="GE179" s="60" t="e">
        <f ca="1">AVERAGE(OFFSET($GD$3,0,0,'Données projet'!$E$17+1,1))-AVERAGE(OFFSET($H$3,0,0,'Données projet'!$E$17+1,1))</f>
        <v>#N/A</v>
      </c>
      <c r="GF179" s="60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4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3.4106051316484809E-13</v>
      </c>
      <c r="O180" s="14">
        <f>N180*VLOOKUP('Données projet'!$B$9,Paramètres!$A$1:$I$89,3,0)*VLOOKUP('Données projet'!$B$9,Paramètres!$A$1:$I$89,5,0)</f>
        <v>1.5961632016114892E-13</v>
      </c>
      <c r="P180" s="14">
        <f t="shared" si="141"/>
        <v>2.2708641912150958E-12</v>
      </c>
      <c r="Q180" s="22">
        <f t="shared" si="162"/>
        <v>4.2330868906469593E-12</v>
      </c>
      <c r="R180" s="60">
        <f t="shared" si="109"/>
        <v>289.19348642289947</v>
      </c>
      <c r="S180" s="60">
        <f ca="1">AVERAGE(OFFSET($R$3,0,0,'Données projet'!$E$9+1,1))-AVERAGE(OFFSET($H$3,0,0,'Données projet'!$E$9+1,1))</f>
        <v>277.7918215389401</v>
      </c>
      <c r="T180" s="60">
        <f t="shared" si="142"/>
        <v>164.65640238394164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-9.6633812063373625E-13</v>
      </c>
      <c r="AJ180" s="14">
        <f>AI180*VLOOKUP('Données projet'!$B$10,Paramètres!$A$1:$I$89,3,0)*VLOOKUP('Données projet'!$B$10,Paramètres!$A$1:$I$89,5,0)</f>
        <v>-8.7434273154940449E-13</v>
      </c>
      <c r="AK180" s="14" t="e">
        <f t="shared" si="164"/>
        <v>#NUM!</v>
      </c>
      <c r="AL180" s="22" t="e">
        <f t="shared" si="165"/>
        <v>#NUM!</v>
      </c>
      <c r="AM180" s="60" t="e">
        <f t="shared" si="113"/>
        <v>#NUM!</v>
      </c>
      <c r="AN180" s="60">
        <f ca="1">AVERAGE(OFFSET($AM$3,0,0,'Données projet'!$E$10+1,1))-AVERAGE(OFFSET($H$3,0,0,'Données projet'!$E$10+1,1))</f>
        <v>469.67944008675863</v>
      </c>
      <c r="AO180" s="60">
        <f t="shared" si="144"/>
        <v>266.11908070867173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0" t="e">
        <f t="shared" si="116"/>
        <v>#NUM!</v>
      </c>
      <c r="BI180" s="60">
        <f ca="1">AVERAGE(OFFSET($BH$3,0,0,'Données projet'!$E$11+1,1))-AVERAGE(OFFSET($H$3,0,0,'Données projet'!$E$11+1,1))</f>
        <v>216.36762889365235</v>
      </c>
      <c r="BJ180" s="60">
        <f t="shared" si="146"/>
        <v>333.29599352215496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0.73457841334373652</v>
      </c>
      <c r="BQ180" s="23">
        <f>EXP(-LN(2)/25)*BQ179+(1-EXP(-LN(2)/25))/(LN(2)/25)*Calculateur!BL180*Calculateur!BN180*VLOOKUP('Données projet'!$B$11,Paramètres!$A$1:$I$89,3,0)*0.475*44/12</f>
        <v>0.16554730753897176</v>
      </c>
      <c r="BR180" s="23">
        <f>EXP(-LN(2)/2)*BR179+(1-EXP(-LN(2)/2))/(LN(2)/2)*BL180*BO180*VLOOKUP('Données projet'!$B$11,Paramètres!$A$1:$I$89,3,0)*0.475*44/12</f>
        <v>2.1894559254115883E-22</v>
      </c>
      <c r="BS180" s="24">
        <f t="shared" si="169"/>
        <v>0.90012572088270826</v>
      </c>
      <c r="BT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-9.6633812063373625E-13</v>
      </c>
      <c r="BZ180" s="14">
        <f>BY180*VLOOKUP('Données projet'!$B$12,Paramètres!$A$1:$I$89,3,0)*VLOOKUP('Données projet'!$B$12,Paramètres!$A$1:$I$89,5,0)</f>
        <v>-9.3464223027694966E-13</v>
      </c>
      <c r="CA180" s="14" t="e">
        <f t="shared" si="170"/>
        <v>#NUM!</v>
      </c>
      <c r="CB180" s="22" t="e">
        <f t="shared" si="171"/>
        <v>#NUM!</v>
      </c>
      <c r="CC180" s="60" t="e">
        <f t="shared" si="119"/>
        <v>#NUM!</v>
      </c>
      <c r="CD180" s="60">
        <f ca="1">AVERAGE(OFFSET($CC$3,0,0,'Données projet'!$E$12+1,1))-AVERAGE(OFFSET($H$3,0,0,'Données projet'!$E$12+1,1))</f>
        <v>496.33873798282525</v>
      </c>
      <c r="CE180" s="60">
        <f t="shared" si="148"/>
        <v>280.25465074992246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-9.6633812063373625E-13</v>
      </c>
      <c r="CU180" s="18">
        <f>CT180*VLOOKUP('Données projet'!$B$13,Paramètres!$A$1:$I$89,3,0)*VLOOKUP('Données projet'!$B$13,Paramètres!$A$1:$I$89,5,0)</f>
        <v>-1.0401663530501537E-12</v>
      </c>
      <c r="CV180" s="14" t="e">
        <f t="shared" si="173"/>
        <v>#NUM!</v>
      </c>
      <c r="CW180" s="22" t="e">
        <f t="shared" si="174"/>
        <v>#NUM!</v>
      </c>
      <c r="CX180" s="60" t="e">
        <f t="shared" si="122"/>
        <v>#NUM!</v>
      </c>
      <c r="CY180" s="60">
        <f ca="1">AVERAGE(OFFSET($CX$3,0,0,'Données projet'!$E$13+1,1))-AVERAGE(OFFSET($H$3,0,0,'Données projet'!$E$13+1,1))</f>
        <v>542.90832990875208</v>
      </c>
      <c r="CZ180" s="60">
        <f t="shared" si="150"/>
        <v>304.94365539329362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0" t="e">
        <f t="shared" si="125"/>
        <v>#N/A</v>
      </c>
      <c r="DT180" s="60" t="e">
        <f ca="1">AVERAGE(OFFSET($DS$3,0,0,'Données projet'!$E$14+1,1))-AVERAGE(OFFSET($H$3,0,0,'Données projet'!$E$14+1,1))</f>
        <v>#N/A</v>
      </c>
      <c r="DU180" s="60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0" t="e">
        <f t="shared" si="128"/>
        <v>#N/A</v>
      </c>
      <c r="EO180" s="60" t="e">
        <f ca="1">AVERAGE(OFFSET($EN$3,0,0,'Données projet'!$E$15+1,1))-AVERAGE(OFFSET($H$3,0,0,'Données projet'!$E$15+1,1))</f>
        <v>#N/A</v>
      </c>
      <c r="EP180" s="60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0" t="e">
        <f t="shared" si="131"/>
        <v>#N/A</v>
      </c>
      <c r="FJ180" s="60" t="e">
        <f ca="1">AVERAGE(OFFSET($FI$3,0,0,'Données projet'!$E$16+1,1))-AVERAGE(OFFSET($H$3,0,0,'Données projet'!$E$16+1,1))</f>
        <v>#N/A</v>
      </c>
      <c r="FK180" s="60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0" t="e">
        <f t="shared" si="134"/>
        <v>#N/A</v>
      </c>
      <c r="GE180" s="60" t="e">
        <f ca="1">AVERAGE(OFFSET($GD$3,0,0,'Données projet'!$E$17+1,1))-AVERAGE(OFFSET($H$3,0,0,'Données projet'!$E$17+1,1))</f>
        <v>#N/A</v>
      </c>
      <c r="GF180" s="60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4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3.4106051316484809E-13</v>
      </c>
      <c r="O181" s="14">
        <f>N181*VLOOKUP('Données projet'!$B$9,Paramètres!$A$1:$I$89,3,0)*VLOOKUP('Données projet'!$B$9,Paramètres!$A$1:$I$89,5,0)</f>
        <v>1.5961632016114892E-13</v>
      </c>
      <c r="P181" s="14">
        <f t="shared" si="141"/>
        <v>2.2708641912150958E-12</v>
      </c>
      <c r="Q181" s="22">
        <f t="shared" si="162"/>
        <v>4.2330868906469593E-12</v>
      </c>
      <c r="R181" s="60">
        <f t="shared" si="109"/>
        <v>289.26530351148438</v>
      </c>
      <c r="S181" s="60">
        <f ca="1">AVERAGE(OFFSET($R$3,0,0,'Données projet'!$E$9+1,1))-AVERAGE(OFFSET($H$3,0,0,'Données projet'!$E$9+1,1))</f>
        <v>277.7918215389401</v>
      </c>
      <c r="T181" s="60">
        <f t="shared" si="142"/>
        <v>164.65640238394164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-9.6633812063373625E-13</v>
      </c>
      <c r="AJ181" s="14">
        <f>AI181*VLOOKUP('Données projet'!$B$10,Paramètres!$A$1:$I$89,3,0)*VLOOKUP('Données projet'!$B$10,Paramètres!$A$1:$I$89,5,0)</f>
        <v>-8.7434273154940449E-13</v>
      </c>
      <c r="AK181" s="14" t="e">
        <f t="shared" si="164"/>
        <v>#NUM!</v>
      </c>
      <c r="AL181" s="22" t="e">
        <f t="shared" si="165"/>
        <v>#NUM!</v>
      </c>
      <c r="AM181" s="60" t="e">
        <f t="shared" si="113"/>
        <v>#NUM!</v>
      </c>
      <c r="AN181" s="60">
        <f ca="1">AVERAGE(OFFSET($AM$3,0,0,'Données projet'!$E$10+1,1))-AVERAGE(OFFSET($H$3,0,0,'Données projet'!$E$10+1,1))</f>
        <v>469.67944008675863</v>
      </c>
      <c r="AO181" s="60">
        <f t="shared" si="144"/>
        <v>266.11908070867173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0" t="e">
        <f t="shared" si="116"/>
        <v>#NUM!</v>
      </c>
      <c r="BI181" s="60">
        <f ca="1">AVERAGE(OFFSET($BH$3,0,0,'Données projet'!$E$11+1,1))-AVERAGE(OFFSET($H$3,0,0,'Données projet'!$E$11+1,1))</f>
        <v>216.36762889365235</v>
      </c>
      <c r="BJ181" s="60">
        <f t="shared" si="146"/>
        <v>333.29599352215496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0.72017377870665689</v>
      </c>
      <c r="BQ181" s="23">
        <f>EXP(-LN(2)/25)*BQ180+(1-EXP(-LN(2)/25))/(LN(2)/25)*Calculateur!BL181*Calculateur!BN181*VLOOKUP('Données projet'!$B$11,Paramètres!$A$1:$I$89,3,0)*0.475*44/12</f>
        <v>0.16102040770856405</v>
      </c>
      <c r="BR181" s="23">
        <f>EXP(-LN(2)/2)*BR180+(1-EXP(-LN(2)/2))/(LN(2)/2)*BL181*BO181*VLOOKUP('Données projet'!$B$11,Paramètres!$A$1:$I$89,3,0)*0.475*44/12</f>
        <v>1.5481791319676019E-22</v>
      </c>
      <c r="BS181" s="24">
        <f t="shared" si="169"/>
        <v>0.88119418641522096</v>
      </c>
      <c r="BT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-9.6633812063373625E-13</v>
      </c>
      <c r="BZ181" s="14">
        <f>BY181*VLOOKUP('Données projet'!$B$12,Paramètres!$A$1:$I$89,3,0)*VLOOKUP('Données projet'!$B$12,Paramètres!$A$1:$I$89,5,0)</f>
        <v>-9.3464223027694966E-13</v>
      </c>
      <c r="CA181" s="14" t="e">
        <f t="shared" si="170"/>
        <v>#NUM!</v>
      </c>
      <c r="CB181" s="22" t="e">
        <f t="shared" si="171"/>
        <v>#NUM!</v>
      </c>
      <c r="CC181" s="60" t="e">
        <f t="shared" si="119"/>
        <v>#NUM!</v>
      </c>
      <c r="CD181" s="60">
        <f ca="1">AVERAGE(OFFSET($CC$3,0,0,'Données projet'!$E$12+1,1))-AVERAGE(OFFSET($H$3,0,0,'Données projet'!$E$12+1,1))</f>
        <v>496.33873798282525</v>
      </c>
      <c r="CE181" s="60">
        <f t="shared" si="148"/>
        <v>280.25465074992246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-9.6633812063373625E-13</v>
      </c>
      <c r="CU181" s="18">
        <f>CT181*VLOOKUP('Données projet'!$B$13,Paramètres!$A$1:$I$89,3,0)*VLOOKUP('Données projet'!$B$13,Paramètres!$A$1:$I$89,5,0)</f>
        <v>-1.0401663530501537E-12</v>
      </c>
      <c r="CV181" s="14" t="e">
        <f t="shared" si="173"/>
        <v>#NUM!</v>
      </c>
      <c r="CW181" s="22" t="e">
        <f t="shared" si="174"/>
        <v>#NUM!</v>
      </c>
      <c r="CX181" s="60" t="e">
        <f t="shared" si="122"/>
        <v>#NUM!</v>
      </c>
      <c r="CY181" s="60">
        <f ca="1">AVERAGE(OFFSET($CX$3,0,0,'Données projet'!$E$13+1,1))-AVERAGE(OFFSET($H$3,0,0,'Données projet'!$E$13+1,1))</f>
        <v>542.90832990875208</v>
      </c>
      <c r="CZ181" s="60">
        <f t="shared" si="150"/>
        <v>304.94365539329362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0" t="e">
        <f t="shared" si="125"/>
        <v>#N/A</v>
      </c>
      <c r="DT181" s="60" t="e">
        <f ca="1">AVERAGE(OFFSET($DS$3,0,0,'Données projet'!$E$14+1,1))-AVERAGE(OFFSET($H$3,0,0,'Données projet'!$E$14+1,1))</f>
        <v>#N/A</v>
      </c>
      <c r="DU181" s="60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0" t="e">
        <f t="shared" si="128"/>
        <v>#N/A</v>
      </c>
      <c r="EO181" s="60" t="e">
        <f ca="1">AVERAGE(OFFSET($EN$3,0,0,'Données projet'!$E$15+1,1))-AVERAGE(OFFSET($H$3,0,0,'Données projet'!$E$15+1,1))</f>
        <v>#N/A</v>
      </c>
      <c r="EP181" s="60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0" t="e">
        <f t="shared" si="131"/>
        <v>#N/A</v>
      </c>
      <c r="FJ181" s="60" t="e">
        <f ca="1">AVERAGE(OFFSET($FI$3,0,0,'Données projet'!$E$16+1,1))-AVERAGE(OFFSET($H$3,0,0,'Données projet'!$E$16+1,1))</f>
        <v>#N/A</v>
      </c>
      <c r="FK181" s="60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0" t="e">
        <f t="shared" si="134"/>
        <v>#N/A</v>
      </c>
      <c r="GE181" s="60" t="e">
        <f ca="1">AVERAGE(OFFSET($GD$3,0,0,'Données projet'!$E$17+1,1))-AVERAGE(OFFSET($H$3,0,0,'Données projet'!$E$17+1,1))</f>
        <v>#N/A</v>
      </c>
      <c r="GF181" s="60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4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3.4106051316484809E-13</v>
      </c>
      <c r="O182" s="14">
        <f>N182*VLOOKUP('Données projet'!$B$9,Paramètres!$A$1:$I$89,3,0)*VLOOKUP('Données projet'!$B$9,Paramètres!$A$1:$I$89,5,0)</f>
        <v>1.5961632016114892E-13</v>
      </c>
      <c r="P182" s="14">
        <f t="shared" si="141"/>
        <v>2.2708641912150958E-12</v>
      </c>
      <c r="Q182" s="22">
        <f t="shared" si="162"/>
        <v>4.2330868906469593E-12</v>
      </c>
      <c r="R182" s="60">
        <f t="shared" si="109"/>
        <v>289.33587473414133</v>
      </c>
      <c r="S182" s="60">
        <f ca="1">AVERAGE(OFFSET($R$3,0,0,'Données projet'!$E$9+1,1))-AVERAGE(OFFSET($H$3,0,0,'Données projet'!$E$9+1,1))</f>
        <v>277.7918215389401</v>
      </c>
      <c r="T182" s="60">
        <f t="shared" si="142"/>
        <v>164.65640238394164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-9.6633812063373625E-13</v>
      </c>
      <c r="AJ182" s="14">
        <f>AI182*VLOOKUP('Données projet'!$B$10,Paramètres!$A$1:$I$89,3,0)*VLOOKUP('Données projet'!$B$10,Paramètres!$A$1:$I$89,5,0)</f>
        <v>-8.7434273154940449E-13</v>
      </c>
      <c r="AK182" s="14" t="e">
        <f t="shared" si="164"/>
        <v>#NUM!</v>
      </c>
      <c r="AL182" s="22" t="e">
        <f t="shared" si="165"/>
        <v>#NUM!</v>
      </c>
      <c r="AM182" s="60" t="e">
        <f t="shared" si="113"/>
        <v>#NUM!</v>
      </c>
      <c r="AN182" s="60">
        <f ca="1">AVERAGE(OFFSET($AM$3,0,0,'Données projet'!$E$10+1,1))-AVERAGE(OFFSET($H$3,0,0,'Données projet'!$E$10+1,1))</f>
        <v>469.67944008675863</v>
      </c>
      <c r="AO182" s="60">
        <f t="shared" si="144"/>
        <v>266.11908070867173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0" t="e">
        <f t="shared" si="116"/>
        <v>#NUM!</v>
      </c>
      <c r="BI182" s="60">
        <f ca="1">AVERAGE(OFFSET($BH$3,0,0,'Données projet'!$E$11+1,1))-AVERAGE(OFFSET($H$3,0,0,'Données projet'!$E$11+1,1))</f>
        <v>216.36762889365235</v>
      </c>
      <c r="BJ182" s="60">
        <f t="shared" si="146"/>
        <v>333.29599352215496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0.70605161016885076</v>
      </c>
      <c r="BQ182" s="23">
        <f>EXP(-LN(2)/25)*BQ181+(1-EXP(-LN(2)/25))/(LN(2)/25)*Calculateur!BL182*Calculateur!BN182*VLOOKUP('Données projet'!$B$11,Paramètres!$A$1:$I$89,3,0)*0.475*44/12</f>
        <v>0.15661729619207815</v>
      </c>
      <c r="BR182" s="23">
        <f>EXP(-LN(2)/2)*BR181+(1-EXP(-LN(2)/2))/(LN(2)/2)*BL182*BO182*VLOOKUP('Données projet'!$B$11,Paramètres!$A$1:$I$89,3,0)*0.475*44/12</f>
        <v>1.0947279627057941E-22</v>
      </c>
      <c r="BS182" s="24">
        <f t="shared" si="169"/>
        <v>0.86266890636092897</v>
      </c>
      <c r="BT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-9.6633812063373625E-13</v>
      </c>
      <c r="BZ182" s="14">
        <f>BY182*VLOOKUP('Données projet'!$B$12,Paramètres!$A$1:$I$89,3,0)*VLOOKUP('Données projet'!$B$12,Paramètres!$A$1:$I$89,5,0)</f>
        <v>-9.3464223027694966E-13</v>
      </c>
      <c r="CA182" s="14" t="e">
        <f t="shared" si="170"/>
        <v>#NUM!</v>
      </c>
      <c r="CB182" s="22" t="e">
        <f t="shared" si="171"/>
        <v>#NUM!</v>
      </c>
      <c r="CC182" s="60" t="e">
        <f t="shared" si="119"/>
        <v>#NUM!</v>
      </c>
      <c r="CD182" s="60">
        <f ca="1">AVERAGE(OFFSET($CC$3,0,0,'Données projet'!$E$12+1,1))-AVERAGE(OFFSET($H$3,0,0,'Données projet'!$E$12+1,1))</f>
        <v>496.33873798282525</v>
      </c>
      <c r="CE182" s="60">
        <f t="shared" si="148"/>
        <v>280.25465074992246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-9.6633812063373625E-13</v>
      </c>
      <c r="CU182" s="18">
        <f>CT182*VLOOKUP('Données projet'!$B$13,Paramètres!$A$1:$I$89,3,0)*VLOOKUP('Données projet'!$B$13,Paramètres!$A$1:$I$89,5,0)</f>
        <v>-1.0401663530501537E-12</v>
      </c>
      <c r="CV182" s="14" t="e">
        <f t="shared" si="173"/>
        <v>#NUM!</v>
      </c>
      <c r="CW182" s="22" t="e">
        <f t="shared" si="174"/>
        <v>#NUM!</v>
      </c>
      <c r="CX182" s="60" t="e">
        <f t="shared" si="122"/>
        <v>#NUM!</v>
      </c>
      <c r="CY182" s="60">
        <f ca="1">AVERAGE(OFFSET($CX$3,0,0,'Données projet'!$E$13+1,1))-AVERAGE(OFFSET($H$3,0,0,'Données projet'!$E$13+1,1))</f>
        <v>542.90832990875208</v>
      </c>
      <c r="CZ182" s="60">
        <f t="shared" si="150"/>
        <v>304.94365539329362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0" t="e">
        <f t="shared" si="125"/>
        <v>#N/A</v>
      </c>
      <c r="DT182" s="60" t="e">
        <f ca="1">AVERAGE(OFFSET($DS$3,0,0,'Données projet'!$E$14+1,1))-AVERAGE(OFFSET($H$3,0,0,'Données projet'!$E$14+1,1))</f>
        <v>#N/A</v>
      </c>
      <c r="DU182" s="60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0" t="e">
        <f t="shared" si="128"/>
        <v>#N/A</v>
      </c>
      <c r="EO182" s="60" t="e">
        <f ca="1">AVERAGE(OFFSET($EN$3,0,0,'Données projet'!$E$15+1,1))-AVERAGE(OFFSET($H$3,0,0,'Données projet'!$E$15+1,1))</f>
        <v>#N/A</v>
      </c>
      <c r="EP182" s="60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0" t="e">
        <f t="shared" si="131"/>
        <v>#N/A</v>
      </c>
      <c r="FJ182" s="60" t="e">
        <f ca="1">AVERAGE(OFFSET($FI$3,0,0,'Données projet'!$E$16+1,1))-AVERAGE(OFFSET($H$3,0,0,'Données projet'!$E$16+1,1))</f>
        <v>#N/A</v>
      </c>
      <c r="FK182" s="60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0" t="e">
        <f t="shared" si="134"/>
        <v>#N/A</v>
      </c>
      <c r="GE182" s="60" t="e">
        <f ca="1">AVERAGE(OFFSET($GD$3,0,0,'Données projet'!$E$17+1,1))-AVERAGE(OFFSET($H$3,0,0,'Données projet'!$E$17+1,1))</f>
        <v>#N/A</v>
      </c>
      <c r="GF182" s="60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4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3.4106051316484809E-13</v>
      </c>
      <c r="O183" s="14">
        <f>N183*VLOOKUP('Données projet'!$B$9,Paramètres!$A$1:$I$89,3,0)*VLOOKUP('Données projet'!$B$9,Paramètres!$A$1:$I$89,5,0)</f>
        <v>1.5961632016114892E-13</v>
      </c>
      <c r="P183" s="14">
        <f t="shared" si="141"/>
        <v>2.2708641912150958E-12</v>
      </c>
      <c r="Q183" s="22">
        <f t="shared" si="162"/>
        <v>4.2330868906469593E-12</v>
      </c>
      <c r="R183" s="60">
        <f t="shared" si="109"/>
        <v>289.40522170385884</v>
      </c>
      <c r="S183" s="60">
        <f ca="1">AVERAGE(OFFSET($R$3,0,0,'Données projet'!$E$9+1,1))-AVERAGE(OFFSET($H$3,0,0,'Données projet'!$E$9+1,1))</f>
        <v>277.7918215389401</v>
      </c>
      <c r="T183" s="60">
        <f t="shared" si="142"/>
        <v>164.65640238394164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-9.6633812063373625E-13</v>
      </c>
      <c r="AJ183" s="14">
        <f>AI183*VLOOKUP('Données projet'!$B$10,Paramètres!$A$1:$I$89,3,0)*VLOOKUP('Données projet'!$B$10,Paramètres!$A$1:$I$89,5,0)</f>
        <v>-8.7434273154940449E-13</v>
      </c>
      <c r="AK183" s="14" t="e">
        <f t="shared" si="164"/>
        <v>#NUM!</v>
      </c>
      <c r="AL183" s="22" t="e">
        <f t="shared" si="165"/>
        <v>#NUM!</v>
      </c>
      <c r="AM183" s="60" t="e">
        <f t="shared" si="113"/>
        <v>#NUM!</v>
      </c>
      <c r="AN183" s="60">
        <f ca="1">AVERAGE(OFFSET($AM$3,0,0,'Données projet'!$E$10+1,1))-AVERAGE(OFFSET($H$3,0,0,'Données projet'!$E$10+1,1))</f>
        <v>469.67944008675863</v>
      </c>
      <c r="AO183" s="60">
        <f t="shared" si="144"/>
        <v>266.11908070867173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0" t="e">
        <f t="shared" si="116"/>
        <v>#NUM!</v>
      </c>
      <c r="BI183" s="60">
        <f ca="1">AVERAGE(OFFSET($BH$3,0,0,'Données projet'!$E$11+1,1))-AVERAGE(OFFSET($H$3,0,0,'Données projet'!$E$11+1,1))</f>
        <v>216.36762889365235</v>
      </c>
      <c r="BJ183" s="60">
        <f t="shared" si="146"/>
        <v>333.29599352215496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0.69220636874239871</v>
      </c>
      <c r="BQ183" s="23">
        <f>EXP(-LN(2)/25)*BQ182+(1-EXP(-LN(2)/25))/(LN(2)/25)*Calculateur!BL183*Calculateur!BN183*VLOOKUP('Données projet'!$B$11,Paramètres!$A$1:$I$89,3,0)*0.475*44/12</f>
        <v>0.15233458799156011</v>
      </c>
      <c r="BR183" s="23">
        <f>EXP(-LN(2)/2)*BR182+(1-EXP(-LN(2)/2))/(LN(2)/2)*BL183*BO183*VLOOKUP('Données projet'!$B$11,Paramètres!$A$1:$I$89,3,0)*0.475*44/12</f>
        <v>7.7408956598380095E-23</v>
      </c>
      <c r="BS183" s="24">
        <f t="shared" si="169"/>
        <v>0.84454095673395879</v>
      </c>
      <c r="BT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-9.6633812063373625E-13</v>
      </c>
      <c r="BZ183" s="14">
        <f>BY183*VLOOKUP('Données projet'!$B$12,Paramètres!$A$1:$I$89,3,0)*VLOOKUP('Données projet'!$B$12,Paramètres!$A$1:$I$89,5,0)</f>
        <v>-9.3464223027694966E-13</v>
      </c>
      <c r="CA183" s="14" t="e">
        <f t="shared" si="170"/>
        <v>#NUM!</v>
      </c>
      <c r="CB183" s="22" t="e">
        <f t="shared" si="171"/>
        <v>#NUM!</v>
      </c>
      <c r="CC183" s="60" t="e">
        <f t="shared" si="119"/>
        <v>#NUM!</v>
      </c>
      <c r="CD183" s="60">
        <f ca="1">AVERAGE(OFFSET($CC$3,0,0,'Données projet'!$E$12+1,1))-AVERAGE(OFFSET($H$3,0,0,'Données projet'!$E$12+1,1))</f>
        <v>496.33873798282525</v>
      </c>
      <c r="CE183" s="60">
        <f t="shared" si="148"/>
        <v>280.25465074992246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-9.6633812063373625E-13</v>
      </c>
      <c r="CU183" s="18">
        <f>CT183*VLOOKUP('Données projet'!$B$13,Paramètres!$A$1:$I$89,3,0)*VLOOKUP('Données projet'!$B$13,Paramètres!$A$1:$I$89,5,0)</f>
        <v>-1.0401663530501537E-12</v>
      </c>
      <c r="CV183" s="14" t="e">
        <f t="shared" si="173"/>
        <v>#NUM!</v>
      </c>
      <c r="CW183" s="22" t="e">
        <f t="shared" si="174"/>
        <v>#NUM!</v>
      </c>
      <c r="CX183" s="60" t="e">
        <f t="shared" si="122"/>
        <v>#NUM!</v>
      </c>
      <c r="CY183" s="60">
        <f ca="1">AVERAGE(OFFSET($CX$3,0,0,'Données projet'!$E$13+1,1))-AVERAGE(OFFSET($H$3,0,0,'Données projet'!$E$13+1,1))</f>
        <v>542.90832990875208</v>
      </c>
      <c r="CZ183" s="60">
        <f t="shared" si="150"/>
        <v>304.94365539329362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0" t="e">
        <f t="shared" si="125"/>
        <v>#N/A</v>
      </c>
      <c r="DT183" s="60" t="e">
        <f ca="1">AVERAGE(OFFSET($DS$3,0,0,'Données projet'!$E$14+1,1))-AVERAGE(OFFSET($H$3,0,0,'Données projet'!$E$14+1,1))</f>
        <v>#N/A</v>
      </c>
      <c r="DU183" s="60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0" t="e">
        <f t="shared" si="128"/>
        <v>#N/A</v>
      </c>
      <c r="EO183" s="60" t="e">
        <f ca="1">AVERAGE(OFFSET($EN$3,0,0,'Données projet'!$E$15+1,1))-AVERAGE(OFFSET($H$3,0,0,'Données projet'!$E$15+1,1))</f>
        <v>#N/A</v>
      </c>
      <c r="EP183" s="60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0" t="e">
        <f t="shared" si="131"/>
        <v>#N/A</v>
      </c>
      <c r="FJ183" s="60" t="e">
        <f ca="1">AVERAGE(OFFSET($FI$3,0,0,'Données projet'!$E$16+1,1))-AVERAGE(OFFSET($H$3,0,0,'Données projet'!$E$16+1,1))</f>
        <v>#N/A</v>
      </c>
      <c r="FK183" s="60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0" t="e">
        <f t="shared" si="134"/>
        <v>#N/A</v>
      </c>
      <c r="GE183" s="60" t="e">
        <f ca="1">AVERAGE(OFFSET($GD$3,0,0,'Données projet'!$E$17+1,1))-AVERAGE(OFFSET($H$3,0,0,'Données projet'!$E$17+1,1))</f>
        <v>#N/A</v>
      </c>
      <c r="GF183" s="60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4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3.4106051316484809E-13</v>
      </c>
      <c r="O184" s="14">
        <f>N184*VLOOKUP('Données projet'!$B$9,Paramètres!$A$1:$I$89,3,0)*VLOOKUP('Données projet'!$B$9,Paramètres!$A$1:$I$89,5,0)</f>
        <v>1.5961632016114892E-13</v>
      </c>
      <c r="P184" s="14">
        <f t="shared" si="141"/>
        <v>2.2708641912150958E-12</v>
      </c>
      <c r="Q184" s="22">
        <f t="shared" si="162"/>
        <v>4.2330868906469593E-12</v>
      </c>
      <c r="R184" s="60">
        <f t="shared" si="109"/>
        <v>289.47336565868829</v>
      </c>
      <c r="S184" s="60">
        <f ca="1">AVERAGE(OFFSET($R$3,0,0,'Données projet'!$E$9+1,1))-AVERAGE(OFFSET($H$3,0,0,'Données projet'!$E$9+1,1))</f>
        <v>277.7918215389401</v>
      </c>
      <c r="T184" s="60">
        <f t="shared" si="142"/>
        <v>164.65640238394164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-9.6633812063373625E-13</v>
      </c>
      <c r="AJ184" s="14">
        <f>AI184*VLOOKUP('Données projet'!$B$10,Paramètres!$A$1:$I$89,3,0)*VLOOKUP('Données projet'!$B$10,Paramètres!$A$1:$I$89,5,0)</f>
        <v>-8.7434273154940449E-13</v>
      </c>
      <c r="AK184" s="14" t="e">
        <f t="shared" si="164"/>
        <v>#NUM!</v>
      </c>
      <c r="AL184" s="22" t="e">
        <f t="shared" si="165"/>
        <v>#NUM!</v>
      </c>
      <c r="AM184" s="60" t="e">
        <f t="shared" si="113"/>
        <v>#NUM!</v>
      </c>
      <c r="AN184" s="60">
        <f ca="1">AVERAGE(OFFSET($AM$3,0,0,'Données projet'!$E$10+1,1))-AVERAGE(OFFSET($H$3,0,0,'Données projet'!$E$10+1,1))</f>
        <v>469.67944008675863</v>
      </c>
      <c r="AO184" s="60">
        <f t="shared" si="144"/>
        <v>266.11908070867173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0" t="e">
        <f t="shared" si="116"/>
        <v>#NUM!</v>
      </c>
      <c r="BI184" s="60">
        <f ca="1">AVERAGE(OFFSET($BH$3,0,0,'Données projet'!$E$11+1,1))-AVERAGE(OFFSET($H$3,0,0,'Données projet'!$E$11+1,1))</f>
        <v>216.36762889365235</v>
      </c>
      <c r="BJ184" s="60">
        <f t="shared" si="146"/>
        <v>333.29599352215496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0.67863262405555602</v>
      </c>
      <c r="BQ184" s="23">
        <f>EXP(-LN(2)/25)*BQ183+(1-EXP(-LN(2)/25))/(LN(2)/25)*Calculateur!BL184*Calculateur!BN184*VLOOKUP('Données projet'!$B$11,Paramètres!$A$1:$I$89,3,0)*0.475*44/12</f>
        <v>0.14816899067200306</v>
      </c>
      <c r="BR184" s="23">
        <f>EXP(-LN(2)/2)*BR183+(1-EXP(-LN(2)/2))/(LN(2)/2)*BL184*BO184*VLOOKUP('Données projet'!$B$11,Paramètres!$A$1:$I$89,3,0)*0.475*44/12</f>
        <v>5.4736398135289707E-23</v>
      </c>
      <c r="BS184" s="24">
        <f t="shared" si="169"/>
        <v>0.82680161472755909</v>
      </c>
      <c r="BT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-9.6633812063373625E-13</v>
      </c>
      <c r="BZ184" s="14">
        <f>BY184*VLOOKUP('Données projet'!$B$12,Paramètres!$A$1:$I$89,3,0)*VLOOKUP('Données projet'!$B$12,Paramètres!$A$1:$I$89,5,0)</f>
        <v>-9.3464223027694966E-13</v>
      </c>
      <c r="CA184" s="14" t="e">
        <f t="shared" si="170"/>
        <v>#NUM!</v>
      </c>
      <c r="CB184" s="22" t="e">
        <f t="shared" si="171"/>
        <v>#NUM!</v>
      </c>
      <c r="CC184" s="60" t="e">
        <f t="shared" si="119"/>
        <v>#NUM!</v>
      </c>
      <c r="CD184" s="60">
        <f ca="1">AVERAGE(OFFSET($CC$3,0,0,'Données projet'!$E$12+1,1))-AVERAGE(OFFSET($H$3,0,0,'Données projet'!$E$12+1,1))</f>
        <v>496.33873798282525</v>
      </c>
      <c r="CE184" s="60">
        <f t="shared" si="148"/>
        <v>280.25465074992246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-9.6633812063373625E-13</v>
      </c>
      <c r="CU184" s="18">
        <f>CT184*VLOOKUP('Données projet'!$B$13,Paramètres!$A$1:$I$89,3,0)*VLOOKUP('Données projet'!$B$13,Paramètres!$A$1:$I$89,5,0)</f>
        <v>-1.0401663530501537E-12</v>
      </c>
      <c r="CV184" s="14" t="e">
        <f t="shared" si="173"/>
        <v>#NUM!</v>
      </c>
      <c r="CW184" s="22" t="e">
        <f t="shared" si="174"/>
        <v>#NUM!</v>
      </c>
      <c r="CX184" s="60" t="e">
        <f t="shared" si="122"/>
        <v>#NUM!</v>
      </c>
      <c r="CY184" s="60">
        <f ca="1">AVERAGE(OFFSET($CX$3,0,0,'Données projet'!$E$13+1,1))-AVERAGE(OFFSET($H$3,0,0,'Données projet'!$E$13+1,1))</f>
        <v>542.90832990875208</v>
      </c>
      <c r="CZ184" s="60">
        <f t="shared" si="150"/>
        <v>304.94365539329362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0" t="e">
        <f t="shared" si="125"/>
        <v>#N/A</v>
      </c>
      <c r="DT184" s="60" t="e">
        <f ca="1">AVERAGE(OFFSET($DS$3,0,0,'Données projet'!$E$14+1,1))-AVERAGE(OFFSET($H$3,0,0,'Données projet'!$E$14+1,1))</f>
        <v>#N/A</v>
      </c>
      <c r="DU184" s="60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0" t="e">
        <f t="shared" si="128"/>
        <v>#N/A</v>
      </c>
      <c r="EO184" s="60" t="e">
        <f ca="1">AVERAGE(OFFSET($EN$3,0,0,'Données projet'!$E$15+1,1))-AVERAGE(OFFSET($H$3,0,0,'Données projet'!$E$15+1,1))</f>
        <v>#N/A</v>
      </c>
      <c r="EP184" s="60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0" t="e">
        <f t="shared" si="131"/>
        <v>#N/A</v>
      </c>
      <c r="FJ184" s="60" t="e">
        <f ca="1">AVERAGE(OFFSET($FI$3,0,0,'Données projet'!$E$16+1,1))-AVERAGE(OFFSET($H$3,0,0,'Données projet'!$E$16+1,1))</f>
        <v>#N/A</v>
      </c>
      <c r="FK184" s="60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0" t="e">
        <f t="shared" si="134"/>
        <v>#N/A</v>
      </c>
      <c r="GE184" s="60" t="e">
        <f ca="1">AVERAGE(OFFSET($GD$3,0,0,'Données projet'!$E$17+1,1))-AVERAGE(OFFSET($H$3,0,0,'Données projet'!$E$17+1,1))</f>
        <v>#N/A</v>
      </c>
      <c r="GF184" s="60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4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3.4106051316484809E-13</v>
      </c>
      <c r="O185" s="14">
        <f>N185*VLOOKUP('Données projet'!$B$9,Paramètres!$A$1:$I$89,3,0)*VLOOKUP('Données projet'!$B$9,Paramètres!$A$1:$I$89,5,0)</f>
        <v>1.5961632016114892E-13</v>
      </c>
      <c r="P185" s="14">
        <f t="shared" si="141"/>
        <v>2.2708641912150958E-12</v>
      </c>
      <c r="Q185" s="22">
        <f t="shared" si="162"/>
        <v>4.2330868906469593E-12</v>
      </c>
      <c r="R185" s="60">
        <f t="shared" si="109"/>
        <v>289.54032746824862</v>
      </c>
      <c r="S185" s="60">
        <f ca="1">AVERAGE(OFFSET($R$3,0,0,'Données projet'!$E$9+1,1))-AVERAGE(OFFSET($H$3,0,0,'Données projet'!$E$9+1,1))</f>
        <v>277.7918215389401</v>
      </c>
      <c r="T185" s="60">
        <f t="shared" si="142"/>
        <v>164.65640238394164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-9.6633812063373625E-13</v>
      </c>
      <c r="AJ185" s="14">
        <f>AI185*VLOOKUP('Données projet'!$B$10,Paramètres!$A$1:$I$89,3,0)*VLOOKUP('Données projet'!$B$10,Paramètres!$A$1:$I$89,5,0)</f>
        <v>-8.7434273154940449E-13</v>
      </c>
      <c r="AK185" s="14" t="e">
        <f t="shared" si="164"/>
        <v>#NUM!</v>
      </c>
      <c r="AL185" s="22" t="e">
        <f t="shared" si="165"/>
        <v>#NUM!</v>
      </c>
      <c r="AM185" s="60" t="e">
        <f t="shared" si="113"/>
        <v>#NUM!</v>
      </c>
      <c r="AN185" s="60">
        <f ca="1">AVERAGE(OFFSET($AM$3,0,0,'Données projet'!$E$10+1,1))-AVERAGE(OFFSET($H$3,0,0,'Données projet'!$E$10+1,1))</f>
        <v>469.67944008675863</v>
      </c>
      <c r="AO185" s="60">
        <f t="shared" si="144"/>
        <v>266.11908070867173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0" t="e">
        <f t="shared" si="116"/>
        <v>#NUM!</v>
      </c>
      <c r="BI185" s="60">
        <f ca="1">AVERAGE(OFFSET($BH$3,0,0,'Données projet'!$E$11+1,1))-AVERAGE(OFFSET($H$3,0,0,'Données projet'!$E$11+1,1))</f>
        <v>216.36762889365235</v>
      </c>
      <c r="BJ185" s="60">
        <f t="shared" si="146"/>
        <v>333.29599352215496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0.66532505222285554</v>
      </c>
      <c r="BQ185" s="23">
        <f>EXP(-LN(2)/25)*BQ184+(1-EXP(-LN(2)/25))/(LN(2)/25)*Calculateur!BL185*Calculateur!BN185*VLOOKUP('Données projet'!$B$11,Paramètres!$A$1:$I$89,3,0)*0.475*44/12</f>
        <v>0.14411730183020857</v>
      </c>
      <c r="BR185" s="23">
        <f>EXP(-LN(2)/2)*BR184+(1-EXP(-LN(2)/2))/(LN(2)/2)*BL185*BO185*VLOOKUP('Données projet'!$B$11,Paramètres!$A$1:$I$89,3,0)*0.475*44/12</f>
        <v>3.8704478299190047E-23</v>
      </c>
      <c r="BS185" s="24">
        <f t="shared" si="169"/>
        <v>0.80944235405306408</v>
      </c>
      <c r="BT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-9.6633812063373625E-13</v>
      </c>
      <c r="BZ185" s="14">
        <f>BY185*VLOOKUP('Données projet'!$B$12,Paramètres!$A$1:$I$89,3,0)*VLOOKUP('Données projet'!$B$12,Paramètres!$A$1:$I$89,5,0)</f>
        <v>-9.3464223027694966E-13</v>
      </c>
      <c r="CA185" s="14" t="e">
        <f t="shared" si="170"/>
        <v>#NUM!</v>
      </c>
      <c r="CB185" s="22" t="e">
        <f t="shared" si="171"/>
        <v>#NUM!</v>
      </c>
      <c r="CC185" s="60" t="e">
        <f t="shared" si="119"/>
        <v>#NUM!</v>
      </c>
      <c r="CD185" s="60">
        <f ca="1">AVERAGE(OFFSET($CC$3,0,0,'Données projet'!$E$12+1,1))-AVERAGE(OFFSET($H$3,0,0,'Données projet'!$E$12+1,1))</f>
        <v>496.33873798282525</v>
      </c>
      <c r="CE185" s="60">
        <f t="shared" si="148"/>
        <v>280.25465074992246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-9.6633812063373625E-13</v>
      </c>
      <c r="CU185" s="18">
        <f>CT185*VLOOKUP('Données projet'!$B$13,Paramètres!$A$1:$I$89,3,0)*VLOOKUP('Données projet'!$B$13,Paramètres!$A$1:$I$89,5,0)</f>
        <v>-1.0401663530501537E-12</v>
      </c>
      <c r="CV185" s="14" t="e">
        <f t="shared" si="173"/>
        <v>#NUM!</v>
      </c>
      <c r="CW185" s="22" t="e">
        <f t="shared" si="174"/>
        <v>#NUM!</v>
      </c>
      <c r="CX185" s="60" t="e">
        <f t="shared" si="122"/>
        <v>#NUM!</v>
      </c>
      <c r="CY185" s="60">
        <f ca="1">AVERAGE(OFFSET($CX$3,0,0,'Données projet'!$E$13+1,1))-AVERAGE(OFFSET($H$3,0,0,'Données projet'!$E$13+1,1))</f>
        <v>542.90832990875208</v>
      </c>
      <c r="CZ185" s="60">
        <f t="shared" si="150"/>
        <v>304.94365539329362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0" t="e">
        <f t="shared" si="125"/>
        <v>#N/A</v>
      </c>
      <c r="DT185" s="60" t="e">
        <f ca="1">AVERAGE(OFFSET($DS$3,0,0,'Données projet'!$E$14+1,1))-AVERAGE(OFFSET($H$3,0,0,'Données projet'!$E$14+1,1))</f>
        <v>#N/A</v>
      </c>
      <c r="DU185" s="60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0" t="e">
        <f t="shared" si="128"/>
        <v>#N/A</v>
      </c>
      <c r="EO185" s="60" t="e">
        <f ca="1">AVERAGE(OFFSET($EN$3,0,0,'Données projet'!$E$15+1,1))-AVERAGE(OFFSET($H$3,0,0,'Données projet'!$E$15+1,1))</f>
        <v>#N/A</v>
      </c>
      <c r="EP185" s="60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0" t="e">
        <f t="shared" si="131"/>
        <v>#N/A</v>
      </c>
      <c r="FJ185" s="60" t="e">
        <f ca="1">AVERAGE(OFFSET($FI$3,0,0,'Données projet'!$E$16+1,1))-AVERAGE(OFFSET($H$3,0,0,'Données projet'!$E$16+1,1))</f>
        <v>#N/A</v>
      </c>
      <c r="FK185" s="60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0" t="e">
        <f t="shared" si="134"/>
        <v>#N/A</v>
      </c>
      <c r="GE185" s="60" t="e">
        <f ca="1">AVERAGE(OFFSET($GD$3,0,0,'Données projet'!$E$17+1,1))-AVERAGE(OFFSET($H$3,0,0,'Données projet'!$E$17+1,1))</f>
        <v>#N/A</v>
      </c>
      <c r="GF185" s="60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4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3.4106051316484809E-13</v>
      </c>
      <c r="O186" s="14">
        <f>N186*VLOOKUP('Données projet'!$B$9,Paramètres!$A$1:$I$89,3,0)*VLOOKUP('Données projet'!$B$9,Paramètres!$A$1:$I$89,5,0)</f>
        <v>1.5961632016114892E-13</v>
      </c>
      <c r="P186" s="14">
        <f t="shared" si="141"/>
        <v>2.2708641912150958E-12</v>
      </c>
      <c r="Q186" s="22">
        <f t="shared" si="162"/>
        <v>4.2330868906469593E-12</v>
      </c>
      <c r="R186" s="60">
        <f t="shared" si="109"/>
        <v>289.60612764011717</v>
      </c>
      <c r="S186" s="60">
        <f ca="1">AVERAGE(OFFSET($R$3,0,0,'Données projet'!$E$9+1,1))-AVERAGE(OFFSET($H$3,0,0,'Données projet'!$E$9+1,1))</f>
        <v>277.7918215389401</v>
      </c>
      <c r="T186" s="60">
        <f t="shared" si="142"/>
        <v>164.65640238394164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-9.6633812063373625E-13</v>
      </c>
      <c r="AJ186" s="14">
        <f>AI186*VLOOKUP('Données projet'!$B$10,Paramètres!$A$1:$I$89,3,0)*VLOOKUP('Données projet'!$B$10,Paramètres!$A$1:$I$89,5,0)</f>
        <v>-8.7434273154940449E-13</v>
      </c>
      <c r="AK186" s="14" t="e">
        <f t="shared" si="164"/>
        <v>#NUM!</v>
      </c>
      <c r="AL186" s="22" t="e">
        <f t="shared" si="165"/>
        <v>#NUM!</v>
      </c>
      <c r="AM186" s="60" t="e">
        <f t="shared" si="113"/>
        <v>#NUM!</v>
      </c>
      <c r="AN186" s="60">
        <f ca="1">AVERAGE(OFFSET($AM$3,0,0,'Données projet'!$E$10+1,1))-AVERAGE(OFFSET($H$3,0,0,'Données projet'!$E$10+1,1))</f>
        <v>469.67944008675863</v>
      </c>
      <c r="AO186" s="60">
        <f t="shared" si="144"/>
        <v>266.11908070867173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0" t="e">
        <f t="shared" si="116"/>
        <v>#NUM!</v>
      </c>
      <c r="BI186" s="60">
        <f ca="1">AVERAGE(OFFSET($BH$3,0,0,'Données projet'!$E$11+1,1))-AVERAGE(OFFSET($H$3,0,0,'Données projet'!$E$11+1,1))</f>
        <v>216.36762889365235</v>
      </c>
      <c r="BJ186" s="60">
        <f t="shared" si="146"/>
        <v>333.29599352215496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0.65227843375697692</v>
      </c>
      <c r="BQ186" s="23">
        <f>EXP(-LN(2)/25)*BQ185+(1-EXP(-LN(2)/25))/(LN(2)/25)*Calculateur!BL186*Calculateur!BN186*VLOOKUP('Données projet'!$B$11,Paramètres!$A$1:$I$89,3,0)*0.475*44/12</f>
        <v>0.14017640663286199</v>
      </c>
      <c r="BR186" s="23">
        <f>EXP(-LN(2)/2)*BR185+(1-EXP(-LN(2)/2))/(LN(2)/2)*BL186*BO186*VLOOKUP('Données projet'!$B$11,Paramètres!$A$1:$I$89,3,0)*0.475*44/12</f>
        <v>2.7368199067644854E-23</v>
      </c>
      <c r="BS186" s="24">
        <f t="shared" si="169"/>
        <v>0.79245484038983893</v>
      </c>
      <c r="BT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-9.6633812063373625E-13</v>
      </c>
      <c r="BZ186" s="14">
        <f>BY186*VLOOKUP('Données projet'!$B$12,Paramètres!$A$1:$I$89,3,0)*VLOOKUP('Données projet'!$B$12,Paramètres!$A$1:$I$89,5,0)</f>
        <v>-9.3464223027694966E-13</v>
      </c>
      <c r="CA186" s="14" t="e">
        <f t="shared" si="170"/>
        <v>#NUM!</v>
      </c>
      <c r="CB186" s="22" t="e">
        <f t="shared" si="171"/>
        <v>#NUM!</v>
      </c>
      <c r="CC186" s="60" t="e">
        <f t="shared" si="119"/>
        <v>#NUM!</v>
      </c>
      <c r="CD186" s="60">
        <f ca="1">AVERAGE(OFFSET($CC$3,0,0,'Données projet'!$E$12+1,1))-AVERAGE(OFFSET($H$3,0,0,'Données projet'!$E$12+1,1))</f>
        <v>496.33873798282525</v>
      </c>
      <c r="CE186" s="60">
        <f t="shared" si="148"/>
        <v>280.25465074992246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-9.6633812063373625E-13</v>
      </c>
      <c r="CU186" s="18">
        <f>CT186*VLOOKUP('Données projet'!$B$13,Paramètres!$A$1:$I$89,3,0)*VLOOKUP('Données projet'!$B$13,Paramètres!$A$1:$I$89,5,0)</f>
        <v>-1.0401663530501537E-12</v>
      </c>
      <c r="CV186" s="14" t="e">
        <f t="shared" si="173"/>
        <v>#NUM!</v>
      </c>
      <c r="CW186" s="22" t="e">
        <f t="shared" si="174"/>
        <v>#NUM!</v>
      </c>
      <c r="CX186" s="60" t="e">
        <f t="shared" si="122"/>
        <v>#NUM!</v>
      </c>
      <c r="CY186" s="60">
        <f ca="1">AVERAGE(OFFSET($CX$3,0,0,'Données projet'!$E$13+1,1))-AVERAGE(OFFSET($H$3,0,0,'Données projet'!$E$13+1,1))</f>
        <v>542.90832990875208</v>
      </c>
      <c r="CZ186" s="60">
        <f t="shared" si="150"/>
        <v>304.94365539329362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0" t="e">
        <f t="shared" si="125"/>
        <v>#N/A</v>
      </c>
      <c r="DT186" s="60" t="e">
        <f ca="1">AVERAGE(OFFSET($DS$3,0,0,'Données projet'!$E$14+1,1))-AVERAGE(OFFSET($H$3,0,0,'Données projet'!$E$14+1,1))</f>
        <v>#N/A</v>
      </c>
      <c r="DU186" s="60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0" t="e">
        <f t="shared" si="128"/>
        <v>#N/A</v>
      </c>
      <c r="EO186" s="60" t="e">
        <f ca="1">AVERAGE(OFFSET($EN$3,0,0,'Données projet'!$E$15+1,1))-AVERAGE(OFFSET($H$3,0,0,'Données projet'!$E$15+1,1))</f>
        <v>#N/A</v>
      </c>
      <c r="EP186" s="60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0" t="e">
        <f t="shared" si="131"/>
        <v>#N/A</v>
      </c>
      <c r="FJ186" s="60" t="e">
        <f ca="1">AVERAGE(OFFSET($FI$3,0,0,'Données projet'!$E$16+1,1))-AVERAGE(OFFSET($H$3,0,0,'Données projet'!$E$16+1,1))</f>
        <v>#N/A</v>
      </c>
      <c r="FK186" s="60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0" t="e">
        <f t="shared" si="134"/>
        <v>#N/A</v>
      </c>
      <c r="GE186" s="60" t="e">
        <f ca="1">AVERAGE(OFFSET($GD$3,0,0,'Données projet'!$E$17+1,1))-AVERAGE(OFFSET($H$3,0,0,'Données projet'!$E$17+1,1))</f>
        <v>#N/A</v>
      </c>
      <c r="GF186" s="60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4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3.4106051316484809E-13</v>
      </c>
      <c r="O187" s="14">
        <f>N187*VLOOKUP('Données projet'!$B$9,Paramètres!$A$1:$I$89,3,0)*VLOOKUP('Données projet'!$B$9,Paramètres!$A$1:$I$89,5,0)</f>
        <v>1.5961632016114892E-13</v>
      </c>
      <c r="P187" s="14">
        <f t="shared" si="141"/>
        <v>2.2708641912150958E-12</v>
      </c>
      <c r="Q187" s="22">
        <f t="shared" si="162"/>
        <v>4.2330868906469593E-12</v>
      </c>
      <c r="R187" s="60">
        <f t="shared" si="109"/>
        <v>289.67078632611094</v>
      </c>
      <c r="S187" s="60">
        <f ca="1">AVERAGE(OFFSET($R$3,0,0,'Données projet'!$E$9+1,1))-AVERAGE(OFFSET($H$3,0,0,'Données projet'!$E$9+1,1))</f>
        <v>277.7918215389401</v>
      </c>
      <c r="T187" s="60">
        <f t="shared" si="142"/>
        <v>164.65640238394164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-9.6633812063373625E-13</v>
      </c>
      <c r="AJ187" s="14">
        <f>AI187*VLOOKUP('Données projet'!$B$10,Paramètres!$A$1:$I$89,3,0)*VLOOKUP('Données projet'!$B$10,Paramètres!$A$1:$I$89,5,0)</f>
        <v>-8.7434273154940449E-13</v>
      </c>
      <c r="AK187" s="14" t="e">
        <f t="shared" si="164"/>
        <v>#NUM!</v>
      </c>
      <c r="AL187" s="22" t="e">
        <f t="shared" si="165"/>
        <v>#NUM!</v>
      </c>
      <c r="AM187" s="60" t="e">
        <f t="shared" si="113"/>
        <v>#NUM!</v>
      </c>
      <c r="AN187" s="60">
        <f ca="1">AVERAGE(OFFSET($AM$3,0,0,'Données projet'!$E$10+1,1))-AVERAGE(OFFSET($H$3,0,0,'Données projet'!$E$10+1,1))</f>
        <v>469.67944008675863</v>
      </c>
      <c r="AO187" s="60">
        <f t="shared" si="144"/>
        <v>266.11908070867173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0" t="e">
        <f t="shared" si="116"/>
        <v>#NUM!</v>
      </c>
      <c r="BI187" s="60">
        <f ca="1">AVERAGE(OFFSET($BH$3,0,0,'Données projet'!$E$11+1,1))-AVERAGE(OFFSET($H$3,0,0,'Données projet'!$E$11+1,1))</f>
        <v>216.36762889365235</v>
      </c>
      <c r="BJ187" s="60">
        <f t="shared" si="146"/>
        <v>333.29599352215496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0.63948765152156273</v>
      </c>
      <c r="BQ187" s="23">
        <f>EXP(-LN(2)/25)*BQ186+(1-EXP(-LN(2)/25))/(LN(2)/25)*Calculateur!BL187*Calculateur!BN187*VLOOKUP('Données projet'!$B$11,Paramètres!$A$1:$I$89,3,0)*0.475*44/12</f>
        <v>0.13634327542192953</v>
      </c>
      <c r="BR187" s="23">
        <f>EXP(-LN(2)/2)*BR186+(1-EXP(-LN(2)/2))/(LN(2)/2)*BL187*BO187*VLOOKUP('Données projet'!$B$11,Paramètres!$A$1:$I$89,3,0)*0.475*44/12</f>
        <v>1.9352239149595024E-23</v>
      </c>
      <c r="BS187" s="24">
        <f t="shared" si="169"/>
        <v>0.77583092694349221</v>
      </c>
      <c r="BT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-9.6633812063373625E-13</v>
      </c>
      <c r="BZ187" s="14">
        <f>BY187*VLOOKUP('Données projet'!$B$12,Paramètres!$A$1:$I$89,3,0)*VLOOKUP('Données projet'!$B$12,Paramètres!$A$1:$I$89,5,0)</f>
        <v>-9.3464223027694966E-13</v>
      </c>
      <c r="CA187" s="14" t="e">
        <f t="shared" si="170"/>
        <v>#NUM!</v>
      </c>
      <c r="CB187" s="22" t="e">
        <f t="shared" si="171"/>
        <v>#NUM!</v>
      </c>
      <c r="CC187" s="60" t="e">
        <f t="shared" si="119"/>
        <v>#NUM!</v>
      </c>
      <c r="CD187" s="60">
        <f ca="1">AVERAGE(OFFSET($CC$3,0,0,'Données projet'!$E$12+1,1))-AVERAGE(OFFSET($H$3,0,0,'Données projet'!$E$12+1,1))</f>
        <v>496.33873798282525</v>
      </c>
      <c r="CE187" s="60">
        <f t="shared" si="148"/>
        <v>280.25465074992246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-9.6633812063373625E-13</v>
      </c>
      <c r="CU187" s="18">
        <f>CT187*VLOOKUP('Données projet'!$B$13,Paramètres!$A$1:$I$89,3,0)*VLOOKUP('Données projet'!$B$13,Paramètres!$A$1:$I$89,5,0)</f>
        <v>-1.0401663530501537E-12</v>
      </c>
      <c r="CV187" s="14" t="e">
        <f t="shared" si="173"/>
        <v>#NUM!</v>
      </c>
      <c r="CW187" s="22" t="e">
        <f t="shared" si="174"/>
        <v>#NUM!</v>
      </c>
      <c r="CX187" s="60" t="e">
        <f t="shared" si="122"/>
        <v>#NUM!</v>
      </c>
      <c r="CY187" s="60">
        <f ca="1">AVERAGE(OFFSET($CX$3,0,0,'Données projet'!$E$13+1,1))-AVERAGE(OFFSET($H$3,0,0,'Données projet'!$E$13+1,1))</f>
        <v>542.90832990875208</v>
      </c>
      <c r="CZ187" s="60">
        <f t="shared" si="150"/>
        <v>304.94365539329362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0" t="e">
        <f t="shared" si="125"/>
        <v>#N/A</v>
      </c>
      <c r="DT187" s="60" t="e">
        <f ca="1">AVERAGE(OFFSET($DS$3,0,0,'Données projet'!$E$14+1,1))-AVERAGE(OFFSET($H$3,0,0,'Données projet'!$E$14+1,1))</f>
        <v>#N/A</v>
      </c>
      <c r="DU187" s="60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0" t="e">
        <f t="shared" si="128"/>
        <v>#N/A</v>
      </c>
      <c r="EO187" s="60" t="e">
        <f ca="1">AVERAGE(OFFSET($EN$3,0,0,'Données projet'!$E$15+1,1))-AVERAGE(OFFSET($H$3,0,0,'Données projet'!$E$15+1,1))</f>
        <v>#N/A</v>
      </c>
      <c r="EP187" s="60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0" t="e">
        <f t="shared" si="131"/>
        <v>#N/A</v>
      </c>
      <c r="FJ187" s="60" t="e">
        <f ca="1">AVERAGE(OFFSET($FI$3,0,0,'Données projet'!$E$16+1,1))-AVERAGE(OFFSET($H$3,0,0,'Données projet'!$E$16+1,1))</f>
        <v>#N/A</v>
      </c>
      <c r="FK187" s="60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0" t="e">
        <f t="shared" si="134"/>
        <v>#N/A</v>
      </c>
      <c r="GE187" s="60" t="e">
        <f ca="1">AVERAGE(OFFSET($GD$3,0,0,'Données projet'!$E$17+1,1))-AVERAGE(OFFSET($H$3,0,0,'Données projet'!$E$17+1,1))</f>
        <v>#N/A</v>
      </c>
      <c r="GF187" s="60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4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3.4106051316484809E-13</v>
      </c>
      <c r="O188" s="14">
        <f>N188*VLOOKUP('Données projet'!$B$9,Paramètres!$A$1:$I$89,3,0)*VLOOKUP('Données projet'!$B$9,Paramètres!$A$1:$I$89,5,0)</f>
        <v>1.5961632016114892E-13</v>
      </c>
      <c r="P188" s="14">
        <f t="shared" si="141"/>
        <v>2.2708641912150958E-12</v>
      </c>
      <c r="Q188" s="22">
        <f t="shared" si="162"/>
        <v>4.2330868906469593E-12</v>
      </c>
      <c r="R188" s="60">
        <f t="shared" si="109"/>
        <v>289.73432332845795</v>
      </c>
      <c r="S188" s="60">
        <f ca="1">AVERAGE(OFFSET($R$3,0,0,'Données projet'!$E$9+1,1))-AVERAGE(OFFSET($H$3,0,0,'Données projet'!$E$9+1,1))</f>
        <v>277.7918215389401</v>
      </c>
      <c r="T188" s="60">
        <f t="shared" si="142"/>
        <v>164.65640238394164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-9.6633812063373625E-13</v>
      </c>
      <c r="AJ188" s="14">
        <f>AI188*VLOOKUP('Données projet'!$B$10,Paramètres!$A$1:$I$89,3,0)*VLOOKUP('Données projet'!$B$10,Paramètres!$A$1:$I$89,5,0)</f>
        <v>-8.7434273154940449E-13</v>
      </c>
      <c r="AK188" s="14" t="e">
        <f t="shared" si="164"/>
        <v>#NUM!</v>
      </c>
      <c r="AL188" s="22" t="e">
        <f t="shared" si="165"/>
        <v>#NUM!</v>
      </c>
      <c r="AM188" s="60" t="e">
        <f t="shared" si="113"/>
        <v>#NUM!</v>
      </c>
      <c r="AN188" s="60">
        <f ca="1">AVERAGE(OFFSET($AM$3,0,0,'Données projet'!$E$10+1,1))-AVERAGE(OFFSET($H$3,0,0,'Données projet'!$E$10+1,1))</f>
        <v>469.67944008675863</v>
      </c>
      <c r="AO188" s="60">
        <f t="shared" si="144"/>
        <v>266.11908070867173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0" t="e">
        <f t="shared" si="116"/>
        <v>#NUM!</v>
      </c>
      <c r="BI188" s="60">
        <f ca="1">AVERAGE(OFFSET($BH$3,0,0,'Données projet'!$E$11+1,1))-AVERAGE(OFFSET($H$3,0,0,'Données projet'!$E$11+1,1))</f>
        <v>216.36762889365235</v>
      </c>
      <c r="BJ188" s="60">
        <f t="shared" si="146"/>
        <v>333.29599352215496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0.62694768872417816</v>
      </c>
      <c r="BQ188" s="23">
        <f>EXP(-LN(2)/25)*BQ187+(1-EXP(-LN(2)/25))/(LN(2)/25)*Calculateur!BL188*Calculateur!BN188*VLOOKUP('Données projet'!$B$11,Paramètres!$A$1:$I$89,3,0)*0.475*44/12</f>
        <v>0.13261496138553563</v>
      </c>
      <c r="BR188" s="23">
        <f>EXP(-LN(2)/2)*BR187+(1-EXP(-LN(2)/2))/(LN(2)/2)*BL188*BO188*VLOOKUP('Données projet'!$B$11,Paramètres!$A$1:$I$89,3,0)*0.475*44/12</f>
        <v>1.3684099533822427E-23</v>
      </c>
      <c r="BS188" s="24">
        <f t="shared" si="169"/>
        <v>0.7595626501097138</v>
      </c>
      <c r="BT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-9.6633812063373625E-13</v>
      </c>
      <c r="BZ188" s="14">
        <f>BY188*VLOOKUP('Données projet'!$B$12,Paramètres!$A$1:$I$89,3,0)*VLOOKUP('Données projet'!$B$12,Paramètres!$A$1:$I$89,5,0)</f>
        <v>-9.3464223027694966E-13</v>
      </c>
      <c r="CA188" s="14" t="e">
        <f t="shared" si="170"/>
        <v>#NUM!</v>
      </c>
      <c r="CB188" s="22" t="e">
        <f t="shared" si="171"/>
        <v>#NUM!</v>
      </c>
      <c r="CC188" s="60" t="e">
        <f t="shared" si="119"/>
        <v>#NUM!</v>
      </c>
      <c r="CD188" s="60">
        <f ca="1">AVERAGE(OFFSET($CC$3,0,0,'Données projet'!$E$12+1,1))-AVERAGE(OFFSET($H$3,0,0,'Données projet'!$E$12+1,1))</f>
        <v>496.33873798282525</v>
      </c>
      <c r="CE188" s="60">
        <f t="shared" si="148"/>
        <v>280.25465074992246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-9.6633812063373625E-13</v>
      </c>
      <c r="CU188" s="18">
        <f>CT188*VLOOKUP('Données projet'!$B$13,Paramètres!$A$1:$I$89,3,0)*VLOOKUP('Données projet'!$B$13,Paramètres!$A$1:$I$89,5,0)</f>
        <v>-1.0401663530501537E-12</v>
      </c>
      <c r="CV188" s="14" t="e">
        <f t="shared" si="173"/>
        <v>#NUM!</v>
      </c>
      <c r="CW188" s="22" t="e">
        <f t="shared" si="174"/>
        <v>#NUM!</v>
      </c>
      <c r="CX188" s="60" t="e">
        <f t="shared" si="122"/>
        <v>#NUM!</v>
      </c>
      <c r="CY188" s="60">
        <f ca="1">AVERAGE(OFFSET($CX$3,0,0,'Données projet'!$E$13+1,1))-AVERAGE(OFFSET($H$3,0,0,'Données projet'!$E$13+1,1))</f>
        <v>542.90832990875208</v>
      </c>
      <c r="CZ188" s="60">
        <f t="shared" si="150"/>
        <v>304.94365539329362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0" t="e">
        <f t="shared" si="125"/>
        <v>#N/A</v>
      </c>
      <c r="DT188" s="60" t="e">
        <f ca="1">AVERAGE(OFFSET($DS$3,0,0,'Données projet'!$E$14+1,1))-AVERAGE(OFFSET($H$3,0,0,'Données projet'!$E$14+1,1))</f>
        <v>#N/A</v>
      </c>
      <c r="DU188" s="60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0" t="e">
        <f t="shared" si="128"/>
        <v>#N/A</v>
      </c>
      <c r="EO188" s="60" t="e">
        <f ca="1">AVERAGE(OFFSET($EN$3,0,0,'Données projet'!$E$15+1,1))-AVERAGE(OFFSET($H$3,0,0,'Données projet'!$E$15+1,1))</f>
        <v>#N/A</v>
      </c>
      <c r="EP188" s="60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0" t="e">
        <f t="shared" si="131"/>
        <v>#N/A</v>
      </c>
      <c r="FJ188" s="60" t="e">
        <f ca="1">AVERAGE(OFFSET($FI$3,0,0,'Données projet'!$E$16+1,1))-AVERAGE(OFFSET($H$3,0,0,'Données projet'!$E$16+1,1))</f>
        <v>#N/A</v>
      </c>
      <c r="FK188" s="60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0" t="e">
        <f t="shared" si="134"/>
        <v>#N/A</v>
      </c>
      <c r="GE188" s="60" t="e">
        <f ca="1">AVERAGE(OFFSET($GD$3,0,0,'Données projet'!$E$17+1,1))-AVERAGE(OFFSET($H$3,0,0,'Données projet'!$E$17+1,1))</f>
        <v>#N/A</v>
      </c>
      <c r="GF188" s="60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4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3.4106051316484809E-13</v>
      </c>
      <c r="O189" s="14">
        <f>N189*VLOOKUP('Données projet'!$B$9,Paramètres!$A$1:$I$89,3,0)*VLOOKUP('Données projet'!$B$9,Paramètres!$A$1:$I$89,5,0)</f>
        <v>1.5961632016114892E-13</v>
      </c>
      <c r="P189" s="14">
        <f t="shared" si="141"/>
        <v>2.2708641912150958E-12</v>
      </c>
      <c r="Q189" s="22">
        <f t="shared" si="162"/>
        <v>4.2330868906469593E-12</v>
      </c>
      <c r="R189" s="60">
        <f t="shared" si="109"/>
        <v>289.79675810586161</v>
      </c>
      <c r="S189" s="60">
        <f ca="1">AVERAGE(OFFSET($R$3,0,0,'Données projet'!$E$9+1,1))-AVERAGE(OFFSET($H$3,0,0,'Données projet'!$E$9+1,1))</f>
        <v>277.7918215389401</v>
      </c>
      <c r="T189" s="60">
        <f t="shared" si="142"/>
        <v>164.65640238394164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-9.6633812063373625E-13</v>
      </c>
      <c r="AJ189" s="14">
        <f>AI189*VLOOKUP('Données projet'!$B$10,Paramètres!$A$1:$I$89,3,0)*VLOOKUP('Données projet'!$B$10,Paramètres!$A$1:$I$89,5,0)</f>
        <v>-8.7434273154940449E-13</v>
      </c>
      <c r="AK189" s="14" t="e">
        <f t="shared" si="164"/>
        <v>#NUM!</v>
      </c>
      <c r="AL189" s="22" t="e">
        <f t="shared" si="165"/>
        <v>#NUM!</v>
      </c>
      <c r="AM189" s="60" t="e">
        <f t="shared" si="113"/>
        <v>#NUM!</v>
      </c>
      <c r="AN189" s="60">
        <f ca="1">AVERAGE(OFFSET($AM$3,0,0,'Données projet'!$E$10+1,1))-AVERAGE(OFFSET($H$3,0,0,'Données projet'!$E$10+1,1))</f>
        <v>469.67944008675863</v>
      </c>
      <c r="AO189" s="60">
        <f t="shared" si="144"/>
        <v>266.11908070867173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0" t="e">
        <f t="shared" si="116"/>
        <v>#NUM!</v>
      </c>
      <c r="BI189" s="60">
        <f ca="1">AVERAGE(OFFSET($BH$3,0,0,'Données projet'!$E$11+1,1))-AVERAGE(OFFSET($H$3,0,0,'Données projet'!$E$11+1,1))</f>
        <v>216.36762889365235</v>
      </c>
      <c r="BJ189" s="60">
        <f t="shared" si="146"/>
        <v>333.29599352215496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0.61465362694862824</v>
      </c>
      <c r="BQ189" s="23">
        <f>EXP(-LN(2)/25)*BQ188+(1-EXP(-LN(2)/25))/(LN(2)/25)*Calculateur!BL189*Calculateur!BN189*VLOOKUP('Données projet'!$B$11,Paramètres!$A$1:$I$89,3,0)*0.475*44/12</f>
        <v>0.12898859829253043</v>
      </c>
      <c r="BR189" s="23">
        <f>EXP(-LN(2)/2)*BR188+(1-EXP(-LN(2)/2))/(LN(2)/2)*BL189*BO189*VLOOKUP('Données projet'!$B$11,Paramètres!$A$1:$I$89,3,0)*0.475*44/12</f>
        <v>9.6761195747975119E-24</v>
      </c>
      <c r="BS189" s="24">
        <f t="shared" si="169"/>
        <v>0.74364222524115864</v>
      </c>
      <c r="BT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-9.6633812063373625E-13</v>
      </c>
      <c r="BZ189" s="14">
        <f>BY189*VLOOKUP('Données projet'!$B$12,Paramètres!$A$1:$I$89,3,0)*VLOOKUP('Données projet'!$B$12,Paramètres!$A$1:$I$89,5,0)</f>
        <v>-9.3464223027694966E-13</v>
      </c>
      <c r="CA189" s="14" t="e">
        <f t="shared" si="170"/>
        <v>#NUM!</v>
      </c>
      <c r="CB189" s="22" t="e">
        <f t="shared" si="171"/>
        <v>#NUM!</v>
      </c>
      <c r="CC189" s="60" t="e">
        <f t="shared" si="119"/>
        <v>#NUM!</v>
      </c>
      <c r="CD189" s="60">
        <f ca="1">AVERAGE(OFFSET($CC$3,0,0,'Données projet'!$E$12+1,1))-AVERAGE(OFFSET($H$3,0,0,'Données projet'!$E$12+1,1))</f>
        <v>496.33873798282525</v>
      </c>
      <c r="CE189" s="60">
        <f t="shared" si="148"/>
        <v>280.25465074992246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-9.6633812063373625E-13</v>
      </c>
      <c r="CU189" s="18">
        <f>CT189*VLOOKUP('Données projet'!$B$13,Paramètres!$A$1:$I$89,3,0)*VLOOKUP('Données projet'!$B$13,Paramètres!$A$1:$I$89,5,0)</f>
        <v>-1.0401663530501537E-12</v>
      </c>
      <c r="CV189" s="14" t="e">
        <f t="shared" si="173"/>
        <v>#NUM!</v>
      </c>
      <c r="CW189" s="22" t="e">
        <f t="shared" si="174"/>
        <v>#NUM!</v>
      </c>
      <c r="CX189" s="60" t="e">
        <f t="shared" si="122"/>
        <v>#NUM!</v>
      </c>
      <c r="CY189" s="60">
        <f ca="1">AVERAGE(OFFSET($CX$3,0,0,'Données projet'!$E$13+1,1))-AVERAGE(OFFSET($H$3,0,0,'Données projet'!$E$13+1,1))</f>
        <v>542.90832990875208</v>
      </c>
      <c r="CZ189" s="60">
        <f t="shared" si="150"/>
        <v>304.94365539329362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0" t="e">
        <f t="shared" si="125"/>
        <v>#N/A</v>
      </c>
      <c r="DT189" s="60" t="e">
        <f ca="1">AVERAGE(OFFSET($DS$3,0,0,'Données projet'!$E$14+1,1))-AVERAGE(OFFSET($H$3,0,0,'Données projet'!$E$14+1,1))</f>
        <v>#N/A</v>
      </c>
      <c r="DU189" s="60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0" t="e">
        <f t="shared" si="128"/>
        <v>#N/A</v>
      </c>
      <c r="EO189" s="60" t="e">
        <f ca="1">AVERAGE(OFFSET($EN$3,0,0,'Données projet'!$E$15+1,1))-AVERAGE(OFFSET($H$3,0,0,'Données projet'!$E$15+1,1))</f>
        <v>#N/A</v>
      </c>
      <c r="EP189" s="60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0" t="e">
        <f t="shared" si="131"/>
        <v>#N/A</v>
      </c>
      <c r="FJ189" s="60" t="e">
        <f ca="1">AVERAGE(OFFSET($FI$3,0,0,'Données projet'!$E$16+1,1))-AVERAGE(OFFSET($H$3,0,0,'Données projet'!$E$16+1,1))</f>
        <v>#N/A</v>
      </c>
      <c r="FK189" s="60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0" t="e">
        <f t="shared" si="134"/>
        <v>#N/A</v>
      </c>
      <c r="GE189" s="60" t="e">
        <f ca="1">AVERAGE(OFFSET($GD$3,0,0,'Données projet'!$E$17+1,1))-AVERAGE(OFFSET($H$3,0,0,'Données projet'!$E$17+1,1))</f>
        <v>#N/A</v>
      </c>
      <c r="GF189" s="60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4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3.4106051316484809E-13</v>
      </c>
      <c r="O190" s="14">
        <f>N190*VLOOKUP('Données projet'!$B$9,Paramètres!$A$1:$I$89,3,0)*VLOOKUP('Données projet'!$B$9,Paramètres!$A$1:$I$89,5,0)</f>
        <v>1.5961632016114892E-13</v>
      </c>
      <c r="P190" s="14">
        <f t="shared" si="141"/>
        <v>2.2708641912150958E-12</v>
      </c>
      <c r="Q190" s="22">
        <f t="shared" si="162"/>
        <v>4.2330868906469593E-12</v>
      </c>
      <c r="R190" s="60">
        <f t="shared" si="109"/>
        <v>289.85810977946062</v>
      </c>
      <c r="S190" s="60">
        <f ca="1">AVERAGE(OFFSET($R$3,0,0,'Données projet'!$E$9+1,1))-AVERAGE(OFFSET($H$3,0,0,'Données projet'!$E$9+1,1))</f>
        <v>277.7918215389401</v>
      </c>
      <c r="T190" s="60">
        <f t="shared" si="142"/>
        <v>164.65640238394164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-9.6633812063373625E-13</v>
      </c>
      <c r="AJ190" s="14">
        <f>AI190*VLOOKUP('Données projet'!$B$10,Paramètres!$A$1:$I$89,3,0)*VLOOKUP('Données projet'!$B$10,Paramètres!$A$1:$I$89,5,0)</f>
        <v>-8.7434273154940449E-13</v>
      </c>
      <c r="AK190" s="14" t="e">
        <f t="shared" si="164"/>
        <v>#NUM!</v>
      </c>
      <c r="AL190" s="22" t="e">
        <f t="shared" si="165"/>
        <v>#NUM!</v>
      </c>
      <c r="AM190" s="60" t="e">
        <f t="shared" si="113"/>
        <v>#NUM!</v>
      </c>
      <c r="AN190" s="60">
        <f ca="1">AVERAGE(OFFSET($AM$3,0,0,'Données projet'!$E$10+1,1))-AVERAGE(OFFSET($H$3,0,0,'Données projet'!$E$10+1,1))</f>
        <v>469.67944008675863</v>
      </c>
      <c r="AO190" s="60">
        <f t="shared" si="144"/>
        <v>266.11908070867173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0" t="e">
        <f t="shared" si="116"/>
        <v>#NUM!</v>
      </c>
      <c r="BI190" s="60">
        <f ca="1">AVERAGE(OFFSET($BH$3,0,0,'Données projet'!$E$11+1,1))-AVERAGE(OFFSET($H$3,0,0,'Données projet'!$E$11+1,1))</f>
        <v>216.36762889365235</v>
      </c>
      <c r="BJ190" s="60">
        <f t="shared" si="146"/>
        <v>333.29599352215496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0.60260064422585957</v>
      </c>
      <c r="BQ190" s="23">
        <f>EXP(-LN(2)/25)*BQ189+(1-EXP(-LN(2)/25))/(LN(2)/25)*Calculateur!BL190*Calculateur!BN190*VLOOKUP('Données projet'!$B$11,Paramètres!$A$1:$I$89,3,0)*0.475*44/12</f>
        <v>0.1254613982890056</v>
      </c>
      <c r="BR190" s="23">
        <f>EXP(-LN(2)/2)*BR189+(1-EXP(-LN(2)/2))/(LN(2)/2)*BL190*BO190*VLOOKUP('Données projet'!$B$11,Paramètres!$A$1:$I$89,3,0)*0.475*44/12</f>
        <v>6.8420497669112134E-24</v>
      </c>
      <c r="BS190" s="24">
        <f t="shared" si="169"/>
        <v>0.72806204251486517</v>
      </c>
      <c r="BT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-9.6633812063373625E-13</v>
      </c>
      <c r="BZ190" s="14">
        <f>BY190*VLOOKUP('Données projet'!$B$12,Paramètres!$A$1:$I$89,3,0)*VLOOKUP('Données projet'!$B$12,Paramètres!$A$1:$I$89,5,0)</f>
        <v>-9.3464223027694966E-13</v>
      </c>
      <c r="CA190" s="14" t="e">
        <f t="shared" si="170"/>
        <v>#NUM!</v>
      </c>
      <c r="CB190" s="22" t="e">
        <f t="shared" si="171"/>
        <v>#NUM!</v>
      </c>
      <c r="CC190" s="60" t="e">
        <f t="shared" si="119"/>
        <v>#NUM!</v>
      </c>
      <c r="CD190" s="60">
        <f ca="1">AVERAGE(OFFSET($CC$3,0,0,'Données projet'!$E$12+1,1))-AVERAGE(OFFSET($H$3,0,0,'Données projet'!$E$12+1,1))</f>
        <v>496.33873798282525</v>
      </c>
      <c r="CE190" s="60">
        <f t="shared" si="148"/>
        <v>280.25465074992246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-9.6633812063373625E-13</v>
      </c>
      <c r="CU190" s="18">
        <f>CT190*VLOOKUP('Données projet'!$B$13,Paramètres!$A$1:$I$89,3,0)*VLOOKUP('Données projet'!$B$13,Paramètres!$A$1:$I$89,5,0)</f>
        <v>-1.0401663530501537E-12</v>
      </c>
      <c r="CV190" s="14" t="e">
        <f t="shared" si="173"/>
        <v>#NUM!</v>
      </c>
      <c r="CW190" s="22" t="e">
        <f t="shared" si="174"/>
        <v>#NUM!</v>
      </c>
      <c r="CX190" s="60" t="e">
        <f t="shared" si="122"/>
        <v>#NUM!</v>
      </c>
      <c r="CY190" s="60">
        <f ca="1">AVERAGE(OFFSET($CX$3,0,0,'Données projet'!$E$13+1,1))-AVERAGE(OFFSET($H$3,0,0,'Données projet'!$E$13+1,1))</f>
        <v>542.90832990875208</v>
      </c>
      <c r="CZ190" s="60">
        <f t="shared" si="150"/>
        <v>304.94365539329362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0" t="e">
        <f t="shared" si="125"/>
        <v>#N/A</v>
      </c>
      <c r="DT190" s="60" t="e">
        <f ca="1">AVERAGE(OFFSET($DS$3,0,0,'Données projet'!$E$14+1,1))-AVERAGE(OFFSET($H$3,0,0,'Données projet'!$E$14+1,1))</f>
        <v>#N/A</v>
      </c>
      <c r="DU190" s="60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0" t="e">
        <f t="shared" si="128"/>
        <v>#N/A</v>
      </c>
      <c r="EO190" s="60" t="e">
        <f ca="1">AVERAGE(OFFSET($EN$3,0,0,'Données projet'!$E$15+1,1))-AVERAGE(OFFSET($H$3,0,0,'Données projet'!$E$15+1,1))</f>
        <v>#N/A</v>
      </c>
      <c r="EP190" s="60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0" t="e">
        <f t="shared" si="131"/>
        <v>#N/A</v>
      </c>
      <c r="FJ190" s="60" t="e">
        <f ca="1">AVERAGE(OFFSET($FI$3,0,0,'Données projet'!$E$16+1,1))-AVERAGE(OFFSET($H$3,0,0,'Données projet'!$E$16+1,1))</f>
        <v>#N/A</v>
      </c>
      <c r="FK190" s="60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0" t="e">
        <f t="shared" si="134"/>
        <v>#N/A</v>
      </c>
      <c r="GE190" s="60" t="e">
        <f ca="1">AVERAGE(OFFSET($GD$3,0,0,'Données projet'!$E$17+1,1))-AVERAGE(OFFSET($H$3,0,0,'Données projet'!$E$17+1,1))</f>
        <v>#N/A</v>
      </c>
      <c r="GF190" s="60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4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3.4106051316484809E-13</v>
      </c>
      <c r="O191" s="14">
        <f>N191*VLOOKUP('Données projet'!$B$9,Paramètres!$A$1:$I$89,3,0)*VLOOKUP('Données projet'!$B$9,Paramètres!$A$1:$I$89,5,0)</f>
        <v>1.5961632016114892E-13</v>
      </c>
      <c r="P191" s="14">
        <f t="shared" si="141"/>
        <v>2.2708641912150958E-12</v>
      </c>
      <c r="Q191" s="22">
        <f t="shared" si="162"/>
        <v>4.2330868906469593E-12</v>
      </c>
      <c r="R191" s="60">
        <f t="shared" si="109"/>
        <v>289.91839713868444</v>
      </c>
      <c r="S191" s="60">
        <f ca="1">AVERAGE(OFFSET($R$3,0,0,'Données projet'!$E$9+1,1))-AVERAGE(OFFSET($H$3,0,0,'Données projet'!$E$9+1,1))</f>
        <v>277.7918215389401</v>
      </c>
      <c r="T191" s="60">
        <f t="shared" si="142"/>
        <v>164.65640238394164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-9.6633812063373625E-13</v>
      </c>
      <c r="AJ191" s="14">
        <f>AI191*VLOOKUP('Données projet'!$B$10,Paramètres!$A$1:$I$89,3,0)*VLOOKUP('Données projet'!$B$10,Paramètres!$A$1:$I$89,5,0)</f>
        <v>-8.7434273154940449E-13</v>
      </c>
      <c r="AK191" s="14" t="e">
        <f t="shared" si="164"/>
        <v>#NUM!</v>
      </c>
      <c r="AL191" s="22" t="e">
        <f t="shared" si="165"/>
        <v>#NUM!</v>
      </c>
      <c r="AM191" s="60" t="e">
        <f t="shared" si="113"/>
        <v>#NUM!</v>
      </c>
      <c r="AN191" s="60">
        <f ca="1">AVERAGE(OFFSET($AM$3,0,0,'Données projet'!$E$10+1,1))-AVERAGE(OFFSET($H$3,0,0,'Données projet'!$E$10+1,1))</f>
        <v>469.67944008675863</v>
      </c>
      <c r="AO191" s="60">
        <f t="shared" si="144"/>
        <v>266.11908070867173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0" t="e">
        <f t="shared" si="116"/>
        <v>#NUM!</v>
      </c>
      <c r="BI191" s="60">
        <f ca="1">AVERAGE(OFFSET($BH$3,0,0,'Données projet'!$E$11+1,1))-AVERAGE(OFFSET($H$3,0,0,'Données projet'!$E$11+1,1))</f>
        <v>216.36762889365235</v>
      </c>
      <c r="BJ191" s="60">
        <f t="shared" si="146"/>
        <v>333.29599352215496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0.59078401314269091</v>
      </c>
      <c r="BQ191" s="23">
        <f>EXP(-LN(2)/25)*BQ190+(1-EXP(-LN(2)/25))/(LN(2)/25)*Calculateur!BL191*Calculateur!BN191*VLOOKUP('Données projet'!$B$11,Paramètres!$A$1:$I$89,3,0)*0.475*44/12</f>
        <v>0.12203064975506456</v>
      </c>
      <c r="BR191" s="23">
        <f>EXP(-LN(2)/2)*BR190+(1-EXP(-LN(2)/2))/(LN(2)/2)*BL191*BO191*VLOOKUP('Données projet'!$B$11,Paramètres!$A$1:$I$89,3,0)*0.475*44/12</f>
        <v>4.8380597873987559E-24</v>
      </c>
      <c r="BS191" s="24">
        <f t="shared" si="169"/>
        <v>0.71281466289775541</v>
      </c>
      <c r="BT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-9.6633812063373625E-13</v>
      </c>
      <c r="BZ191" s="14">
        <f>BY191*VLOOKUP('Données projet'!$B$12,Paramètres!$A$1:$I$89,3,0)*VLOOKUP('Données projet'!$B$12,Paramètres!$A$1:$I$89,5,0)</f>
        <v>-9.3464223027694966E-13</v>
      </c>
      <c r="CA191" s="14" t="e">
        <f t="shared" si="170"/>
        <v>#NUM!</v>
      </c>
      <c r="CB191" s="22" t="e">
        <f t="shared" si="171"/>
        <v>#NUM!</v>
      </c>
      <c r="CC191" s="60" t="e">
        <f t="shared" si="119"/>
        <v>#NUM!</v>
      </c>
      <c r="CD191" s="60">
        <f ca="1">AVERAGE(OFFSET($CC$3,0,0,'Données projet'!$E$12+1,1))-AVERAGE(OFFSET($H$3,0,0,'Données projet'!$E$12+1,1))</f>
        <v>496.33873798282525</v>
      </c>
      <c r="CE191" s="60">
        <f t="shared" si="148"/>
        <v>280.25465074992246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-9.6633812063373625E-13</v>
      </c>
      <c r="CU191" s="18">
        <f>CT191*VLOOKUP('Données projet'!$B$13,Paramètres!$A$1:$I$89,3,0)*VLOOKUP('Données projet'!$B$13,Paramètres!$A$1:$I$89,5,0)</f>
        <v>-1.0401663530501537E-12</v>
      </c>
      <c r="CV191" s="14" t="e">
        <f t="shared" si="173"/>
        <v>#NUM!</v>
      </c>
      <c r="CW191" s="22" t="e">
        <f t="shared" si="174"/>
        <v>#NUM!</v>
      </c>
      <c r="CX191" s="60" t="e">
        <f t="shared" si="122"/>
        <v>#NUM!</v>
      </c>
      <c r="CY191" s="60">
        <f ca="1">AVERAGE(OFFSET($CX$3,0,0,'Données projet'!$E$13+1,1))-AVERAGE(OFFSET($H$3,0,0,'Données projet'!$E$13+1,1))</f>
        <v>542.90832990875208</v>
      </c>
      <c r="CZ191" s="60">
        <f t="shared" si="150"/>
        <v>304.94365539329362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0" t="e">
        <f t="shared" si="125"/>
        <v>#N/A</v>
      </c>
      <c r="DT191" s="60" t="e">
        <f ca="1">AVERAGE(OFFSET($DS$3,0,0,'Données projet'!$E$14+1,1))-AVERAGE(OFFSET($H$3,0,0,'Données projet'!$E$14+1,1))</f>
        <v>#N/A</v>
      </c>
      <c r="DU191" s="60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0" t="e">
        <f t="shared" si="128"/>
        <v>#N/A</v>
      </c>
      <c r="EO191" s="60" t="e">
        <f ca="1">AVERAGE(OFFSET($EN$3,0,0,'Données projet'!$E$15+1,1))-AVERAGE(OFFSET($H$3,0,0,'Données projet'!$E$15+1,1))</f>
        <v>#N/A</v>
      </c>
      <c r="EP191" s="60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0" t="e">
        <f t="shared" si="131"/>
        <v>#N/A</v>
      </c>
      <c r="FJ191" s="60" t="e">
        <f ca="1">AVERAGE(OFFSET($FI$3,0,0,'Données projet'!$E$16+1,1))-AVERAGE(OFFSET($H$3,0,0,'Données projet'!$E$16+1,1))</f>
        <v>#N/A</v>
      </c>
      <c r="FK191" s="60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0" t="e">
        <f t="shared" si="134"/>
        <v>#N/A</v>
      </c>
      <c r="GE191" s="60" t="e">
        <f ca="1">AVERAGE(OFFSET($GD$3,0,0,'Données projet'!$E$17+1,1))-AVERAGE(OFFSET($H$3,0,0,'Données projet'!$E$17+1,1))</f>
        <v>#N/A</v>
      </c>
      <c r="GF191" s="60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4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3.4106051316484809E-13</v>
      </c>
      <c r="O192" s="14">
        <f>N192*VLOOKUP('Données projet'!$B$9,Paramètres!$A$1:$I$89,3,0)*VLOOKUP('Données projet'!$B$9,Paramètres!$A$1:$I$89,5,0)</f>
        <v>1.5961632016114892E-13</v>
      </c>
      <c r="P192" s="14">
        <f t="shared" si="141"/>
        <v>2.2708641912150958E-12</v>
      </c>
      <c r="Q192" s="22">
        <f t="shared" si="162"/>
        <v>4.2330868906469593E-12</v>
      </c>
      <c r="R192" s="60">
        <f t="shared" si="109"/>
        <v>289.97763864700806</v>
      </c>
      <c r="S192" s="60">
        <f ca="1">AVERAGE(OFFSET($R$3,0,0,'Données projet'!$E$9+1,1))-AVERAGE(OFFSET($H$3,0,0,'Données projet'!$E$9+1,1))</f>
        <v>277.7918215389401</v>
      </c>
      <c r="T192" s="60">
        <f t="shared" si="142"/>
        <v>164.65640238394164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-9.6633812063373625E-13</v>
      </c>
      <c r="AJ192" s="14">
        <f>AI192*VLOOKUP('Données projet'!$B$10,Paramètres!$A$1:$I$89,3,0)*VLOOKUP('Données projet'!$B$10,Paramètres!$A$1:$I$89,5,0)</f>
        <v>-8.7434273154940449E-13</v>
      </c>
      <c r="AK192" s="14" t="e">
        <f t="shared" si="164"/>
        <v>#NUM!</v>
      </c>
      <c r="AL192" s="22" t="e">
        <f t="shared" si="165"/>
        <v>#NUM!</v>
      </c>
      <c r="AM192" s="60" t="e">
        <f t="shared" si="113"/>
        <v>#NUM!</v>
      </c>
      <c r="AN192" s="60">
        <f ca="1">AVERAGE(OFFSET($AM$3,0,0,'Données projet'!$E$10+1,1))-AVERAGE(OFFSET($H$3,0,0,'Données projet'!$E$10+1,1))</f>
        <v>469.67944008675863</v>
      </c>
      <c r="AO192" s="60">
        <f t="shared" si="144"/>
        <v>266.11908070867173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0" t="e">
        <f t="shared" si="116"/>
        <v>#NUM!</v>
      </c>
      <c r="BI192" s="60">
        <f ca="1">AVERAGE(OFFSET($BH$3,0,0,'Données projet'!$E$11+1,1))-AVERAGE(OFFSET($H$3,0,0,'Données projet'!$E$11+1,1))</f>
        <v>216.36762889365235</v>
      </c>
      <c r="BJ192" s="60">
        <f t="shared" si="146"/>
        <v>333.29599352215496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0.57919909898762989</v>
      </c>
      <c r="BQ192" s="23">
        <f>EXP(-LN(2)/25)*BQ191+(1-EXP(-LN(2)/25))/(LN(2)/25)*Calculateur!BL192*Calculateur!BN192*VLOOKUP('Données projet'!$B$11,Paramètres!$A$1:$I$89,3,0)*0.475*44/12</f>
        <v>0.11869371522019935</v>
      </c>
      <c r="BR192" s="23">
        <f>EXP(-LN(2)/2)*BR191+(1-EXP(-LN(2)/2))/(LN(2)/2)*BL192*BO192*VLOOKUP('Données projet'!$B$11,Paramètres!$A$1:$I$89,3,0)*0.475*44/12</f>
        <v>3.4210248834556067E-24</v>
      </c>
      <c r="BS192" s="24">
        <f t="shared" si="169"/>
        <v>0.69789281420782923</v>
      </c>
      <c r="BT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-9.6633812063373625E-13</v>
      </c>
      <c r="BZ192" s="14">
        <f>BY192*VLOOKUP('Données projet'!$B$12,Paramètres!$A$1:$I$89,3,0)*VLOOKUP('Données projet'!$B$12,Paramètres!$A$1:$I$89,5,0)</f>
        <v>-9.3464223027694966E-13</v>
      </c>
      <c r="CA192" s="14" t="e">
        <f t="shared" si="170"/>
        <v>#NUM!</v>
      </c>
      <c r="CB192" s="22" t="e">
        <f t="shared" si="171"/>
        <v>#NUM!</v>
      </c>
      <c r="CC192" s="60" t="e">
        <f t="shared" si="119"/>
        <v>#NUM!</v>
      </c>
      <c r="CD192" s="60">
        <f ca="1">AVERAGE(OFFSET($CC$3,0,0,'Données projet'!$E$12+1,1))-AVERAGE(OFFSET($H$3,0,0,'Données projet'!$E$12+1,1))</f>
        <v>496.33873798282525</v>
      </c>
      <c r="CE192" s="60">
        <f t="shared" si="148"/>
        <v>280.25465074992246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-9.6633812063373625E-13</v>
      </c>
      <c r="CU192" s="18">
        <f>CT192*VLOOKUP('Données projet'!$B$13,Paramètres!$A$1:$I$89,3,0)*VLOOKUP('Données projet'!$B$13,Paramètres!$A$1:$I$89,5,0)</f>
        <v>-1.0401663530501537E-12</v>
      </c>
      <c r="CV192" s="14" t="e">
        <f t="shared" si="173"/>
        <v>#NUM!</v>
      </c>
      <c r="CW192" s="22" t="e">
        <f t="shared" si="174"/>
        <v>#NUM!</v>
      </c>
      <c r="CX192" s="60" t="e">
        <f t="shared" si="122"/>
        <v>#NUM!</v>
      </c>
      <c r="CY192" s="60">
        <f ca="1">AVERAGE(OFFSET($CX$3,0,0,'Données projet'!$E$13+1,1))-AVERAGE(OFFSET($H$3,0,0,'Données projet'!$E$13+1,1))</f>
        <v>542.90832990875208</v>
      </c>
      <c r="CZ192" s="60">
        <f t="shared" si="150"/>
        <v>304.94365539329362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0" t="e">
        <f t="shared" si="125"/>
        <v>#N/A</v>
      </c>
      <c r="DT192" s="60" t="e">
        <f ca="1">AVERAGE(OFFSET($DS$3,0,0,'Données projet'!$E$14+1,1))-AVERAGE(OFFSET($H$3,0,0,'Données projet'!$E$14+1,1))</f>
        <v>#N/A</v>
      </c>
      <c r="DU192" s="60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0" t="e">
        <f t="shared" si="128"/>
        <v>#N/A</v>
      </c>
      <c r="EO192" s="60" t="e">
        <f ca="1">AVERAGE(OFFSET($EN$3,0,0,'Données projet'!$E$15+1,1))-AVERAGE(OFFSET($H$3,0,0,'Données projet'!$E$15+1,1))</f>
        <v>#N/A</v>
      </c>
      <c r="EP192" s="60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0" t="e">
        <f t="shared" si="131"/>
        <v>#N/A</v>
      </c>
      <c r="FJ192" s="60" t="e">
        <f ca="1">AVERAGE(OFFSET($FI$3,0,0,'Données projet'!$E$16+1,1))-AVERAGE(OFFSET($H$3,0,0,'Données projet'!$E$16+1,1))</f>
        <v>#N/A</v>
      </c>
      <c r="FK192" s="60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0" t="e">
        <f t="shared" si="134"/>
        <v>#N/A</v>
      </c>
      <c r="GE192" s="60" t="e">
        <f ca="1">AVERAGE(OFFSET($GD$3,0,0,'Données projet'!$E$17+1,1))-AVERAGE(OFFSET($H$3,0,0,'Données projet'!$E$17+1,1))</f>
        <v>#N/A</v>
      </c>
      <c r="GF192" s="60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4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3.4106051316484809E-13</v>
      </c>
      <c r="O193" s="14">
        <f>N193*VLOOKUP('Données projet'!$B$9,Paramètres!$A$1:$I$89,3,0)*VLOOKUP('Données projet'!$B$9,Paramètres!$A$1:$I$89,5,0)</f>
        <v>1.5961632016114892E-13</v>
      </c>
      <c r="P193" s="14">
        <f t="shared" si="141"/>
        <v>2.2708641912150958E-12</v>
      </c>
      <c r="Q193" s="22">
        <f t="shared" si="162"/>
        <v>4.2330868906469593E-12</v>
      </c>
      <c r="R193" s="60">
        <f t="shared" si="109"/>
        <v>290.03585244760649</v>
      </c>
      <c r="S193" s="60">
        <f ca="1">AVERAGE(OFFSET($R$3,0,0,'Données projet'!$E$9+1,1))-AVERAGE(OFFSET($H$3,0,0,'Données projet'!$E$9+1,1))</f>
        <v>277.7918215389401</v>
      </c>
      <c r="T193" s="60">
        <f t="shared" si="142"/>
        <v>164.65640238394164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-9.6633812063373625E-13</v>
      </c>
      <c r="AJ193" s="14">
        <f>AI193*VLOOKUP('Données projet'!$B$10,Paramètres!$A$1:$I$89,3,0)*VLOOKUP('Données projet'!$B$10,Paramètres!$A$1:$I$89,5,0)</f>
        <v>-8.7434273154940449E-13</v>
      </c>
      <c r="AK193" s="14" t="e">
        <f t="shared" si="164"/>
        <v>#NUM!</v>
      </c>
      <c r="AL193" s="22" t="e">
        <f t="shared" si="165"/>
        <v>#NUM!</v>
      </c>
      <c r="AM193" s="60" t="e">
        <f t="shared" si="113"/>
        <v>#NUM!</v>
      </c>
      <c r="AN193" s="60">
        <f ca="1">AVERAGE(OFFSET($AM$3,0,0,'Données projet'!$E$10+1,1))-AVERAGE(OFFSET($H$3,0,0,'Données projet'!$E$10+1,1))</f>
        <v>469.67944008675863</v>
      </c>
      <c r="AO193" s="60">
        <f t="shared" si="144"/>
        <v>266.11908070867173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0" t="e">
        <f t="shared" si="116"/>
        <v>#NUM!</v>
      </c>
      <c r="BI193" s="60">
        <f ca="1">AVERAGE(OFFSET($BH$3,0,0,'Données projet'!$E$11+1,1))-AVERAGE(OFFSET($H$3,0,0,'Données projet'!$E$11+1,1))</f>
        <v>216.36762889365235</v>
      </c>
      <c r="BJ193" s="60">
        <f t="shared" si="146"/>
        <v>333.29599352215496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0.56784135793304968</v>
      </c>
      <c r="BQ193" s="23">
        <f>EXP(-LN(2)/25)*BQ192+(1-EXP(-LN(2)/25))/(LN(2)/25)*Calculateur!BL193*Calculateur!BN193*VLOOKUP('Données projet'!$B$11,Paramètres!$A$1:$I$89,3,0)*0.475*44/12</f>
        <v>0.11544802933567179</v>
      </c>
      <c r="BR193" s="23">
        <f>EXP(-LN(2)/2)*BR192+(1-EXP(-LN(2)/2))/(LN(2)/2)*BL193*BO193*VLOOKUP('Données projet'!$B$11,Paramètres!$A$1:$I$89,3,0)*0.475*44/12</f>
        <v>2.419029893699378E-24</v>
      </c>
      <c r="BS193" s="24">
        <f t="shared" si="169"/>
        <v>0.68328938726872146</v>
      </c>
      <c r="BT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-9.6633812063373625E-13</v>
      </c>
      <c r="BZ193" s="14">
        <f>BY193*VLOOKUP('Données projet'!$B$12,Paramètres!$A$1:$I$89,3,0)*VLOOKUP('Données projet'!$B$12,Paramètres!$A$1:$I$89,5,0)</f>
        <v>-9.3464223027694966E-13</v>
      </c>
      <c r="CA193" s="14" t="e">
        <f t="shared" si="170"/>
        <v>#NUM!</v>
      </c>
      <c r="CB193" s="22" t="e">
        <f t="shared" si="171"/>
        <v>#NUM!</v>
      </c>
      <c r="CC193" s="60" t="e">
        <f t="shared" si="119"/>
        <v>#NUM!</v>
      </c>
      <c r="CD193" s="60">
        <f ca="1">AVERAGE(OFFSET($CC$3,0,0,'Données projet'!$E$12+1,1))-AVERAGE(OFFSET($H$3,0,0,'Données projet'!$E$12+1,1))</f>
        <v>496.33873798282525</v>
      </c>
      <c r="CE193" s="60">
        <f t="shared" si="148"/>
        <v>280.25465074992246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-9.6633812063373625E-13</v>
      </c>
      <c r="CU193" s="18">
        <f>CT193*VLOOKUP('Données projet'!$B$13,Paramètres!$A$1:$I$89,3,0)*VLOOKUP('Données projet'!$B$13,Paramètres!$A$1:$I$89,5,0)</f>
        <v>-1.0401663530501537E-12</v>
      </c>
      <c r="CV193" s="14" t="e">
        <f t="shared" si="173"/>
        <v>#NUM!</v>
      </c>
      <c r="CW193" s="22" t="e">
        <f t="shared" si="174"/>
        <v>#NUM!</v>
      </c>
      <c r="CX193" s="60" t="e">
        <f t="shared" si="122"/>
        <v>#NUM!</v>
      </c>
      <c r="CY193" s="60">
        <f ca="1">AVERAGE(OFFSET($CX$3,0,0,'Données projet'!$E$13+1,1))-AVERAGE(OFFSET($H$3,0,0,'Données projet'!$E$13+1,1))</f>
        <v>542.90832990875208</v>
      </c>
      <c r="CZ193" s="60">
        <f t="shared" si="150"/>
        <v>304.94365539329362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0" t="e">
        <f t="shared" si="125"/>
        <v>#N/A</v>
      </c>
      <c r="DT193" s="60" t="e">
        <f ca="1">AVERAGE(OFFSET($DS$3,0,0,'Données projet'!$E$14+1,1))-AVERAGE(OFFSET($H$3,0,0,'Données projet'!$E$14+1,1))</f>
        <v>#N/A</v>
      </c>
      <c r="DU193" s="60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0" t="e">
        <f t="shared" si="128"/>
        <v>#N/A</v>
      </c>
      <c r="EO193" s="60" t="e">
        <f ca="1">AVERAGE(OFFSET($EN$3,0,0,'Données projet'!$E$15+1,1))-AVERAGE(OFFSET($H$3,0,0,'Données projet'!$E$15+1,1))</f>
        <v>#N/A</v>
      </c>
      <c r="EP193" s="60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0" t="e">
        <f t="shared" si="131"/>
        <v>#N/A</v>
      </c>
      <c r="FJ193" s="60" t="e">
        <f ca="1">AVERAGE(OFFSET($FI$3,0,0,'Données projet'!$E$16+1,1))-AVERAGE(OFFSET($H$3,0,0,'Données projet'!$E$16+1,1))</f>
        <v>#N/A</v>
      </c>
      <c r="FK193" s="60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0" t="e">
        <f t="shared" si="134"/>
        <v>#N/A</v>
      </c>
      <c r="GE193" s="60" t="e">
        <f ca="1">AVERAGE(OFFSET($GD$3,0,0,'Données projet'!$E$17+1,1))-AVERAGE(OFFSET($H$3,0,0,'Données projet'!$E$17+1,1))</f>
        <v>#N/A</v>
      </c>
      <c r="GF193" s="60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4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3.4106051316484809E-13</v>
      </c>
      <c r="O194" s="14">
        <f>N194*VLOOKUP('Données projet'!$B$9,Paramètres!$A$1:$I$89,3,0)*VLOOKUP('Données projet'!$B$9,Paramètres!$A$1:$I$89,5,0)</f>
        <v>1.5961632016114892E-13</v>
      </c>
      <c r="P194" s="14">
        <f t="shared" si="141"/>
        <v>2.2708641912150958E-12</v>
      </c>
      <c r="Q194" s="22">
        <f t="shared" si="162"/>
        <v>4.2330868906469593E-12</v>
      </c>
      <c r="R194" s="60">
        <f t="shared" si="109"/>
        <v>290.09305636891105</v>
      </c>
      <c r="S194" s="60">
        <f ca="1">AVERAGE(OFFSET($R$3,0,0,'Données projet'!$E$9+1,1))-AVERAGE(OFFSET($H$3,0,0,'Données projet'!$E$9+1,1))</f>
        <v>277.7918215389401</v>
      </c>
      <c r="T194" s="60">
        <f t="shared" si="142"/>
        <v>164.65640238394164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-9.6633812063373625E-13</v>
      </c>
      <c r="AJ194" s="14">
        <f>AI194*VLOOKUP('Données projet'!$B$10,Paramètres!$A$1:$I$89,3,0)*VLOOKUP('Données projet'!$B$10,Paramètres!$A$1:$I$89,5,0)</f>
        <v>-8.7434273154940449E-13</v>
      </c>
      <c r="AK194" s="14" t="e">
        <f t="shared" si="164"/>
        <v>#NUM!</v>
      </c>
      <c r="AL194" s="22" t="e">
        <f t="shared" si="165"/>
        <v>#NUM!</v>
      </c>
      <c r="AM194" s="60" t="e">
        <f t="shared" si="113"/>
        <v>#NUM!</v>
      </c>
      <c r="AN194" s="60">
        <f ca="1">AVERAGE(OFFSET($AM$3,0,0,'Données projet'!$E$10+1,1))-AVERAGE(OFFSET($H$3,0,0,'Données projet'!$E$10+1,1))</f>
        <v>469.67944008675863</v>
      </c>
      <c r="AO194" s="60">
        <f t="shared" si="144"/>
        <v>266.11908070867173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0" t="e">
        <f t="shared" si="116"/>
        <v>#NUM!</v>
      </c>
      <c r="BI194" s="60">
        <f ca="1">AVERAGE(OFFSET($BH$3,0,0,'Données projet'!$E$11+1,1))-AVERAGE(OFFSET($H$3,0,0,'Données projet'!$E$11+1,1))</f>
        <v>216.36762889365235</v>
      </c>
      <c r="BJ194" s="60">
        <f t="shared" si="146"/>
        <v>333.29599352215496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0.55670633525301183</v>
      </c>
      <c r="BQ194" s="23">
        <f>EXP(-LN(2)/25)*BQ193+(1-EXP(-LN(2)/25))/(LN(2)/25)*Calculateur!BL194*Calculateur!BN194*VLOOKUP('Données projet'!$B$11,Paramètres!$A$1:$I$89,3,0)*0.475*44/12</f>
        <v>0.11229109690233985</v>
      </c>
      <c r="BR194" s="23">
        <f>EXP(-LN(2)/2)*BR193+(1-EXP(-LN(2)/2))/(LN(2)/2)*BL194*BO194*VLOOKUP('Données projet'!$B$11,Paramètres!$A$1:$I$89,3,0)*0.475*44/12</f>
        <v>1.7105124417278033E-24</v>
      </c>
      <c r="BS194" s="24">
        <f t="shared" si="169"/>
        <v>0.66899743215535168</v>
      </c>
      <c r="BT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-9.6633812063373625E-13</v>
      </c>
      <c r="BZ194" s="14">
        <f>BY194*VLOOKUP('Données projet'!$B$12,Paramètres!$A$1:$I$89,3,0)*VLOOKUP('Données projet'!$B$12,Paramètres!$A$1:$I$89,5,0)</f>
        <v>-9.3464223027694966E-13</v>
      </c>
      <c r="CA194" s="14" t="e">
        <f t="shared" si="170"/>
        <v>#NUM!</v>
      </c>
      <c r="CB194" s="22" t="e">
        <f t="shared" si="171"/>
        <v>#NUM!</v>
      </c>
      <c r="CC194" s="60" t="e">
        <f t="shared" si="119"/>
        <v>#NUM!</v>
      </c>
      <c r="CD194" s="60">
        <f ca="1">AVERAGE(OFFSET($CC$3,0,0,'Données projet'!$E$12+1,1))-AVERAGE(OFFSET($H$3,0,0,'Données projet'!$E$12+1,1))</f>
        <v>496.33873798282525</v>
      </c>
      <c r="CE194" s="60">
        <f t="shared" si="148"/>
        <v>280.25465074992246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-9.6633812063373625E-13</v>
      </c>
      <c r="CU194" s="18">
        <f>CT194*VLOOKUP('Données projet'!$B$13,Paramètres!$A$1:$I$89,3,0)*VLOOKUP('Données projet'!$B$13,Paramètres!$A$1:$I$89,5,0)</f>
        <v>-1.0401663530501537E-12</v>
      </c>
      <c r="CV194" s="14" t="e">
        <f t="shared" si="173"/>
        <v>#NUM!</v>
      </c>
      <c r="CW194" s="22" t="e">
        <f t="shared" si="174"/>
        <v>#NUM!</v>
      </c>
      <c r="CX194" s="60" t="e">
        <f t="shared" si="122"/>
        <v>#NUM!</v>
      </c>
      <c r="CY194" s="60">
        <f ca="1">AVERAGE(OFFSET($CX$3,0,0,'Données projet'!$E$13+1,1))-AVERAGE(OFFSET($H$3,0,0,'Données projet'!$E$13+1,1))</f>
        <v>542.90832990875208</v>
      </c>
      <c r="CZ194" s="60">
        <f t="shared" si="150"/>
        <v>304.94365539329362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0" t="e">
        <f t="shared" si="125"/>
        <v>#N/A</v>
      </c>
      <c r="DT194" s="60" t="e">
        <f ca="1">AVERAGE(OFFSET($DS$3,0,0,'Données projet'!$E$14+1,1))-AVERAGE(OFFSET($H$3,0,0,'Données projet'!$E$14+1,1))</f>
        <v>#N/A</v>
      </c>
      <c r="DU194" s="60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0" t="e">
        <f t="shared" si="128"/>
        <v>#N/A</v>
      </c>
      <c r="EO194" s="60" t="e">
        <f ca="1">AVERAGE(OFFSET($EN$3,0,0,'Données projet'!$E$15+1,1))-AVERAGE(OFFSET($H$3,0,0,'Données projet'!$E$15+1,1))</f>
        <v>#N/A</v>
      </c>
      <c r="EP194" s="60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0" t="e">
        <f t="shared" si="131"/>
        <v>#N/A</v>
      </c>
      <c r="FJ194" s="60" t="e">
        <f ca="1">AVERAGE(OFFSET($FI$3,0,0,'Données projet'!$E$16+1,1))-AVERAGE(OFFSET($H$3,0,0,'Données projet'!$E$16+1,1))</f>
        <v>#N/A</v>
      </c>
      <c r="FK194" s="60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0" t="e">
        <f t="shared" si="134"/>
        <v>#N/A</v>
      </c>
      <c r="GE194" s="60" t="e">
        <f ca="1">AVERAGE(OFFSET($GD$3,0,0,'Données projet'!$E$17+1,1))-AVERAGE(OFFSET($H$3,0,0,'Données projet'!$E$17+1,1))</f>
        <v>#N/A</v>
      </c>
      <c r="GF194" s="60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4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3.4106051316484809E-13</v>
      </c>
      <c r="O195" s="14">
        <f>N195*VLOOKUP('Données projet'!$B$9,Paramètres!$A$1:$I$89,3,0)*VLOOKUP('Données projet'!$B$9,Paramètres!$A$1:$I$89,5,0)</f>
        <v>1.5961632016114892E-13</v>
      </c>
      <c r="P195" s="14">
        <f t="shared" si="141"/>
        <v>2.2708641912150958E-12</v>
      </c>
      <c r="Q195" s="22">
        <f t="shared" si="162"/>
        <v>4.2330868906469593E-12</v>
      </c>
      <c r="R195" s="60">
        <f t="shared" ref="R195:R203" si="191">Q195+(I195+J195)*44/12</f>
        <v>290.14926793006987</v>
      </c>
      <c r="S195" s="60">
        <f ca="1">AVERAGE(OFFSET($R$3,0,0,'Données projet'!$E$9+1,1))-AVERAGE(OFFSET($H$3,0,0,'Données projet'!$E$9+1,1))</f>
        <v>277.7918215389401</v>
      </c>
      <c r="T195" s="60">
        <f t="shared" si="142"/>
        <v>164.65640238394164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-9.6633812063373625E-13</v>
      </c>
      <c r="AJ195" s="14">
        <f>AI195*VLOOKUP('Données projet'!$B$10,Paramètres!$A$1:$I$89,3,0)*VLOOKUP('Données projet'!$B$10,Paramètres!$A$1:$I$89,5,0)</f>
        <v>-8.7434273154940449E-13</v>
      </c>
      <c r="AK195" s="14" t="e">
        <f t="shared" si="164"/>
        <v>#NUM!</v>
      </c>
      <c r="AL195" s="22" t="e">
        <f t="shared" si="165"/>
        <v>#NUM!</v>
      </c>
      <c r="AM195" s="60" t="e">
        <f t="shared" si="113"/>
        <v>#NUM!</v>
      </c>
      <c r="AN195" s="60">
        <f ca="1">AVERAGE(OFFSET($AM$3,0,0,'Données projet'!$E$10+1,1))-AVERAGE(OFFSET($H$3,0,0,'Données projet'!$E$10+1,1))</f>
        <v>469.67944008675863</v>
      </c>
      <c r="AO195" s="60">
        <f t="shared" si="144"/>
        <v>266.11908070867173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0" t="e">
        <f t="shared" si="116"/>
        <v>#NUM!</v>
      </c>
      <c r="BI195" s="60">
        <f ca="1">AVERAGE(OFFSET($BH$3,0,0,'Données projet'!$E$11+1,1))-AVERAGE(OFFSET($H$3,0,0,'Données projet'!$E$11+1,1))</f>
        <v>216.36762889365235</v>
      </c>
      <c r="BJ195" s="60">
        <f t="shared" si="146"/>
        <v>333.29599352215496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0.54578966357603631</v>
      </c>
      <c r="BQ195" s="23">
        <f>EXP(-LN(2)/25)*BQ194+(1-EXP(-LN(2)/25))/(LN(2)/25)*Calculateur!BL195*Calculateur!BN195*VLOOKUP('Données projet'!$B$11,Paramètres!$A$1:$I$89,3,0)*0.475*44/12</f>
        <v>0.10922049095241322</v>
      </c>
      <c r="BR195" s="23">
        <f>EXP(-LN(2)/2)*BR194+(1-EXP(-LN(2)/2))/(LN(2)/2)*BL195*BO195*VLOOKUP('Données projet'!$B$11,Paramètres!$A$1:$I$89,3,0)*0.475*44/12</f>
        <v>1.209514946849689E-24</v>
      </c>
      <c r="BS195" s="24">
        <f t="shared" si="169"/>
        <v>0.65501015452844957</v>
      </c>
      <c r="BT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-9.6633812063373625E-13</v>
      </c>
      <c r="BZ195" s="14">
        <f>BY195*VLOOKUP('Données projet'!$B$12,Paramètres!$A$1:$I$89,3,0)*VLOOKUP('Données projet'!$B$12,Paramètres!$A$1:$I$89,5,0)</f>
        <v>-9.3464223027694966E-13</v>
      </c>
      <c r="CA195" s="14" t="e">
        <f t="shared" si="170"/>
        <v>#NUM!</v>
      </c>
      <c r="CB195" s="22" t="e">
        <f t="shared" si="171"/>
        <v>#NUM!</v>
      </c>
      <c r="CC195" s="60" t="e">
        <f t="shared" si="119"/>
        <v>#NUM!</v>
      </c>
      <c r="CD195" s="60">
        <f ca="1">AVERAGE(OFFSET($CC$3,0,0,'Données projet'!$E$12+1,1))-AVERAGE(OFFSET($H$3,0,0,'Données projet'!$E$12+1,1))</f>
        <v>496.33873798282525</v>
      </c>
      <c r="CE195" s="60">
        <f t="shared" si="148"/>
        <v>280.25465074992246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-9.6633812063373625E-13</v>
      </c>
      <c r="CU195" s="18">
        <f>CT195*VLOOKUP('Données projet'!$B$13,Paramètres!$A$1:$I$89,3,0)*VLOOKUP('Données projet'!$B$13,Paramètres!$A$1:$I$89,5,0)</f>
        <v>-1.0401663530501537E-12</v>
      </c>
      <c r="CV195" s="14" t="e">
        <f t="shared" si="173"/>
        <v>#NUM!</v>
      </c>
      <c r="CW195" s="22" t="e">
        <f t="shared" si="174"/>
        <v>#NUM!</v>
      </c>
      <c r="CX195" s="60" t="e">
        <f t="shared" si="122"/>
        <v>#NUM!</v>
      </c>
      <c r="CY195" s="60">
        <f ca="1">AVERAGE(OFFSET($CX$3,0,0,'Données projet'!$E$13+1,1))-AVERAGE(OFFSET($H$3,0,0,'Données projet'!$E$13+1,1))</f>
        <v>542.90832990875208</v>
      </c>
      <c r="CZ195" s="60">
        <f t="shared" si="150"/>
        <v>304.94365539329362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0" t="e">
        <f t="shared" si="125"/>
        <v>#N/A</v>
      </c>
      <c r="DT195" s="60" t="e">
        <f ca="1">AVERAGE(OFFSET($DS$3,0,0,'Données projet'!$E$14+1,1))-AVERAGE(OFFSET($H$3,0,0,'Données projet'!$E$14+1,1))</f>
        <v>#N/A</v>
      </c>
      <c r="DU195" s="60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0" t="e">
        <f t="shared" si="128"/>
        <v>#N/A</v>
      </c>
      <c r="EO195" s="60" t="e">
        <f ca="1">AVERAGE(OFFSET($EN$3,0,0,'Données projet'!$E$15+1,1))-AVERAGE(OFFSET($H$3,0,0,'Données projet'!$E$15+1,1))</f>
        <v>#N/A</v>
      </c>
      <c r="EP195" s="60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0" t="e">
        <f t="shared" si="131"/>
        <v>#N/A</v>
      </c>
      <c r="FJ195" s="60" t="e">
        <f ca="1">AVERAGE(OFFSET($FI$3,0,0,'Données projet'!$E$16+1,1))-AVERAGE(OFFSET($H$3,0,0,'Données projet'!$E$16+1,1))</f>
        <v>#N/A</v>
      </c>
      <c r="FK195" s="60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0" t="e">
        <f t="shared" si="134"/>
        <v>#N/A</v>
      </c>
      <c r="GE195" s="60" t="e">
        <f ca="1">AVERAGE(OFFSET($GD$3,0,0,'Données projet'!$E$17+1,1))-AVERAGE(OFFSET($H$3,0,0,'Données projet'!$E$17+1,1))</f>
        <v>#N/A</v>
      </c>
      <c r="GF195" s="60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4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3.4106051316484809E-13</v>
      </c>
      <c r="O196" s="14">
        <f>N196*VLOOKUP('Données projet'!$B$9,Paramètres!$A$1:$I$89,3,0)*VLOOKUP('Données projet'!$B$9,Paramètres!$A$1:$I$89,5,0)</f>
        <v>1.5961632016114892E-13</v>
      </c>
      <c r="P196" s="14">
        <f t="shared" si="141"/>
        <v>2.2708641912150958E-12</v>
      </c>
      <c r="Q196" s="22">
        <f t="shared" si="162"/>
        <v>4.2330868906469593E-12</v>
      </c>
      <c r="R196" s="60">
        <f t="shared" si="191"/>
        <v>290.20450434631272</v>
      </c>
      <c r="S196" s="60">
        <f ca="1">AVERAGE(OFFSET($R$3,0,0,'Données projet'!$E$9+1,1))-AVERAGE(OFFSET($H$3,0,0,'Données projet'!$E$9+1,1))</f>
        <v>277.7918215389401</v>
      </c>
      <c r="T196" s="60">
        <f t="shared" si="142"/>
        <v>164.65640238394164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-9.6633812063373625E-13</v>
      </c>
      <c r="AJ196" s="14">
        <f>AI196*VLOOKUP('Données projet'!$B$10,Paramètres!$A$1:$I$89,3,0)*VLOOKUP('Données projet'!$B$10,Paramètres!$A$1:$I$89,5,0)</f>
        <v>-8.7434273154940449E-13</v>
      </c>
      <c r="AK196" s="14" t="e">
        <f t="shared" si="164"/>
        <v>#NUM!</v>
      </c>
      <c r="AL196" s="22" t="e">
        <f t="shared" si="165"/>
        <v>#NUM!</v>
      </c>
      <c r="AM196" s="60" t="e">
        <f t="shared" ref="AM196:AM203" si="193">AL196+(AD196+AE196)*44/12</f>
        <v>#NUM!</v>
      </c>
      <c r="AN196" s="60">
        <f ca="1">AVERAGE(OFFSET($AM$3,0,0,'Données projet'!$E$10+1,1))-AVERAGE(OFFSET($H$3,0,0,'Données projet'!$E$10+1,1))</f>
        <v>469.67944008675863</v>
      </c>
      <c r="AO196" s="60">
        <f t="shared" si="144"/>
        <v>266.11908070867173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0" t="e">
        <f t="shared" ref="BH196:BH203" si="194">BG196+(AY196+AZ196)*44/12</f>
        <v>#NUM!</v>
      </c>
      <c r="BI196" s="60">
        <f ca="1">AVERAGE(OFFSET($BH$3,0,0,'Données projet'!$E$11+1,1))-AVERAGE(OFFSET($H$3,0,0,'Données projet'!$E$11+1,1))</f>
        <v>216.36762889365235</v>
      </c>
      <c r="BJ196" s="60">
        <f t="shared" si="146"/>
        <v>333.29599352215496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0.535087061172134</v>
      </c>
      <c r="BQ196" s="23">
        <f>EXP(-LN(2)/25)*BQ195+(1-EXP(-LN(2)/25))/(LN(2)/25)*Calculateur!BL196*Calculateur!BN196*VLOOKUP('Données projet'!$B$11,Paramètres!$A$1:$I$89,3,0)*0.475*44/12</f>
        <v>0.10623385088366349</v>
      </c>
      <c r="BR196" s="23">
        <f>EXP(-LN(2)/2)*BR195+(1-EXP(-LN(2)/2))/(LN(2)/2)*BL196*BO196*VLOOKUP('Données projet'!$B$11,Paramètres!$A$1:$I$89,3,0)*0.475*44/12</f>
        <v>8.5525622086390167E-25</v>
      </c>
      <c r="BS196" s="24">
        <f t="shared" si="169"/>
        <v>0.64132091205579744</v>
      </c>
      <c r="BT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-9.6633812063373625E-13</v>
      </c>
      <c r="BZ196" s="14">
        <f>BY196*VLOOKUP('Données projet'!$B$12,Paramètres!$A$1:$I$89,3,0)*VLOOKUP('Données projet'!$B$12,Paramètres!$A$1:$I$89,5,0)</f>
        <v>-9.3464223027694966E-13</v>
      </c>
      <c r="CA196" s="14" t="e">
        <f t="shared" si="170"/>
        <v>#NUM!</v>
      </c>
      <c r="CB196" s="22" t="e">
        <f t="shared" si="171"/>
        <v>#NUM!</v>
      </c>
      <c r="CC196" s="60" t="e">
        <f t="shared" ref="CC196:CC203" si="195">CB196+(BT196+BU196)*44/12</f>
        <v>#NUM!</v>
      </c>
      <c r="CD196" s="60">
        <f ca="1">AVERAGE(OFFSET($CC$3,0,0,'Données projet'!$E$12+1,1))-AVERAGE(OFFSET($H$3,0,0,'Données projet'!$E$12+1,1))</f>
        <v>496.33873798282525</v>
      </c>
      <c r="CE196" s="60">
        <f t="shared" si="148"/>
        <v>280.25465074992246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-9.6633812063373625E-13</v>
      </c>
      <c r="CU196" s="18">
        <f>CT196*VLOOKUP('Données projet'!$B$13,Paramètres!$A$1:$I$89,3,0)*VLOOKUP('Données projet'!$B$13,Paramètres!$A$1:$I$89,5,0)</f>
        <v>-1.0401663530501537E-12</v>
      </c>
      <c r="CV196" s="14" t="e">
        <f t="shared" si="173"/>
        <v>#NUM!</v>
      </c>
      <c r="CW196" s="22" t="e">
        <f t="shared" si="174"/>
        <v>#NUM!</v>
      </c>
      <c r="CX196" s="60" t="e">
        <f t="shared" ref="CX196:CX203" si="196">CW196+(CO196+CP196)*44/12</f>
        <v>#NUM!</v>
      </c>
      <c r="CY196" s="60">
        <f ca="1">AVERAGE(OFFSET($CX$3,0,0,'Données projet'!$E$13+1,1))-AVERAGE(OFFSET($H$3,0,0,'Données projet'!$E$13+1,1))</f>
        <v>542.90832990875208</v>
      </c>
      <c r="CZ196" s="60">
        <f t="shared" si="150"/>
        <v>304.94365539329362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0" t="e">
        <f t="shared" ref="DS196:DS203" si="197">DR196+(DJ196+DK196)*44/12</f>
        <v>#N/A</v>
      </c>
      <c r="DT196" s="60" t="e">
        <f ca="1">AVERAGE(OFFSET($DS$3,0,0,'Données projet'!$E$14+1,1))-AVERAGE(OFFSET($H$3,0,0,'Données projet'!$E$14+1,1))</f>
        <v>#N/A</v>
      </c>
      <c r="DU196" s="60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0" t="e">
        <f t="shared" ref="EN196:EN203" si="198">EM196+(EE196+EF196)*44/12</f>
        <v>#N/A</v>
      </c>
      <c r="EO196" s="60" t="e">
        <f ca="1">AVERAGE(OFFSET($EN$3,0,0,'Données projet'!$E$15+1,1))-AVERAGE(OFFSET($H$3,0,0,'Données projet'!$E$15+1,1))</f>
        <v>#N/A</v>
      </c>
      <c r="EP196" s="60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0" t="e">
        <f t="shared" ref="FI196:FI203" si="199">FH196+(EZ196+FA196)*44/12</f>
        <v>#N/A</v>
      </c>
      <c r="FJ196" s="60" t="e">
        <f ca="1">AVERAGE(OFFSET($FI$3,0,0,'Données projet'!$E$16+1,1))-AVERAGE(OFFSET($H$3,0,0,'Données projet'!$E$16+1,1))</f>
        <v>#N/A</v>
      </c>
      <c r="FK196" s="60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0" t="e">
        <f t="shared" ref="GD196:GD203" si="200">GC196+(FU196+FV196)*44/12</f>
        <v>#N/A</v>
      </c>
      <c r="GE196" s="60" t="e">
        <f ca="1">AVERAGE(OFFSET($GD$3,0,0,'Données projet'!$E$17+1,1))-AVERAGE(OFFSET($H$3,0,0,'Données projet'!$E$17+1,1))</f>
        <v>#N/A</v>
      </c>
      <c r="GF196" s="60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4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3.4106051316484809E-13</v>
      </c>
      <c r="O197" s="14">
        <f>N197*VLOOKUP('Données projet'!$B$9,Paramètres!$A$1:$I$89,3,0)*VLOOKUP('Données projet'!$B$9,Paramètres!$A$1:$I$89,5,0)</f>
        <v>1.5961632016114892E-13</v>
      </c>
      <c r="P197" s="14">
        <f t="shared" ref="P197:P203" si="203">EXP(-1.0587+0.8836*LN(O197)+0.284)</f>
        <v>2.2708641912150958E-12</v>
      </c>
      <c r="Q197" s="22">
        <f t="shared" si="162"/>
        <v>4.2330868906469593E-12</v>
      </c>
      <c r="R197" s="60">
        <f t="shared" si="191"/>
        <v>290.25878253422394</v>
      </c>
      <c r="S197" s="60">
        <f ca="1">AVERAGE(OFFSET($R$3,0,0,'Données projet'!$E$9+1,1))-AVERAGE(OFFSET($H$3,0,0,'Données projet'!$E$9+1,1))</f>
        <v>277.7918215389401</v>
      </c>
      <c r="T197" s="60">
        <f t="shared" ref="T197:T203" si="204">$T$3</f>
        <v>164.65640238394164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-9.6633812063373625E-13</v>
      </c>
      <c r="AJ197" s="14">
        <f>AI197*VLOOKUP('Données projet'!$B$10,Paramètres!$A$1:$I$89,3,0)*VLOOKUP('Données projet'!$B$10,Paramètres!$A$1:$I$89,5,0)</f>
        <v>-8.7434273154940449E-13</v>
      </c>
      <c r="AK197" s="14" t="e">
        <f t="shared" si="164"/>
        <v>#NUM!</v>
      </c>
      <c r="AL197" s="22" t="e">
        <f t="shared" si="165"/>
        <v>#NUM!</v>
      </c>
      <c r="AM197" s="60" t="e">
        <f t="shared" si="193"/>
        <v>#NUM!</v>
      </c>
      <c r="AN197" s="60">
        <f ca="1">AVERAGE(OFFSET($AM$3,0,0,'Données projet'!$E$10+1,1))-AVERAGE(OFFSET($H$3,0,0,'Données projet'!$E$10+1,1))</f>
        <v>469.67944008675863</v>
      </c>
      <c r="AO197" s="60">
        <f t="shared" ref="AO197:AO203" si="205">$AO$3</f>
        <v>266.11908070867173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0" t="e">
        <f t="shared" si="194"/>
        <v>#NUM!</v>
      </c>
      <c r="BI197" s="60">
        <f ca="1">AVERAGE(OFFSET($BH$3,0,0,'Données projet'!$E$11+1,1))-AVERAGE(OFFSET($H$3,0,0,'Données projet'!$E$11+1,1))</f>
        <v>216.36762889365235</v>
      </c>
      <c r="BJ197" s="60">
        <f t="shared" ref="BJ197:BJ203" si="206">$BJ$3</f>
        <v>333.29599352215496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0.52459433027342928</v>
      </c>
      <c r="BQ197" s="23">
        <f>EXP(-LN(2)/25)*BQ196+(1-EXP(-LN(2)/25))/(LN(2)/25)*Calculateur!BL197*Calculateur!BN197*VLOOKUP('Données projet'!$B$11,Paramètres!$A$1:$I$89,3,0)*0.475*44/12</f>
        <v>0.1033288806446543</v>
      </c>
      <c r="BR197" s="23">
        <f>EXP(-LN(2)/2)*BR196+(1-EXP(-LN(2)/2))/(LN(2)/2)*BL197*BO197*VLOOKUP('Données projet'!$B$11,Paramètres!$A$1:$I$89,3,0)*0.475*44/12</f>
        <v>6.0475747342484449E-25</v>
      </c>
      <c r="BS197" s="24">
        <f t="shared" si="169"/>
        <v>0.62792321091808356</v>
      </c>
      <c r="BT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-9.6633812063373625E-13</v>
      </c>
      <c r="BZ197" s="14">
        <f>BY197*VLOOKUP('Données projet'!$B$12,Paramètres!$A$1:$I$89,3,0)*VLOOKUP('Données projet'!$B$12,Paramètres!$A$1:$I$89,5,0)</f>
        <v>-9.3464223027694966E-13</v>
      </c>
      <c r="CA197" s="14" t="e">
        <f t="shared" si="170"/>
        <v>#NUM!</v>
      </c>
      <c r="CB197" s="22" t="e">
        <f t="shared" si="171"/>
        <v>#NUM!</v>
      </c>
      <c r="CC197" s="60" t="e">
        <f t="shared" si="195"/>
        <v>#NUM!</v>
      </c>
      <c r="CD197" s="60">
        <f ca="1">AVERAGE(OFFSET($CC$3,0,0,'Données projet'!$E$12+1,1))-AVERAGE(OFFSET($H$3,0,0,'Données projet'!$E$12+1,1))</f>
        <v>496.33873798282525</v>
      </c>
      <c r="CE197" s="60">
        <f t="shared" ref="CE197:CE203" si="207">$CE$3</f>
        <v>280.25465074992246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-9.6633812063373625E-13</v>
      </c>
      <c r="CU197" s="18">
        <f>CT197*VLOOKUP('Données projet'!$B$13,Paramètres!$A$1:$I$89,3,0)*VLOOKUP('Données projet'!$B$13,Paramètres!$A$1:$I$89,5,0)</f>
        <v>-1.0401663530501537E-12</v>
      </c>
      <c r="CV197" s="14" t="e">
        <f t="shared" si="173"/>
        <v>#NUM!</v>
      </c>
      <c r="CW197" s="22" t="e">
        <f t="shared" si="174"/>
        <v>#NUM!</v>
      </c>
      <c r="CX197" s="60" t="e">
        <f t="shared" si="196"/>
        <v>#NUM!</v>
      </c>
      <c r="CY197" s="60">
        <f ca="1">AVERAGE(OFFSET($CX$3,0,0,'Données projet'!$E$13+1,1))-AVERAGE(OFFSET($H$3,0,0,'Données projet'!$E$13+1,1))</f>
        <v>542.90832990875208</v>
      </c>
      <c r="CZ197" s="60">
        <f t="shared" ref="CZ197:CZ203" si="208">$CZ$3</f>
        <v>304.94365539329362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0" t="e">
        <f t="shared" si="197"/>
        <v>#N/A</v>
      </c>
      <c r="DT197" s="60" t="e">
        <f ca="1">AVERAGE(OFFSET($DS$3,0,0,'Données projet'!$E$14+1,1))-AVERAGE(OFFSET($H$3,0,0,'Données projet'!$E$14+1,1))</f>
        <v>#N/A</v>
      </c>
      <c r="DU197" s="60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0" t="e">
        <f t="shared" si="198"/>
        <v>#N/A</v>
      </c>
      <c r="EO197" s="60" t="e">
        <f ca="1">AVERAGE(OFFSET($EN$3,0,0,'Données projet'!$E$15+1,1))-AVERAGE(OFFSET($H$3,0,0,'Données projet'!$E$15+1,1))</f>
        <v>#N/A</v>
      </c>
      <c r="EP197" s="60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0" t="e">
        <f t="shared" si="199"/>
        <v>#N/A</v>
      </c>
      <c r="FJ197" s="60" t="e">
        <f ca="1">AVERAGE(OFFSET($FI$3,0,0,'Données projet'!$E$16+1,1))-AVERAGE(OFFSET($H$3,0,0,'Données projet'!$E$16+1,1))</f>
        <v>#N/A</v>
      </c>
      <c r="FK197" s="60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0" t="e">
        <f t="shared" si="200"/>
        <v>#N/A</v>
      </c>
      <c r="GE197" s="60" t="e">
        <f ca="1">AVERAGE(OFFSET($GD$3,0,0,'Données projet'!$E$17+1,1))-AVERAGE(OFFSET($H$3,0,0,'Données projet'!$E$17+1,1))</f>
        <v>#N/A</v>
      </c>
      <c r="GF197" s="60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4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3.4106051316484809E-13</v>
      </c>
      <c r="O198" s="14">
        <f>N198*VLOOKUP('Données projet'!$B$9,Paramètres!$A$1:$I$89,3,0)*VLOOKUP('Données projet'!$B$9,Paramètres!$A$1:$I$89,5,0)</f>
        <v>1.5961632016114892E-13</v>
      </c>
      <c r="P198" s="14">
        <f t="shared" si="203"/>
        <v>2.2708641912150958E-12</v>
      </c>
      <c r="Q198" s="22">
        <f t="shared" si="162"/>
        <v>4.2330868906469593E-12</v>
      </c>
      <c r="R198" s="60">
        <f t="shared" si="191"/>
        <v>290.3121191169227</v>
      </c>
      <c r="S198" s="60">
        <f ca="1">AVERAGE(OFFSET($R$3,0,0,'Données projet'!$E$9+1,1))-AVERAGE(OFFSET($H$3,0,0,'Données projet'!$E$9+1,1))</f>
        <v>277.7918215389401</v>
      </c>
      <c r="T198" s="60">
        <f t="shared" si="204"/>
        <v>164.65640238394164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-9.6633812063373625E-13</v>
      </c>
      <c r="AJ198" s="14">
        <f>AI198*VLOOKUP('Données projet'!$B$10,Paramètres!$A$1:$I$89,3,0)*VLOOKUP('Données projet'!$B$10,Paramètres!$A$1:$I$89,5,0)</f>
        <v>-8.7434273154940449E-13</v>
      </c>
      <c r="AK198" s="14" t="e">
        <f t="shared" si="164"/>
        <v>#NUM!</v>
      </c>
      <c r="AL198" s="22" t="e">
        <f t="shared" si="165"/>
        <v>#NUM!</v>
      </c>
      <c r="AM198" s="60" t="e">
        <f t="shared" si="193"/>
        <v>#NUM!</v>
      </c>
      <c r="AN198" s="60">
        <f ca="1">AVERAGE(OFFSET($AM$3,0,0,'Données projet'!$E$10+1,1))-AVERAGE(OFFSET($H$3,0,0,'Données projet'!$E$10+1,1))</f>
        <v>469.67944008675863</v>
      </c>
      <c r="AO198" s="60">
        <f t="shared" si="205"/>
        <v>266.11908070867173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0" t="e">
        <f t="shared" si="194"/>
        <v>#NUM!</v>
      </c>
      <c r="BI198" s="60">
        <f ca="1">AVERAGE(OFFSET($BH$3,0,0,'Données projet'!$E$11+1,1))-AVERAGE(OFFSET($H$3,0,0,'Données projet'!$E$11+1,1))</f>
        <v>216.36762889365235</v>
      </c>
      <c r="BJ198" s="60">
        <f t="shared" si="206"/>
        <v>333.29599352215496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0.51430735542771433</v>
      </c>
      <c r="BQ198" s="23">
        <f>EXP(-LN(2)/25)*BQ197+(1-EXP(-LN(2)/25))/(LN(2)/25)*Calculateur!BL198*Calculateur!BN198*VLOOKUP('Données projet'!$B$11,Paramètres!$A$1:$I$89,3,0)*0.475*44/12</f>
        <v>0.10050334696959656</v>
      </c>
      <c r="BR198" s="23">
        <f>EXP(-LN(2)/2)*BR197+(1-EXP(-LN(2)/2))/(LN(2)/2)*BL198*BO198*VLOOKUP('Données projet'!$B$11,Paramètres!$A$1:$I$89,3,0)*0.475*44/12</f>
        <v>4.2762811043195084E-25</v>
      </c>
      <c r="BS198" s="24">
        <f t="shared" si="169"/>
        <v>0.61481070239731084</v>
      </c>
      <c r="BT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-9.6633812063373625E-13</v>
      </c>
      <c r="BZ198" s="14">
        <f>BY198*VLOOKUP('Données projet'!$B$12,Paramètres!$A$1:$I$89,3,0)*VLOOKUP('Données projet'!$B$12,Paramètres!$A$1:$I$89,5,0)</f>
        <v>-9.3464223027694966E-13</v>
      </c>
      <c r="CA198" s="14" t="e">
        <f t="shared" si="170"/>
        <v>#NUM!</v>
      </c>
      <c r="CB198" s="22" t="e">
        <f t="shared" si="171"/>
        <v>#NUM!</v>
      </c>
      <c r="CC198" s="60" t="e">
        <f t="shared" si="195"/>
        <v>#NUM!</v>
      </c>
      <c r="CD198" s="60">
        <f ca="1">AVERAGE(OFFSET($CC$3,0,0,'Données projet'!$E$12+1,1))-AVERAGE(OFFSET($H$3,0,0,'Données projet'!$E$12+1,1))</f>
        <v>496.33873798282525</v>
      </c>
      <c r="CE198" s="60">
        <f t="shared" si="207"/>
        <v>280.25465074992246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-9.6633812063373625E-13</v>
      </c>
      <c r="CU198" s="18">
        <f>CT198*VLOOKUP('Données projet'!$B$13,Paramètres!$A$1:$I$89,3,0)*VLOOKUP('Données projet'!$B$13,Paramètres!$A$1:$I$89,5,0)</f>
        <v>-1.0401663530501537E-12</v>
      </c>
      <c r="CV198" s="14" t="e">
        <f t="shared" si="173"/>
        <v>#NUM!</v>
      </c>
      <c r="CW198" s="22" t="e">
        <f t="shared" si="174"/>
        <v>#NUM!</v>
      </c>
      <c r="CX198" s="60" t="e">
        <f t="shared" si="196"/>
        <v>#NUM!</v>
      </c>
      <c r="CY198" s="60">
        <f ca="1">AVERAGE(OFFSET($CX$3,0,0,'Données projet'!$E$13+1,1))-AVERAGE(OFFSET($H$3,0,0,'Données projet'!$E$13+1,1))</f>
        <v>542.90832990875208</v>
      </c>
      <c r="CZ198" s="60">
        <f t="shared" si="208"/>
        <v>304.94365539329362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0" t="e">
        <f t="shared" si="197"/>
        <v>#N/A</v>
      </c>
      <c r="DT198" s="60" t="e">
        <f ca="1">AVERAGE(OFFSET($DS$3,0,0,'Données projet'!$E$14+1,1))-AVERAGE(OFFSET($H$3,0,0,'Données projet'!$E$14+1,1))</f>
        <v>#N/A</v>
      </c>
      <c r="DU198" s="60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0" t="e">
        <f t="shared" si="198"/>
        <v>#N/A</v>
      </c>
      <c r="EO198" s="60" t="e">
        <f ca="1">AVERAGE(OFFSET($EN$3,0,0,'Données projet'!$E$15+1,1))-AVERAGE(OFFSET($H$3,0,0,'Données projet'!$E$15+1,1))</f>
        <v>#N/A</v>
      </c>
      <c r="EP198" s="60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0" t="e">
        <f t="shared" si="199"/>
        <v>#N/A</v>
      </c>
      <c r="FJ198" s="60" t="e">
        <f ca="1">AVERAGE(OFFSET($FI$3,0,0,'Données projet'!$E$16+1,1))-AVERAGE(OFFSET($H$3,0,0,'Données projet'!$E$16+1,1))</f>
        <v>#N/A</v>
      </c>
      <c r="FK198" s="60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0" t="e">
        <f t="shared" si="200"/>
        <v>#N/A</v>
      </c>
      <c r="GE198" s="60" t="e">
        <f ca="1">AVERAGE(OFFSET($GD$3,0,0,'Données projet'!$E$17+1,1))-AVERAGE(OFFSET($H$3,0,0,'Données projet'!$E$17+1,1))</f>
        <v>#N/A</v>
      </c>
      <c r="GF198" s="60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4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3.4106051316484809E-13</v>
      </c>
      <c r="O199" s="14">
        <f>N199*VLOOKUP('Données projet'!$B$9,Paramètres!$A$1:$I$89,3,0)*VLOOKUP('Données projet'!$B$9,Paramètres!$A$1:$I$89,5,0)</f>
        <v>1.5961632016114892E-13</v>
      </c>
      <c r="P199" s="14">
        <f t="shared" si="203"/>
        <v>2.2708641912150958E-12</v>
      </c>
      <c r="Q199" s="22">
        <f t="shared" si="162"/>
        <v>4.2330868906469593E-12</v>
      </c>
      <c r="R199" s="60">
        <f t="shared" si="191"/>
        <v>290.3645304291544</v>
      </c>
      <c r="S199" s="60">
        <f ca="1">AVERAGE(OFFSET($R$3,0,0,'Données projet'!$E$9+1,1))-AVERAGE(OFFSET($H$3,0,0,'Données projet'!$E$9+1,1))</f>
        <v>277.7918215389401</v>
      </c>
      <c r="T199" s="60">
        <f t="shared" si="204"/>
        <v>164.65640238394164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-9.6633812063373625E-13</v>
      </c>
      <c r="AJ199" s="14">
        <f>AI199*VLOOKUP('Données projet'!$B$10,Paramètres!$A$1:$I$89,3,0)*VLOOKUP('Données projet'!$B$10,Paramètres!$A$1:$I$89,5,0)</f>
        <v>-8.7434273154940449E-13</v>
      </c>
      <c r="AK199" s="14" t="e">
        <f t="shared" si="164"/>
        <v>#NUM!</v>
      </c>
      <c r="AL199" s="22" t="e">
        <f t="shared" si="165"/>
        <v>#NUM!</v>
      </c>
      <c r="AM199" s="60" t="e">
        <f t="shared" si="193"/>
        <v>#NUM!</v>
      </c>
      <c r="AN199" s="60">
        <f ca="1">AVERAGE(OFFSET($AM$3,0,0,'Données projet'!$E$10+1,1))-AVERAGE(OFFSET($H$3,0,0,'Données projet'!$E$10+1,1))</f>
        <v>469.67944008675863</v>
      </c>
      <c r="AO199" s="60">
        <f t="shared" si="205"/>
        <v>266.11908070867173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0" t="e">
        <f t="shared" si="194"/>
        <v>#NUM!</v>
      </c>
      <c r="BI199" s="60">
        <f ca="1">AVERAGE(OFFSET($BH$3,0,0,'Données projet'!$E$11+1,1))-AVERAGE(OFFSET($H$3,0,0,'Données projet'!$E$11+1,1))</f>
        <v>216.36762889365235</v>
      </c>
      <c r="BJ199" s="60">
        <f t="shared" si="206"/>
        <v>333.29599352215496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0.50422210188428873</v>
      </c>
      <c r="BQ199" s="23">
        <f>EXP(-LN(2)/25)*BQ198+(1-EXP(-LN(2)/25))/(LN(2)/25)*Calculateur!BL199*Calculateur!BN199*VLOOKUP('Données projet'!$B$11,Paramètres!$A$1:$I$89,3,0)*0.475*44/12</f>
        <v>9.7755077661471637E-2</v>
      </c>
      <c r="BR199" s="23">
        <f>EXP(-LN(2)/2)*BR198+(1-EXP(-LN(2)/2))/(LN(2)/2)*BL199*BO199*VLOOKUP('Données projet'!$B$11,Paramètres!$A$1:$I$89,3,0)*0.475*44/12</f>
        <v>3.0237873671242225E-25</v>
      </c>
      <c r="BS199" s="24">
        <f t="shared" si="169"/>
        <v>0.60197717954576035</v>
      </c>
      <c r="BT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-9.6633812063373625E-13</v>
      </c>
      <c r="BZ199" s="14">
        <f>BY199*VLOOKUP('Données projet'!$B$12,Paramètres!$A$1:$I$89,3,0)*VLOOKUP('Données projet'!$B$12,Paramètres!$A$1:$I$89,5,0)</f>
        <v>-9.3464223027694966E-13</v>
      </c>
      <c r="CA199" s="14" t="e">
        <f t="shared" si="170"/>
        <v>#NUM!</v>
      </c>
      <c r="CB199" s="22" t="e">
        <f t="shared" si="171"/>
        <v>#NUM!</v>
      </c>
      <c r="CC199" s="60" t="e">
        <f t="shared" si="195"/>
        <v>#NUM!</v>
      </c>
      <c r="CD199" s="60">
        <f ca="1">AVERAGE(OFFSET($CC$3,0,0,'Données projet'!$E$12+1,1))-AVERAGE(OFFSET($H$3,0,0,'Données projet'!$E$12+1,1))</f>
        <v>496.33873798282525</v>
      </c>
      <c r="CE199" s="60">
        <f t="shared" si="207"/>
        <v>280.25465074992246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-9.6633812063373625E-13</v>
      </c>
      <c r="CU199" s="18">
        <f>CT199*VLOOKUP('Données projet'!$B$13,Paramètres!$A$1:$I$89,3,0)*VLOOKUP('Données projet'!$B$13,Paramètres!$A$1:$I$89,5,0)</f>
        <v>-1.0401663530501537E-12</v>
      </c>
      <c r="CV199" s="14" t="e">
        <f t="shared" si="173"/>
        <v>#NUM!</v>
      </c>
      <c r="CW199" s="22" t="e">
        <f t="shared" si="174"/>
        <v>#NUM!</v>
      </c>
      <c r="CX199" s="60" t="e">
        <f t="shared" si="196"/>
        <v>#NUM!</v>
      </c>
      <c r="CY199" s="60">
        <f ca="1">AVERAGE(OFFSET($CX$3,0,0,'Données projet'!$E$13+1,1))-AVERAGE(OFFSET($H$3,0,0,'Données projet'!$E$13+1,1))</f>
        <v>542.90832990875208</v>
      </c>
      <c r="CZ199" s="60">
        <f t="shared" si="208"/>
        <v>304.94365539329362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0" t="e">
        <f t="shared" si="197"/>
        <v>#N/A</v>
      </c>
      <c r="DT199" s="60" t="e">
        <f ca="1">AVERAGE(OFFSET($DS$3,0,0,'Données projet'!$E$14+1,1))-AVERAGE(OFFSET($H$3,0,0,'Données projet'!$E$14+1,1))</f>
        <v>#N/A</v>
      </c>
      <c r="DU199" s="60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0" t="e">
        <f t="shared" si="198"/>
        <v>#N/A</v>
      </c>
      <c r="EO199" s="60" t="e">
        <f ca="1">AVERAGE(OFFSET($EN$3,0,0,'Données projet'!$E$15+1,1))-AVERAGE(OFFSET($H$3,0,0,'Données projet'!$E$15+1,1))</f>
        <v>#N/A</v>
      </c>
      <c r="EP199" s="60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0" t="e">
        <f t="shared" si="199"/>
        <v>#N/A</v>
      </c>
      <c r="FJ199" s="60" t="e">
        <f ca="1">AVERAGE(OFFSET($FI$3,0,0,'Données projet'!$E$16+1,1))-AVERAGE(OFFSET($H$3,0,0,'Données projet'!$E$16+1,1))</f>
        <v>#N/A</v>
      </c>
      <c r="FK199" s="60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0" t="e">
        <f t="shared" si="200"/>
        <v>#N/A</v>
      </c>
      <c r="GE199" s="60" t="e">
        <f ca="1">AVERAGE(OFFSET($GD$3,0,0,'Données projet'!$E$17+1,1))-AVERAGE(OFFSET($H$3,0,0,'Données projet'!$E$17+1,1))</f>
        <v>#N/A</v>
      </c>
      <c r="GF199" s="60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4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3.4106051316484809E-13</v>
      </c>
      <c r="O200" s="14">
        <f>N200*VLOOKUP('Données projet'!$B$9,Paramètres!$A$1:$I$89,3,0)*VLOOKUP('Données projet'!$B$9,Paramètres!$A$1:$I$89,5,0)</f>
        <v>1.5961632016114892E-13</v>
      </c>
      <c r="P200" s="14">
        <f t="shared" si="203"/>
        <v>2.2708641912150958E-12</v>
      </c>
      <c r="Q200" s="22">
        <f t="shared" si="162"/>
        <v>4.2330868906469593E-12</v>
      </c>
      <c r="R200" s="60">
        <f t="shared" si="191"/>
        <v>290.41603252229299</v>
      </c>
      <c r="S200" s="60">
        <f ca="1">AVERAGE(OFFSET($R$3,0,0,'Données projet'!$E$9+1,1))-AVERAGE(OFFSET($H$3,0,0,'Données projet'!$E$9+1,1))</f>
        <v>277.7918215389401</v>
      </c>
      <c r="T200" s="60">
        <f t="shared" si="204"/>
        <v>164.65640238394164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-9.6633812063373625E-13</v>
      </c>
      <c r="AJ200" s="14">
        <f>AI200*VLOOKUP('Données projet'!$B$10,Paramètres!$A$1:$I$89,3,0)*VLOOKUP('Données projet'!$B$10,Paramètres!$A$1:$I$89,5,0)</f>
        <v>-8.7434273154940449E-13</v>
      </c>
      <c r="AK200" s="14" t="e">
        <f t="shared" si="164"/>
        <v>#NUM!</v>
      </c>
      <c r="AL200" s="22" t="e">
        <f t="shared" si="165"/>
        <v>#NUM!</v>
      </c>
      <c r="AM200" s="60" t="e">
        <f t="shared" si="193"/>
        <v>#NUM!</v>
      </c>
      <c r="AN200" s="60">
        <f ca="1">AVERAGE(OFFSET($AM$3,0,0,'Données projet'!$E$10+1,1))-AVERAGE(OFFSET($H$3,0,0,'Données projet'!$E$10+1,1))</f>
        <v>469.67944008675863</v>
      </c>
      <c r="AO200" s="60">
        <f t="shared" si="205"/>
        <v>266.11908070867173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0" t="e">
        <f t="shared" si="194"/>
        <v>#NUM!</v>
      </c>
      <c r="BI200" s="60">
        <f ca="1">AVERAGE(OFFSET($BH$3,0,0,'Données projet'!$E$11+1,1))-AVERAGE(OFFSET($H$3,0,0,'Données projet'!$E$11+1,1))</f>
        <v>216.36762889365235</v>
      </c>
      <c r="BJ200" s="60">
        <f t="shared" si="206"/>
        <v>333.29599352215496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0.4943346140114524</v>
      </c>
      <c r="BQ200" s="23">
        <f>EXP(-LN(2)/25)*BQ199+(1-EXP(-LN(2)/25))/(LN(2)/25)*Calculateur!BL200*Calculateur!BN200*VLOOKUP('Données projet'!$B$11,Paramètres!$A$1:$I$89,3,0)*0.475*44/12</f>
        <v>9.5081959922102582E-2</v>
      </c>
      <c r="BR200" s="23">
        <f>EXP(-LN(2)/2)*BR199+(1-EXP(-LN(2)/2))/(LN(2)/2)*BL200*BO200*VLOOKUP('Données projet'!$B$11,Paramètres!$A$1:$I$89,3,0)*0.475*44/12</f>
        <v>2.1381405521597542E-25</v>
      </c>
      <c r="BS200" s="24">
        <f t="shared" si="169"/>
        <v>0.58941657393355495</v>
      </c>
      <c r="BT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-9.6633812063373625E-13</v>
      </c>
      <c r="BZ200" s="14">
        <f>BY200*VLOOKUP('Données projet'!$B$12,Paramètres!$A$1:$I$89,3,0)*VLOOKUP('Données projet'!$B$12,Paramètres!$A$1:$I$89,5,0)</f>
        <v>-9.3464223027694966E-13</v>
      </c>
      <c r="CA200" s="14" t="e">
        <f t="shared" si="170"/>
        <v>#NUM!</v>
      </c>
      <c r="CB200" s="22" t="e">
        <f t="shared" si="171"/>
        <v>#NUM!</v>
      </c>
      <c r="CC200" s="60" t="e">
        <f t="shared" si="195"/>
        <v>#NUM!</v>
      </c>
      <c r="CD200" s="60">
        <f ca="1">AVERAGE(OFFSET($CC$3,0,0,'Données projet'!$E$12+1,1))-AVERAGE(OFFSET($H$3,0,0,'Données projet'!$E$12+1,1))</f>
        <v>496.33873798282525</v>
      </c>
      <c r="CE200" s="60">
        <f t="shared" si="207"/>
        <v>280.25465074992246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-9.6633812063373625E-13</v>
      </c>
      <c r="CU200" s="18">
        <f>CT200*VLOOKUP('Données projet'!$B$13,Paramètres!$A$1:$I$89,3,0)*VLOOKUP('Données projet'!$B$13,Paramètres!$A$1:$I$89,5,0)</f>
        <v>-1.0401663530501537E-12</v>
      </c>
      <c r="CV200" s="14" t="e">
        <f t="shared" si="173"/>
        <v>#NUM!</v>
      </c>
      <c r="CW200" s="22" t="e">
        <f t="shared" si="174"/>
        <v>#NUM!</v>
      </c>
      <c r="CX200" s="60" t="e">
        <f t="shared" si="196"/>
        <v>#NUM!</v>
      </c>
      <c r="CY200" s="60">
        <f ca="1">AVERAGE(OFFSET($CX$3,0,0,'Données projet'!$E$13+1,1))-AVERAGE(OFFSET($H$3,0,0,'Données projet'!$E$13+1,1))</f>
        <v>542.90832990875208</v>
      </c>
      <c r="CZ200" s="60">
        <f t="shared" si="208"/>
        <v>304.94365539329362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0" t="e">
        <f t="shared" si="197"/>
        <v>#N/A</v>
      </c>
      <c r="DT200" s="60" t="e">
        <f ca="1">AVERAGE(OFFSET($DS$3,0,0,'Données projet'!$E$14+1,1))-AVERAGE(OFFSET($H$3,0,0,'Données projet'!$E$14+1,1))</f>
        <v>#N/A</v>
      </c>
      <c r="DU200" s="60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0" t="e">
        <f t="shared" si="198"/>
        <v>#N/A</v>
      </c>
      <c r="EO200" s="60" t="e">
        <f ca="1">AVERAGE(OFFSET($EN$3,0,0,'Données projet'!$E$15+1,1))-AVERAGE(OFFSET($H$3,0,0,'Données projet'!$E$15+1,1))</f>
        <v>#N/A</v>
      </c>
      <c r="EP200" s="60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0" t="e">
        <f t="shared" si="199"/>
        <v>#N/A</v>
      </c>
      <c r="FJ200" s="60" t="e">
        <f ca="1">AVERAGE(OFFSET($FI$3,0,0,'Données projet'!$E$16+1,1))-AVERAGE(OFFSET($H$3,0,0,'Données projet'!$E$16+1,1))</f>
        <v>#N/A</v>
      </c>
      <c r="FK200" s="60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0" t="e">
        <f t="shared" si="200"/>
        <v>#N/A</v>
      </c>
      <c r="GE200" s="60" t="e">
        <f ca="1">AVERAGE(OFFSET($GD$3,0,0,'Données projet'!$E$17+1,1))-AVERAGE(OFFSET($H$3,0,0,'Données projet'!$E$17+1,1))</f>
        <v>#N/A</v>
      </c>
      <c r="GF200" s="60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4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3.4106051316484809E-13</v>
      </c>
      <c r="O201" s="14">
        <f>N201*VLOOKUP('Données projet'!$B$9,Paramètres!$A$1:$I$89,3,0)*VLOOKUP('Données projet'!$B$9,Paramètres!$A$1:$I$89,5,0)</f>
        <v>1.5961632016114892E-13</v>
      </c>
      <c r="P201" s="14">
        <f t="shared" si="203"/>
        <v>2.2708641912150958E-12</v>
      </c>
      <c r="Q201" s="22">
        <f t="shared" si="162"/>
        <v>4.2330868906469593E-12</v>
      </c>
      <c r="R201" s="60">
        <f t="shared" si="191"/>
        <v>290.46664116925712</v>
      </c>
      <c r="S201" s="60">
        <f ca="1">AVERAGE(OFFSET($R$3,0,0,'Données projet'!$E$9+1,1))-AVERAGE(OFFSET($H$3,0,0,'Données projet'!$E$9+1,1))</f>
        <v>277.7918215389401</v>
      </c>
      <c r="T201" s="60">
        <f t="shared" si="204"/>
        <v>164.65640238394164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-9.6633812063373625E-13</v>
      </c>
      <c r="AJ201" s="14">
        <f>AI201*VLOOKUP('Données projet'!$B$10,Paramètres!$A$1:$I$89,3,0)*VLOOKUP('Données projet'!$B$10,Paramètres!$A$1:$I$89,5,0)</f>
        <v>-8.7434273154940449E-13</v>
      </c>
      <c r="AK201" s="14" t="e">
        <f t="shared" si="164"/>
        <v>#NUM!</v>
      </c>
      <c r="AL201" s="22" t="e">
        <f t="shared" si="165"/>
        <v>#NUM!</v>
      </c>
      <c r="AM201" s="60" t="e">
        <f t="shared" si="193"/>
        <v>#NUM!</v>
      </c>
      <c r="AN201" s="60">
        <f ca="1">AVERAGE(OFFSET($AM$3,0,0,'Données projet'!$E$10+1,1))-AVERAGE(OFFSET($H$3,0,0,'Données projet'!$E$10+1,1))</f>
        <v>469.67944008675863</v>
      </c>
      <c r="AO201" s="60">
        <f t="shared" si="205"/>
        <v>266.11908070867173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0" t="e">
        <f t="shared" si="194"/>
        <v>#NUM!</v>
      </c>
      <c r="BI201" s="60">
        <f ca="1">AVERAGE(OFFSET($BH$3,0,0,'Données projet'!$E$11+1,1))-AVERAGE(OFFSET($H$3,0,0,'Données projet'!$E$11+1,1))</f>
        <v>216.36762889365235</v>
      </c>
      <c r="BJ201" s="60">
        <f t="shared" si="206"/>
        <v>333.29599352215496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0.48464101374503032</v>
      </c>
      <c r="BQ201" s="23">
        <f>EXP(-LN(2)/25)*BQ200+(1-EXP(-LN(2)/25))/(LN(2)/25)*Calculateur!BL201*Calculateur!BN201*VLOOKUP('Données projet'!$B$11,Paramètres!$A$1:$I$89,3,0)*0.475*44/12</f>
        <v>9.2481938727889734E-2</v>
      </c>
      <c r="BR201" s="23">
        <f>EXP(-LN(2)/2)*BR200+(1-EXP(-LN(2)/2))/(LN(2)/2)*BL201*BO201*VLOOKUP('Données projet'!$B$11,Paramètres!$A$1:$I$89,3,0)*0.475*44/12</f>
        <v>1.5118936835621112E-25</v>
      </c>
      <c r="BS201" s="24">
        <f t="shared" si="169"/>
        <v>0.57712295247292</v>
      </c>
      <c r="BT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-9.6633812063373625E-13</v>
      </c>
      <c r="BZ201" s="14">
        <f>BY201*VLOOKUP('Données projet'!$B$12,Paramètres!$A$1:$I$89,3,0)*VLOOKUP('Données projet'!$B$12,Paramètres!$A$1:$I$89,5,0)</f>
        <v>-9.3464223027694966E-13</v>
      </c>
      <c r="CA201" s="14" t="e">
        <f t="shared" si="170"/>
        <v>#NUM!</v>
      </c>
      <c r="CB201" s="22" t="e">
        <f t="shared" si="171"/>
        <v>#NUM!</v>
      </c>
      <c r="CC201" s="60" t="e">
        <f t="shared" si="195"/>
        <v>#NUM!</v>
      </c>
      <c r="CD201" s="60">
        <f ca="1">AVERAGE(OFFSET($CC$3,0,0,'Données projet'!$E$12+1,1))-AVERAGE(OFFSET($H$3,0,0,'Données projet'!$E$12+1,1))</f>
        <v>496.33873798282525</v>
      </c>
      <c r="CE201" s="60">
        <f t="shared" si="207"/>
        <v>280.25465074992246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-9.6633812063373625E-13</v>
      </c>
      <c r="CU201" s="18">
        <f>CT201*VLOOKUP('Données projet'!$B$13,Paramètres!$A$1:$I$89,3,0)*VLOOKUP('Données projet'!$B$13,Paramètres!$A$1:$I$89,5,0)</f>
        <v>-1.0401663530501537E-12</v>
      </c>
      <c r="CV201" s="14" t="e">
        <f t="shared" si="173"/>
        <v>#NUM!</v>
      </c>
      <c r="CW201" s="22" t="e">
        <f t="shared" si="174"/>
        <v>#NUM!</v>
      </c>
      <c r="CX201" s="60" t="e">
        <f t="shared" si="196"/>
        <v>#NUM!</v>
      </c>
      <c r="CY201" s="60">
        <f ca="1">AVERAGE(OFFSET($CX$3,0,0,'Données projet'!$E$13+1,1))-AVERAGE(OFFSET($H$3,0,0,'Données projet'!$E$13+1,1))</f>
        <v>542.90832990875208</v>
      </c>
      <c r="CZ201" s="60">
        <f t="shared" si="208"/>
        <v>304.94365539329362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0" t="e">
        <f t="shared" si="197"/>
        <v>#N/A</v>
      </c>
      <c r="DT201" s="60" t="e">
        <f ca="1">AVERAGE(OFFSET($DS$3,0,0,'Données projet'!$E$14+1,1))-AVERAGE(OFFSET($H$3,0,0,'Données projet'!$E$14+1,1))</f>
        <v>#N/A</v>
      </c>
      <c r="DU201" s="60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0" t="e">
        <f t="shared" si="198"/>
        <v>#N/A</v>
      </c>
      <c r="EO201" s="60" t="e">
        <f ca="1">AVERAGE(OFFSET($EN$3,0,0,'Données projet'!$E$15+1,1))-AVERAGE(OFFSET($H$3,0,0,'Données projet'!$E$15+1,1))</f>
        <v>#N/A</v>
      </c>
      <c r="EP201" s="60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0" t="e">
        <f t="shared" si="199"/>
        <v>#N/A</v>
      </c>
      <c r="FJ201" s="60" t="e">
        <f ca="1">AVERAGE(OFFSET($FI$3,0,0,'Données projet'!$E$16+1,1))-AVERAGE(OFFSET($H$3,0,0,'Données projet'!$E$16+1,1))</f>
        <v>#N/A</v>
      </c>
      <c r="FK201" s="60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0" t="e">
        <f t="shared" si="200"/>
        <v>#N/A</v>
      </c>
      <c r="GE201" s="60" t="e">
        <f ca="1">AVERAGE(OFFSET($GD$3,0,0,'Données projet'!$E$17+1,1))-AVERAGE(OFFSET($H$3,0,0,'Données projet'!$E$17+1,1))</f>
        <v>#N/A</v>
      </c>
      <c r="GF201" s="60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4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3.4106051316484809E-13</v>
      </c>
      <c r="O202" s="14">
        <f>N202*VLOOKUP('Données projet'!$B$9,Paramètres!$A$1:$I$89,3,0)*VLOOKUP('Données projet'!$B$9,Paramètres!$A$1:$I$89,5,0)</f>
        <v>1.5961632016114892E-13</v>
      </c>
      <c r="P202" s="14">
        <f t="shared" si="203"/>
        <v>2.2708641912150958E-12</v>
      </c>
      <c r="Q202" s="22">
        <f t="shared" si="162"/>
        <v>4.2330868906469593E-12</v>
      </c>
      <c r="R202" s="60">
        <f t="shared" si="191"/>
        <v>290.51637186934033</v>
      </c>
      <c r="S202" s="60">
        <f ca="1">AVERAGE(OFFSET($R$3,0,0,'Données projet'!$E$9+1,1))-AVERAGE(OFFSET($H$3,0,0,'Données projet'!$E$9+1,1))</f>
        <v>277.7918215389401</v>
      </c>
      <c r="T202" s="60">
        <f t="shared" si="204"/>
        <v>164.65640238394164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-9.6633812063373625E-13</v>
      </c>
      <c r="AJ202" s="14">
        <f>AI202*VLOOKUP('Données projet'!$B$10,Paramètres!$A$1:$I$89,3,0)*VLOOKUP('Données projet'!$B$10,Paramètres!$A$1:$I$89,5,0)</f>
        <v>-8.7434273154940449E-13</v>
      </c>
      <c r="AK202" s="14" t="e">
        <f t="shared" si="164"/>
        <v>#NUM!</v>
      </c>
      <c r="AL202" s="22" t="e">
        <f t="shared" si="165"/>
        <v>#NUM!</v>
      </c>
      <c r="AM202" s="60" t="e">
        <f t="shared" si="193"/>
        <v>#NUM!</v>
      </c>
      <c r="AN202" s="60">
        <f ca="1">AVERAGE(OFFSET($AM$3,0,0,'Données projet'!$E$10+1,1))-AVERAGE(OFFSET($H$3,0,0,'Données projet'!$E$10+1,1))</f>
        <v>469.67944008675863</v>
      </c>
      <c r="AO202" s="60">
        <f t="shared" si="205"/>
        <v>266.11908070867173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0" t="e">
        <f t="shared" si="194"/>
        <v>#NUM!</v>
      </c>
      <c r="BI202" s="60">
        <f ca="1">AVERAGE(OFFSET($BH$3,0,0,'Données projet'!$E$11+1,1))-AVERAGE(OFFSET($H$3,0,0,'Données projet'!$E$11+1,1))</f>
        <v>216.36762889365235</v>
      </c>
      <c r="BJ202" s="60">
        <f t="shared" si="206"/>
        <v>333.29599352215496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0.47513749906732039</v>
      </c>
      <c r="BQ202" s="23">
        <f>EXP(-LN(2)/25)*BQ201+(1-EXP(-LN(2)/25))/(LN(2)/25)*Calculateur!BL202*Calculateur!BN202*VLOOKUP('Données projet'!$B$11,Paramètres!$A$1:$I$89,3,0)*0.475*44/12</f>
        <v>8.9953015249961799E-2</v>
      </c>
      <c r="BR202" s="23">
        <f>EXP(-LN(2)/2)*BR201+(1-EXP(-LN(2)/2))/(LN(2)/2)*BL202*BO202*VLOOKUP('Données projet'!$B$11,Paramètres!$A$1:$I$89,3,0)*0.475*44/12</f>
        <v>1.0690702760798771E-25</v>
      </c>
      <c r="BS202" s="24">
        <f t="shared" si="169"/>
        <v>0.56509051431728219</v>
      </c>
      <c r="BT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-9.6633812063373625E-13</v>
      </c>
      <c r="BZ202" s="14">
        <f>BY202*VLOOKUP('Données projet'!$B$12,Paramètres!$A$1:$I$89,3,0)*VLOOKUP('Données projet'!$B$12,Paramètres!$A$1:$I$89,5,0)</f>
        <v>-9.3464223027694966E-13</v>
      </c>
      <c r="CA202" s="14" t="e">
        <f t="shared" si="170"/>
        <v>#NUM!</v>
      </c>
      <c r="CB202" s="22" t="e">
        <f t="shared" si="171"/>
        <v>#NUM!</v>
      </c>
      <c r="CC202" s="60" t="e">
        <f t="shared" si="195"/>
        <v>#NUM!</v>
      </c>
      <c r="CD202" s="60">
        <f ca="1">AVERAGE(OFFSET($CC$3,0,0,'Données projet'!$E$12+1,1))-AVERAGE(OFFSET($H$3,0,0,'Données projet'!$E$12+1,1))</f>
        <v>496.33873798282525</v>
      </c>
      <c r="CE202" s="60">
        <f t="shared" si="207"/>
        <v>280.25465074992246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-9.6633812063373625E-13</v>
      </c>
      <c r="CU202" s="18">
        <f>CT202*VLOOKUP('Données projet'!$B$13,Paramètres!$A$1:$I$89,3,0)*VLOOKUP('Données projet'!$B$13,Paramètres!$A$1:$I$89,5,0)</f>
        <v>-1.0401663530501537E-12</v>
      </c>
      <c r="CV202" s="14" t="e">
        <f t="shared" si="173"/>
        <v>#NUM!</v>
      </c>
      <c r="CW202" s="22" t="e">
        <f t="shared" si="174"/>
        <v>#NUM!</v>
      </c>
      <c r="CX202" s="60" t="e">
        <f t="shared" si="196"/>
        <v>#NUM!</v>
      </c>
      <c r="CY202" s="60">
        <f ca="1">AVERAGE(OFFSET($CX$3,0,0,'Données projet'!$E$13+1,1))-AVERAGE(OFFSET($H$3,0,0,'Données projet'!$E$13+1,1))</f>
        <v>542.90832990875208</v>
      </c>
      <c r="CZ202" s="60">
        <f t="shared" si="208"/>
        <v>304.94365539329362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0" t="e">
        <f t="shared" si="197"/>
        <v>#N/A</v>
      </c>
      <c r="DT202" s="60" t="e">
        <f ca="1">AVERAGE(OFFSET($DS$3,0,0,'Données projet'!$E$14+1,1))-AVERAGE(OFFSET($H$3,0,0,'Données projet'!$E$14+1,1))</f>
        <v>#N/A</v>
      </c>
      <c r="DU202" s="60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0" t="e">
        <f t="shared" si="198"/>
        <v>#N/A</v>
      </c>
      <c r="EO202" s="60" t="e">
        <f ca="1">AVERAGE(OFFSET($EN$3,0,0,'Données projet'!$E$15+1,1))-AVERAGE(OFFSET($H$3,0,0,'Données projet'!$E$15+1,1))</f>
        <v>#N/A</v>
      </c>
      <c r="EP202" s="60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0" t="e">
        <f t="shared" si="199"/>
        <v>#N/A</v>
      </c>
      <c r="FJ202" s="60" t="e">
        <f ca="1">AVERAGE(OFFSET($FI$3,0,0,'Données projet'!$E$16+1,1))-AVERAGE(OFFSET($H$3,0,0,'Données projet'!$E$16+1,1))</f>
        <v>#N/A</v>
      </c>
      <c r="FK202" s="60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0" t="e">
        <f t="shared" si="200"/>
        <v>#N/A</v>
      </c>
      <c r="GE202" s="60" t="e">
        <f ca="1">AVERAGE(OFFSET($GD$3,0,0,'Données projet'!$E$17+1,1))-AVERAGE(OFFSET($H$3,0,0,'Données projet'!$E$17+1,1))</f>
        <v>#N/A</v>
      </c>
      <c r="GF202" s="60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4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3.4106051316484809E-13</v>
      </c>
      <c r="O203" s="14">
        <f>N203*VLOOKUP('Données projet'!$B$9,Paramètres!$A$1:$I$89,3,0)*VLOOKUP('Données projet'!$B$9,Paramètres!$A$1:$I$89,5,0)</f>
        <v>1.5961632016114892E-13</v>
      </c>
      <c r="P203" s="14">
        <f t="shared" si="203"/>
        <v>2.2708641912150958E-12</v>
      </c>
      <c r="Q203" s="22">
        <f t="shared" si="162"/>
        <v>4.2330868906469593E-12</v>
      </c>
      <c r="R203" s="60">
        <f t="shared" si="191"/>
        <v>290.56523985295831</v>
      </c>
      <c r="S203" s="60">
        <f ca="1">AVERAGE(OFFSET($R$3,0,0,'Données projet'!$E$9+1,1))-AVERAGE(OFFSET($H$3,0,0,'Données projet'!$E$9+1,1))</f>
        <v>277.7918215389401</v>
      </c>
      <c r="T203" s="60">
        <f t="shared" si="204"/>
        <v>164.65640238394164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-9.6633812063373625E-13</v>
      </c>
      <c r="AJ203" s="14">
        <f>AI203*VLOOKUP('Données projet'!$B$10,Paramètres!$A$1:$I$89,3,0)*VLOOKUP('Données projet'!$B$10,Paramètres!$A$1:$I$89,5,0)</f>
        <v>-8.7434273154940449E-13</v>
      </c>
      <c r="AK203" s="14" t="e">
        <f t="shared" si="164"/>
        <v>#NUM!</v>
      </c>
      <c r="AL203" s="22" t="e">
        <f t="shared" si="165"/>
        <v>#NUM!</v>
      </c>
      <c r="AM203" s="60" t="e">
        <f t="shared" si="193"/>
        <v>#NUM!</v>
      </c>
      <c r="AN203" s="60">
        <f ca="1">AVERAGE(OFFSET($AM$3,0,0,'Données projet'!$E$10+1,1))-AVERAGE(OFFSET($H$3,0,0,'Données projet'!$E$10+1,1))</f>
        <v>469.67944008675863</v>
      </c>
      <c r="AO203" s="60">
        <f t="shared" si="205"/>
        <v>266.11908070867173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0" t="e">
        <f t="shared" si="194"/>
        <v>#NUM!</v>
      </c>
      <c r="BI203" s="60">
        <f ca="1">AVERAGE(OFFSET($BH$3,0,0,'Données projet'!$E$11+1,1))-AVERAGE(OFFSET($H$3,0,0,'Données projet'!$E$11+1,1))</f>
        <v>216.36762889365235</v>
      </c>
      <c r="BJ203" s="60">
        <f t="shared" si="206"/>
        <v>333.29599352215496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0.46582034251586879</v>
      </c>
      <c r="BQ203" s="23">
        <f>EXP(-LN(2)/25)*BQ202+(1-EXP(-LN(2)/25))/(LN(2)/25)*Calculateur!BL203*Calculateur!BN203*VLOOKUP('Données projet'!$B$11,Paramètres!$A$1:$I$89,3,0)*0.475*44/12</f>
        <v>8.7493245317528112E-2</v>
      </c>
      <c r="BR203" s="23">
        <f>EXP(-LN(2)/2)*BR202+(1-EXP(-LN(2)/2))/(LN(2)/2)*BL203*BO203*VLOOKUP('Données projet'!$B$11,Paramètres!$A$1:$I$89,3,0)*0.475*44/12</f>
        <v>7.5594684178105561E-26</v>
      </c>
      <c r="BS203" s="24">
        <f t="shared" si="169"/>
        <v>0.5533135878333969</v>
      </c>
      <c r="BT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-9.6633812063373625E-13</v>
      </c>
      <c r="BZ203" s="14">
        <f>BY203*VLOOKUP('Données projet'!$B$12,Paramètres!$A$1:$I$89,3,0)*VLOOKUP('Données projet'!$B$12,Paramètres!$A$1:$I$89,5,0)</f>
        <v>-9.3464223027694966E-13</v>
      </c>
      <c r="CA203" s="14" t="e">
        <f t="shared" si="170"/>
        <v>#NUM!</v>
      </c>
      <c r="CB203" s="22" t="e">
        <f t="shared" si="171"/>
        <v>#NUM!</v>
      </c>
      <c r="CC203" s="60" t="e">
        <f t="shared" si="195"/>
        <v>#NUM!</v>
      </c>
      <c r="CD203" s="60">
        <f ca="1">AVERAGE(OFFSET($CC$3,0,0,'Données projet'!$E$12+1,1))-AVERAGE(OFFSET($H$3,0,0,'Données projet'!$E$12+1,1))</f>
        <v>496.33873798282525</v>
      </c>
      <c r="CE203" s="60">
        <f t="shared" si="207"/>
        <v>280.25465074992246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-9.6633812063373625E-13</v>
      </c>
      <c r="CU203" s="18">
        <f>CT203*VLOOKUP('Données projet'!$B$13,Paramètres!$A$1:$I$89,3,0)*VLOOKUP('Données projet'!$B$13,Paramètres!$A$1:$I$89,5,0)</f>
        <v>-1.0401663530501537E-12</v>
      </c>
      <c r="CV203" s="14" t="e">
        <f t="shared" si="173"/>
        <v>#NUM!</v>
      </c>
      <c r="CW203" s="22" t="e">
        <f t="shared" si="174"/>
        <v>#NUM!</v>
      </c>
      <c r="CX203" s="60" t="e">
        <f t="shared" si="196"/>
        <v>#NUM!</v>
      </c>
      <c r="CY203" s="60">
        <f ca="1">AVERAGE(OFFSET($CX$3,0,0,'Données projet'!$E$13+1,1))-AVERAGE(OFFSET($H$3,0,0,'Données projet'!$E$13+1,1))</f>
        <v>542.90832990875208</v>
      </c>
      <c r="CZ203" s="60">
        <f t="shared" si="208"/>
        <v>304.94365539329362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0" t="e">
        <f t="shared" si="197"/>
        <v>#N/A</v>
      </c>
      <c r="DT203" s="60" t="e">
        <f ca="1">AVERAGE(OFFSET($DS$3,0,0,'Données projet'!$E$14+1,1))-AVERAGE(OFFSET($H$3,0,0,'Données projet'!$E$14+1,1))</f>
        <v>#N/A</v>
      </c>
      <c r="DU203" s="60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0" t="e">
        <f t="shared" si="198"/>
        <v>#N/A</v>
      </c>
      <c r="EO203" s="60" t="e">
        <f ca="1">AVERAGE(OFFSET($EN$3,0,0,'Données projet'!$E$15+1,1))-AVERAGE(OFFSET($H$3,0,0,'Données projet'!$E$15+1,1))</f>
        <v>#N/A</v>
      </c>
      <c r="EP203" s="60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0" t="e">
        <f t="shared" si="199"/>
        <v>#N/A</v>
      </c>
      <c r="FJ203" s="60" t="e">
        <f ca="1">AVERAGE(OFFSET($FI$3,0,0,'Données projet'!$E$16+1,1))-AVERAGE(OFFSET($H$3,0,0,'Données projet'!$E$16+1,1))</f>
        <v>#N/A</v>
      </c>
      <c r="FK203" s="60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0" t="e">
        <f t="shared" si="200"/>
        <v>#N/A</v>
      </c>
      <c r="GE203" s="60" t="e">
        <f ca="1">AVERAGE(OFFSET($GD$3,0,0,'Données projet'!$E$17+1,1))-AVERAGE(OFFSET($H$3,0,0,'Données projet'!$E$17+1,1))</f>
        <v>#N/A</v>
      </c>
      <c r="GF203" s="60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0"/>
      <c r="C204" s="78"/>
      <c r="D204" s="79"/>
      <c r="E204" s="79"/>
      <c r="F204" s="79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8"/>
      <c r="I204" s="78"/>
      <c r="J204" s="78"/>
      <c r="K204" s="87" t="s">
        <v>293</v>
      </c>
      <c r="L204" s="81"/>
      <c r="M204" s="81"/>
      <c r="N204" s="81"/>
      <c r="O204" s="78"/>
      <c r="P204" s="78"/>
      <c r="Q204" s="79"/>
      <c r="R204" s="82"/>
      <c r="S204" s="82"/>
      <c r="T204" s="82"/>
      <c r="U204" s="81"/>
      <c r="V204" s="81"/>
      <c r="W204" s="83"/>
      <c r="X204" s="83"/>
      <c r="Y204" s="83"/>
      <c r="Z204" s="78"/>
      <c r="AA204" s="78"/>
      <c r="AB204" s="78"/>
      <c r="AC204" s="78"/>
      <c r="AD204" s="78"/>
      <c r="AE204" s="78"/>
      <c r="AF204" s="84" t="s">
        <v>293</v>
      </c>
      <c r="BA204" s="84" t="s">
        <v>293</v>
      </c>
      <c r="BV204" s="84" t="s">
        <v>293</v>
      </c>
      <c r="CQ204" s="84" t="s">
        <v>293</v>
      </c>
      <c r="DL204" s="84" t="s">
        <v>293</v>
      </c>
      <c r="EG204" s="84" t="s">
        <v>293</v>
      </c>
      <c r="FB204" s="84" t="s">
        <v>293</v>
      </c>
      <c r="FW204" s="84" t="s">
        <v>293</v>
      </c>
      <c r="GR204" s="84" t="s">
        <v>293</v>
      </c>
    </row>
    <row r="205" spans="1:218" ht="15" thickBot="1" x14ac:dyDescent="0.35">
      <c r="B205" s="80"/>
      <c r="C205" s="78"/>
      <c r="D205" s="79"/>
      <c r="E205" s="79"/>
      <c r="F205" s="79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8"/>
      <c r="I205" s="78"/>
      <c r="J205" s="78"/>
      <c r="K205" s="85">
        <f>EXP(LN('Données projet'!B36)/'Données projet'!A36)</f>
        <v>1.1671681906248585</v>
      </c>
      <c r="L205" s="81"/>
      <c r="M205" s="81"/>
      <c r="N205" s="81"/>
      <c r="O205" s="78"/>
      <c r="P205" s="78"/>
      <c r="Q205" s="79"/>
      <c r="R205" s="82"/>
      <c r="S205" s="82"/>
      <c r="T205" s="82"/>
      <c r="U205" s="81"/>
      <c r="V205" s="81"/>
      <c r="W205" s="83"/>
      <c r="X205" s="83"/>
      <c r="Y205" s="83"/>
      <c r="Z205" s="78"/>
      <c r="AA205" s="78"/>
      <c r="AB205" s="78"/>
      <c r="AC205" s="78"/>
      <c r="AD205" s="78"/>
      <c r="AE205" s="78"/>
      <c r="AF205" s="86">
        <f>EXP(LN('Données projet'!B62)/'Données projet'!A62)</f>
        <v>1.2054868146447177</v>
      </c>
      <c r="BA205" s="85">
        <f>EXP(LN('Données projet'!B88)/'Données projet'!A88)</f>
        <v>1.3566516392624868</v>
      </c>
      <c r="BV205" s="85">
        <f>EXP(LN('Données projet'!B114)/'Données projet'!A114)</f>
        <v>1.2054868146447177</v>
      </c>
      <c r="CQ205" s="85">
        <f>EXP(LN('Données projet'!B140)/'Données projet'!A140)</f>
        <v>1.2054868146447177</v>
      </c>
      <c r="DL205" s="85" t="e">
        <f>EXP(LN('Données projet'!B166)/'Données projet'!A166)</f>
        <v>#NUM!</v>
      </c>
      <c r="EG205" s="85" t="e">
        <f>EXP(LN('Données projet'!B192)/'Données projet'!A192)</f>
        <v>#NUM!</v>
      </c>
      <c r="FB205" s="85" t="e">
        <f>EXP(LN('Données projet'!B218)/'Données projet'!A218)</f>
        <v>#NUM!</v>
      </c>
      <c r="FW205" s="85" t="e">
        <f>EXP(LN('Données projet'!B244)/'Données projet'!A244)</f>
        <v>#NUM!</v>
      </c>
      <c r="GR205" s="85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16" t="s">
        <v>0</v>
      </c>
      <c r="B1" s="117" t="s">
        <v>106</v>
      </c>
      <c r="C1" s="118" t="s">
        <v>144</v>
      </c>
      <c r="D1" s="117" t="s">
        <v>100</v>
      </c>
      <c r="E1" s="118" t="s">
        <v>145</v>
      </c>
      <c r="F1" s="118" t="s">
        <v>100</v>
      </c>
      <c r="G1" s="118" t="s">
        <v>146</v>
      </c>
      <c r="H1" s="118" t="s">
        <v>100</v>
      </c>
      <c r="I1" s="119" t="s">
        <v>147</v>
      </c>
      <c r="J1" s="96"/>
      <c r="K1" s="96"/>
      <c r="L1" s="96"/>
      <c r="M1" s="96"/>
      <c r="N1" s="96"/>
    </row>
    <row r="2" spans="1:16" x14ac:dyDescent="0.3">
      <c r="A2" s="120" t="s">
        <v>1</v>
      </c>
      <c r="B2" s="121" t="s">
        <v>53</v>
      </c>
      <c r="C2" s="122">
        <v>0.62</v>
      </c>
      <c r="D2" s="122" t="s">
        <v>161</v>
      </c>
      <c r="E2" s="122">
        <v>1.56</v>
      </c>
      <c r="F2" s="122" t="s">
        <v>274</v>
      </c>
      <c r="G2" s="123">
        <v>0.43</v>
      </c>
      <c r="H2" s="124" t="s">
        <v>278</v>
      </c>
      <c r="I2" s="125">
        <v>0.25</v>
      </c>
      <c r="J2" s="96"/>
      <c r="K2" s="96"/>
      <c r="L2" s="96"/>
      <c r="M2" s="96"/>
      <c r="N2" s="96"/>
      <c r="O2" s="313" t="s">
        <v>238</v>
      </c>
      <c r="P2" s="126">
        <v>0</v>
      </c>
    </row>
    <row r="3" spans="1:16" ht="15" thickBot="1" x14ac:dyDescent="0.35">
      <c r="A3" s="127" t="s">
        <v>2</v>
      </c>
      <c r="B3" s="128" t="s">
        <v>54</v>
      </c>
      <c r="C3" s="129">
        <v>0.64</v>
      </c>
      <c r="D3" s="129" t="s">
        <v>161</v>
      </c>
      <c r="E3" s="129">
        <v>1.56</v>
      </c>
      <c r="F3" s="130" t="s">
        <v>274</v>
      </c>
      <c r="G3" s="131">
        <v>0.43</v>
      </c>
      <c r="H3" s="129" t="s">
        <v>278</v>
      </c>
      <c r="I3" s="132">
        <v>0.25</v>
      </c>
      <c r="J3" s="96"/>
      <c r="K3" s="96"/>
      <c r="L3" s="96"/>
      <c r="M3" s="96"/>
      <c r="N3" s="96"/>
      <c r="O3" s="314"/>
      <c r="P3" s="133">
        <v>0.2</v>
      </c>
    </row>
    <row r="4" spans="1:16" ht="15" thickBot="1" x14ac:dyDescent="0.35">
      <c r="A4" s="127" t="s">
        <v>98</v>
      </c>
      <c r="B4" s="128" t="s">
        <v>99</v>
      </c>
      <c r="C4" s="129">
        <v>0.42</v>
      </c>
      <c r="D4" s="129" t="s">
        <v>161</v>
      </c>
      <c r="E4" s="129">
        <v>1.56</v>
      </c>
      <c r="F4" s="130" t="s">
        <v>274</v>
      </c>
      <c r="G4" s="131">
        <v>0.43</v>
      </c>
      <c r="H4" s="129" t="s">
        <v>278</v>
      </c>
      <c r="I4" s="132">
        <v>0.25</v>
      </c>
      <c r="J4" s="96"/>
      <c r="K4" s="96"/>
      <c r="L4" s="96"/>
      <c r="M4" s="96"/>
      <c r="N4" s="96"/>
    </row>
    <row r="5" spans="1:16" x14ac:dyDescent="0.3">
      <c r="A5" s="127" t="s">
        <v>4</v>
      </c>
      <c r="B5" s="128" t="s">
        <v>55</v>
      </c>
      <c r="C5" s="129">
        <v>0.42</v>
      </c>
      <c r="D5" s="129" t="s">
        <v>161</v>
      </c>
      <c r="E5" s="129">
        <v>1.56</v>
      </c>
      <c r="F5" s="130" t="s">
        <v>274</v>
      </c>
      <c r="G5" s="131">
        <v>0.43</v>
      </c>
      <c r="H5" s="129" t="s">
        <v>278</v>
      </c>
      <c r="I5" s="132">
        <v>0.25</v>
      </c>
      <c r="J5" s="96"/>
      <c r="K5" s="96"/>
      <c r="L5" s="96"/>
      <c r="M5" s="96"/>
      <c r="N5" s="96"/>
      <c r="O5" s="313" t="s">
        <v>237</v>
      </c>
      <c r="P5" s="126">
        <v>0</v>
      </c>
    </row>
    <row r="6" spans="1:16" x14ac:dyDescent="0.3">
      <c r="A6" s="127" t="s">
        <v>3</v>
      </c>
      <c r="B6" s="128" t="s">
        <v>97</v>
      </c>
      <c r="C6" s="129">
        <v>0.42</v>
      </c>
      <c r="D6" s="129" t="s">
        <v>161</v>
      </c>
      <c r="E6" s="129">
        <v>1.56</v>
      </c>
      <c r="F6" s="130" t="s">
        <v>274</v>
      </c>
      <c r="G6" s="131">
        <v>0.43</v>
      </c>
      <c r="H6" s="129" t="s">
        <v>278</v>
      </c>
      <c r="I6" s="132">
        <v>0.25</v>
      </c>
      <c r="J6" s="96"/>
      <c r="K6" s="96"/>
      <c r="L6" s="96"/>
      <c r="M6" s="96"/>
      <c r="N6" s="96"/>
      <c r="O6" s="315"/>
      <c r="P6" s="134">
        <v>0.05</v>
      </c>
    </row>
    <row r="7" spans="1:16" x14ac:dyDescent="0.3">
      <c r="A7" s="127" t="s">
        <v>5</v>
      </c>
      <c r="B7" s="128" t="s">
        <v>56</v>
      </c>
      <c r="C7" s="129">
        <v>0.52</v>
      </c>
      <c r="D7" s="129" t="s">
        <v>161</v>
      </c>
      <c r="E7" s="129">
        <v>1.56</v>
      </c>
      <c r="F7" s="130" t="s">
        <v>274</v>
      </c>
      <c r="G7" s="131">
        <v>0.43</v>
      </c>
      <c r="H7" s="129" t="s">
        <v>278</v>
      </c>
      <c r="I7" s="132">
        <v>0.25</v>
      </c>
      <c r="J7" s="96"/>
      <c r="K7" s="96"/>
      <c r="L7" s="96"/>
      <c r="M7" s="96"/>
      <c r="N7" s="96"/>
      <c r="O7" s="315"/>
      <c r="P7" s="134">
        <v>0.1</v>
      </c>
    </row>
    <row r="8" spans="1:16" ht="15" thickBot="1" x14ac:dyDescent="0.35">
      <c r="A8" s="127" t="s">
        <v>164</v>
      </c>
      <c r="B8" s="128" t="s">
        <v>57</v>
      </c>
      <c r="C8" s="129">
        <v>0.36</v>
      </c>
      <c r="D8" s="129" t="s">
        <v>161</v>
      </c>
      <c r="E8" s="129">
        <v>1.3</v>
      </c>
      <c r="F8" s="130" t="s">
        <v>274</v>
      </c>
      <c r="G8" s="131">
        <v>0.55000000000000004</v>
      </c>
      <c r="H8" s="129" t="s">
        <v>153</v>
      </c>
      <c r="I8" s="132">
        <v>0.43</v>
      </c>
      <c r="J8" s="96"/>
      <c r="K8" s="96"/>
      <c r="L8" s="96"/>
      <c r="M8" s="96"/>
      <c r="N8" s="96"/>
      <c r="O8" s="314"/>
      <c r="P8" s="133">
        <v>0.15</v>
      </c>
    </row>
    <row r="9" spans="1:16" ht="15" thickBot="1" x14ac:dyDescent="0.35">
      <c r="A9" s="127" t="s">
        <v>6</v>
      </c>
      <c r="B9" s="128" t="s">
        <v>58</v>
      </c>
      <c r="C9" s="129">
        <v>0.61</v>
      </c>
      <c r="D9" s="129" t="s">
        <v>161</v>
      </c>
      <c r="E9" s="129">
        <v>1.56</v>
      </c>
      <c r="F9" s="130" t="s">
        <v>274</v>
      </c>
      <c r="G9" s="131">
        <v>0.43</v>
      </c>
      <c r="H9" s="129" t="s">
        <v>278</v>
      </c>
      <c r="I9" s="132">
        <v>0.25</v>
      </c>
      <c r="J9" s="96"/>
      <c r="K9" s="96"/>
      <c r="L9" s="96"/>
      <c r="M9" s="96"/>
      <c r="N9" s="96"/>
    </row>
    <row r="10" spans="1:16" x14ac:dyDescent="0.3">
      <c r="A10" s="127" t="s">
        <v>7</v>
      </c>
      <c r="B10" s="128" t="s">
        <v>59</v>
      </c>
      <c r="C10" s="129">
        <v>0.66</v>
      </c>
      <c r="D10" s="129" t="s">
        <v>161</v>
      </c>
      <c r="E10" s="129">
        <v>1.56</v>
      </c>
      <c r="F10" s="130" t="s">
        <v>274</v>
      </c>
      <c r="G10" s="131">
        <v>0.43</v>
      </c>
      <c r="H10" s="129" t="s">
        <v>278</v>
      </c>
      <c r="I10" s="132">
        <v>0.25</v>
      </c>
      <c r="J10" s="96"/>
      <c r="K10" s="96"/>
      <c r="L10" s="96"/>
      <c r="M10" s="96"/>
      <c r="N10" s="96"/>
      <c r="O10" s="313" t="s">
        <v>236</v>
      </c>
      <c r="P10" s="126">
        <v>0</v>
      </c>
    </row>
    <row r="11" spans="1:16" ht="15" thickBot="1" x14ac:dyDescent="0.35">
      <c r="A11" s="127" t="s">
        <v>8</v>
      </c>
      <c r="B11" s="128" t="s">
        <v>60</v>
      </c>
      <c r="C11" s="129">
        <v>0.47</v>
      </c>
      <c r="D11" s="129" t="s">
        <v>161</v>
      </c>
      <c r="E11" s="129">
        <v>1.56</v>
      </c>
      <c r="F11" s="130" t="s">
        <v>274</v>
      </c>
      <c r="G11" s="131">
        <v>0.43</v>
      </c>
      <c r="H11" s="129" t="s">
        <v>278</v>
      </c>
      <c r="I11" s="132">
        <v>0.25</v>
      </c>
      <c r="J11" s="96"/>
      <c r="K11" s="96"/>
      <c r="L11" s="96"/>
      <c r="M11" s="96"/>
      <c r="N11" s="96"/>
      <c r="O11" s="314"/>
      <c r="P11" s="133">
        <v>0.1</v>
      </c>
    </row>
    <row r="12" spans="1:16" x14ac:dyDescent="0.3">
      <c r="A12" s="127" t="s">
        <v>9</v>
      </c>
      <c r="B12" s="128" t="s">
        <v>61</v>
      </c>
      <c r="C12" s="129">
        <v>0.67</v>
      </c>
      <c r="D12" s="129" t="s">
        <v>161</v>
      </c>
      <c r="E12" s="129">
        <v>1.56</v>
      </c>
      <c r="F12" s="130" t="s">
        <v>274</v>
      </c>
      <c r="G12" s="131">
        <v>0.43</v>
      </c>
      <c r="H12" s="129" t="s">
        <v>152</v>
      </c>
      <c r="I12" s="132">
        <v>0.25</v>
      </c>
      <c r="J12" s="96"/>
      <c r="K12" s="96"/>
      <c r="L12" s="96"/>
      <c r="M12" s="96"/>
      <c r="N12" s="96"/>
    </row>
    <row r="13" spans="1:16" x14ac:dyDescent="0.3">
      <c r="A13" s="127" t="s">
        <v>10</v>
      </c>
      <c r="B13" s="128" t="s">
        <v>62</v>
      </c>
      <c r="C13" s="129">
        <v>0.7</v>
      </c>
      <c r="D13" s="129" t="s">
        <v>161</v>
      </c>
      <c r="E13" s="129">
        <v>1.56</v>
      </c>
      <c r="F13" s="130" t="s">
        <v>274</v>
      </c>
      <c r="G13" s="131">
        <v>0.43</v>
      </c>
      <c r="H13" s="129" t="s">
        <v>152</v>
      </c>
      <c r="I13" s="132">
        <v>0.25</v>
      </c>
      <c r="J13" s="96"/>
      <c r="K13" s="96"/>
      <c r="L13" s="96"/>
      <c r="M13" s="96"/>
      <c r="N13" s="96"/>
    </row>
    <row r="14" spans="1:16" x14ac:dyDescent="0.3">
      <c r="A14" s="127" t="s">
        <v>11</v>
      </c>
      <c r="B14" s="128" t="s">
        <v>63</v>
      </c>
      <c r="C14" s="129">
        <v>0.54</v>
      </c>
      <c r="D14" s="129" t="s">
        <v>161</v>
      </c>
      <c r="E14" s="129">
        <v>1.56</v>
      </c>
      <c r="F14" s="130" t="s">
        <v>274</v>
      </c>
      <c r="G14" s="131">
        <v>0.43</v>
      </c>
      <c r="H14" s="129" t="s">
        <v>152</v>
      </c>
      <c r="I14" s="132">
        <v>0.25</v>
      </c>
      <c r="J14" s="96"/>
      <c r="K14" s="96"/>
      <c r="L14" s="96"/>
      <c r="M14" s="96"/>
      <c r="N14" s="96"/>
    </row>
    <row r="15" spans="1:16" x14ac:dyDescent="0.3">
      <c r="A15" s="127" t="s">
        <v>12</v>
      </c>
      <c r="B15" s="128" t="s">
        <v>64</v>
      </c>
      <c r="C15" s="129">
        <v>0.65</v>
      </c>
      <c r="D15" s="129" t="s">
        <v>161</v>
      </c>
      <c r="E15" s="129">
        <v>1.56</v>
      </c>
      <c r="F15" s="130" t="s">
        <v>274</v>
      </c>
      <c r="G15" s="131">
        <v>0.43</v>
      </c>
      <c r="H15" s="129" t="s">
        <v>152</v>
      </c>
      <c r="I15" s="132">
        <v>0.25</v>
      </c>
      <c r="J15" s="96"/>
      <c r="K15" s="96"/>
      <c r="L15" s="96"/>
      <c r="M15" s="96"/>
      <c r="N15" s="96"/>
    </row>
    <row r="16" spans="1:16" x14ac:dyDescent="0.3">
      <c r="A16" s="127" t="s">
        <v>13</v>
      </c>
      <c r="B16" s="128" t="s">
        <v>65</v>
      </c>
      <c r="C16" s="129">
        <v>0.56000000000000005</v>
      </c>
      <c r="D16" s="129" t="s">
        <v>161</v>
      </c>
      <c r="E16" s="129">
        <v>1.56</v>
      </c>
      <c r="F16" s="130" t="s">
        <v>274</v>
      </c>
      <c r="G16" s="131">
        <v>0.43</v>
      </c>
      <c r="H16" s="129" t="s">
        <v>152</v>
      </c>
      <c r="I16" s="132">
        <v>0.25</v>
      </c>
      <c r="J16" s="96"/>
      <c r="K16" s="96"/>
      <c r="L16" s="96"/>
      <c r="M16" s="96"/>
      <c r="N16" s="96"/>
    </row>
    <row r="17" spans="1:14" x14ac:dyDescent="0.3">
      <c r="A17" s="127" t="s">
        <v>14</v>
      </c>
      <c r="B17" s="128" t="s">
        <v>66</v>
      </c>
      <c r="C17" s="129">
        <v>0.57999999999999996</v>
      </c>
      <c r="D17" s="129" t="s">
        <v>161</v>
      </c>
      <c r="E17" s="129">
        <v>1.56</v>
      </c>
      <c r="F17" s="130" t="s">
        <v>274</v>
      </c>
      <c r="G17" s="131">
        <v>0.43</v>
      </c>
      <c r="H17" s="129" t="s">
        <v>152</v>
      </c>
      <c r="I17" s="132">
        <v>0.25</v>
      </c>
      <c r="J17" s="96"/>
      <c r="K17" s="96"/>
      <c r="L17" s="96"/>
      <c r="M17" s="96"/>
      <c r="N17" s="96"/>
    </row>
    <row r="18" spans="1:14" x14ac:dyDescent="0.3">
      <c r="A18" s="127" t="s">
        <v>15</v>
      </c>
      <c r="B18" s="128" t="s">
        <v>67</v>
      </c>
      <c r="C18" s="129">
        <v>0.64</v>
      </c>
      <c r="D18" s="129" t="s">
        <v>161</v>
      </c>
      <c r="E18" s="129">
        <v>1.56</v>
      </c>
      <c r="F18" s="130" t="s">
        <v>274</v>
      </c>
      <c r="G18" s="131">
        <v>0.43</v>
      </c>
      <c r="H18" s="129" t="s">
        <v>152</v>
      </c>
      <c r="I18" s="132">
        <v>0.25</v>
      </c>
      <c r="J18" s="96"/>
      <c r="K18" s="96"/>
      <c r="L18" s="96"/>
      <c r="M18" s="96"/>
      <c r="N18" s="96"/>
    </row>
    <row r="19" spans="1:14" x14ac:dyDescent="0.3">
      <c r="A19" s="127" t="s">
        <v>16</v>
      </c>
      <c r="B19" s="128" t="s">
        <v>68</v>
      </c>
      <c r="C19" s="129">
        <v>0.73</v>
      </c>
      <c r="D19" s="129" t="s">
        <v>161</v>
      </c>
      <c r="E19" s="129">
        <v>1.56</v>
      </c>
      <c r="F19" s="130" t="s">
        <v>274</v>
      </c>
      <c r="G19" s="131">
        <v>0.43</v>
      </c>
      <c r="H19" s="129" t="s">
        <v>152</v>
      </c>
      <c r="I19" s="132">
        <v>0.25</v>
      </c>
      <c r="J19" s="96"/>
      <c r="K19" s="96"/>
      <c r="L19" s="96"/>
      <c r="M19" s="96"/>
      <c r="N19" s="96"/>
    </row>
    <row r="20" spans="1:14" x14ac:dyDescent="0.3">
      <c r="A20" s="127" t="s">
        <v>52</v>
      </c>
      <c r="B20" s="128" t="s">
        <v>69</v>
      </c>
      <c r="C20" s="129">
        <v>0.69</v>
      </c>
      <c r="D20" s="129" t="s">
        <v>131</v>
      </c>
      <c r="E20" s="129">
        <v>1.56</v>
      </c>
      <c r="F20" s="130" t="s">
        <v>274</v>
      </c>
      <c r="G20" s="131">
        <v>0.43</v>
      </c>
      <c r="H20" s="129" t="s">
        <v>282</v>
      </c>
      <c r="I20" s="132">
        <v>0.25</v>
      </c>
      <c r="J20" s="96"/>
      <c r="K20" s="96"/>
      <c r="L20" s="96"/>
      <c r="M20" s="96"/>
      <c r="N20" s="96"/>
    </row>
    <row r="21" spans="1:14" x14ac:dyDescent="0.3">
      <c r="A21" s="127" t="s">
        <v>154</v>
      </c>
      <c r="B21" s="128" t="s">
        <v>155</v>
      </c>
      <c r="C21" s="129">
        <v>0.36</v>
      </c>
      <c r="D21" s="129" t="s">
        <v>161</v>
      </c>
      <c r="E21" s="129">
        <v>1.3</v>
      </c>
      <c r="F21" s="130" t="s">
        <v>274</v>
      </c>
      <c r="G21" s="131">
        <v>0.55000000000000004</v>
      </c>
      <c r="H21" s="129" t="s">
        <v>153</v>
      </c>
      <c r="I21" s="132">
        <v>0.43</v>
      </c>
      <c r="J21" s="96"/>
      <c r="K21" s="96"/>
      <c r="L21" s="96"/>
      <c r="M21" s="96"/>
      <c r="N21" s="96"/>
    </row>
    <row r="22" spans="1:14" x14ac:dyDescent="0.3">
      <c r="A22" s="127" t="s">
        <v>17</v>
      </c>
      <c r="B22" s="128" t="s">
        <v>70</v>
      </c>
      <c r="C22" s="129">
        <v>0.4</v>
      </c>
      <c r="D22" s="129" t="s">
        <v>161</v>
      </c>
      <c r="E22" s="129">
        <v>1.3</v>
      </c>
      <c r="F22" s="130" t="s">
        <v>274</v>
      </c>
      <c r="G22" s="131">
        <v>0.55000000000000004</v>
      </c>
      <c r="H22" s="129" t="s">
        <v>153</v>
      </c>
      <c r="I22" s="132">
        <v>0.43</v>
      </c>
      <c r="J22" s="96"/>
      <c r="K22" s="96"/>
      <c r="L22" s="96"/>
      <c r="M22" s="96"/>
      <c r="N22" s="96"/>
    </row>
    <row r="23" spans="1:14" x14ac:dyDescent="0.3">
      <c r="A23" s="127" t="s">
        <v>18</v>
      </c>
      <c r="B23" s="128" t="s">
        <v>71</v>
      </c>
      <c r="C23" s="129">
        <v>0.43</v>
      </c>
      <c r="D23" s="129" t="s">
        <v>161</v>
      </c>
      <c r="E23" s="129">
        <v>1.3</v>
      </c>
      <c r="F23" s="130" t="s">
        <v>274</v>
      </c>
      <c r="G23" s="131">
        <v>0.55000000000000004</v>
      </c>
      <c r="H23" s="129" t="s">
        <v>153</v>
      </c>
      <c r="I23" s="132">
        <v>0.43</v>
      </c>
      <c r="J23" s="96"/>
      <c r="K23" s="96"/>
      <c r="L23" s="96"/>
      <c r="M23" s="96"/>
      <c r="N23" s="96"/>
    </row>
    <row r="24" spans="1:14" x14ac:dyDescent="0.3">
      <c r="A24" s="127" t="s">
        <v>19</v>
      </c>
      <c r="B24" s="128" t="s">
        <v>72</v>
      </c>
      <c r="C24" s="129">
        <v>0.37</v>
      </c>
      <c r="D24" s="129" t="s">
        <v>161</v>
      </c>
      <c r="E24" s="129">
        <v>1.3</v>
      </c>
      <c r="F24" s="130" t="s">
        <v>274</v>
      </c>
      <c r="G24" s="131">
        <v>0.55000000000000004</v>
      </c>
      <c r="H24" s="129" t="s">
        <v>152</v>
      </c>
      <c r="I24" s="132">
        <v>0.43</v>
      </c>
      <c r="J24" s="96"/>
      <c r="K24" s="96"/>
      <c r="L24" s="96"/>
      <c r="M24" s="96"/>
      <c r="N24" s="96"/>
    </row>
    <row r="25" spans="1:14" x14ac:dyDescent="0.3">
      <c r="A25" s="127" t="s">
        <v>20</v>
      </c>
      <c r="B25" s="128" t="s">
        <v>73</v>
      </c>
      <c r="C25" s="129">
        <v>0.36</v>
      </c>
      <c r="D25" s="129" t="s">
        <v>161</v>
      </c>
      <c r="E25" s="129">
        <v>1.3</v>
      </c>
      <c r="F25" s="130" t="s">
        <v>274</v>
      </c>
      <c r="G25" s="131">
        <v>0.55000000000000004</v>
      </c>
      <c r="H25" s="129" t="s">
        <v>152</v>
      </c>
      <c r="I25" s="132">
        <v>0.43</v>
      </c>
      <c r="J25" s="96"/>
      <c r="K25" s="96"/>
      <c r="L25" s="96"/>
      <c r="M25" s="96"/>
      <c r="N25" s="96"/>
    </row>
    <row r="26" spans="1:14" x14ac:dyDescent="0.3">
      <c r="A26" s="127" t="s">
        <v>21</v>
      </c>
      <c r="B26" s="128" t="s">
        <v>74</v>
      </c>
      <c r="C26" s="129">
        <v>0.56000000000000005</v>
      </c>
      <c r="D26" s="129" t="s">
        <v>161</v>
      </c>
      <c r="E26" s="129">
        <v>1.56</v>
      </c>
      <c r="F26" s="130" t="s">
        <v>274</v>
      </c>
      <c r="G26" s="131">
        <v>0.53</v>
      </c>
      <c r="H26" s="129" t="s">
        <v>275</v>
      </c>
      <c r="I26" s="132">
        <v>0.25</v>
      </c>
      <c r="J26" s="96"/>
      <c r="K26" s="96"/>
      <c r="L26" s="96"/>
      <c r="M26" s="96"/>
      <c r="N26" s="96"/>
    </row>
    <row r="27" spans="1:14" x14ac:dyDescent="0.3">
      <c r="A27" s="127" t="s">
        <v>22</v>
      </c>
      <c r="B27" s="128" t="s">
        <v>75</v>
      </c>
      <c r="C27" s="129">
        <v>0.51</v>
      </c>
      <c r="D27" s="129" t="s">
        <v>161</v>
      </c>
      <c r="E27" s="129">
        <v>1.56</v>
      </c>
      <c r="F27" s="130" t="s">
        <v>274</v>
      </c>
      <c r="G27" s="131">
        <v>0.53</v>
      </c>
      <c r="H27" s="129" t="s">
        <v>275</v>
      </c>
      <c r="I27" s="132">
        <v>0.25</v>
      </c>
      <c r="J27" s="96"/>
      <c r="K27" s="96"/>
      <c r="L27" s="96"/>
      <c r="M27" s="96"/>
      <c r="N27" s="96"/>
    </row>
    <row r="28" spans="1:14" x14ac:dyDescent="0.3">
      <c r="A28" s="127" t="s">
        <v>23</v>
      </c>
      <c r="B28" s="128" t="s">
        <v>76</v>
      </c>
      <c r="C28" s="129">
        <v>0.51</v>
      </c>
      <c r="D28" s="129" t="s">
        <v>161</v>
      </c>
      <c r="E28" s="129">
        <v>1.56</v>
      </c>
      <c r="F28" s="130" t="s">
        <v>274</v>
      </c>
      <c r="G28" s="131">
        <v>0.53</v>
      </c>
      <c r="H28" s="129" t="s">
        <v>275</v>
      </c>
      <c r="I28" s="132">
        <v>0.25</v>
      </c>
      <c r="J28" s="96"/>
      <c r="K28" s="96"/>
      <c r="L28" s="96"/>
      <c r="M28" s="96"/>
      <c r="N28" s="96"/>
    </row>
    <row r="29" spans="1:14" x14ac:dyDescent="0.3">
      <c r="A29" s="127" t="s">
        <v>24</v>
      </c>
      <c r="B29" s="128" t="s">
        <v>24</v>
      </c>
      <c r="C29" s="129">
        <v>0.56000000000000005</v>
      </c>
      <c r="D29" s="129" t="s">
        <v>161</v>
      </c>
      <c r="E29" s="129">
        <v>1.56</v>
      </c>
      <c r="F29" s="130" t="s">
        <v>274</v>
      </c>
      <c r="G29" s="131">
        <v>0.53</v>
      </c>
      <c r="H29" s="129" t="s">
        <v>275</v>
      </c>
      <c r="I29" s="132">
        <v>0.25</v>
      </c>
      <c r="J29" s="96"/>
      <c r="K29" s="96"/>
      <c r="L29" s="96"/>
      <c r="M29" s="96"/>
      <c r="N29" s="96"/>
    </row>
    <row r="30" spans="1:14" x14ac:dyDescent="0.3">
      <c r="A30" s="127" t="s">
        <v>25</v>
      </c>
      <c r="B30" s="128" t="s">
        <v>77</v>
      </c>
      <c r="C30" s="129">
        <v>0.55000000000000004</v>
      </c>
      <c r="D30" s="129" t="s">
        <v>161</v>
      </c>
      <c r="E30" s="129">
        <v>1.56</v>
      </c>
      <c r="F30" s="130" t="s">
        <v>274</v>
      </c>
      <c r="G30" s="131">
        <v>0.53</v>
      </c>
      <c r="H30" s="129" t="s">
        <v>152</v>
      </c>
      <c r="I30" s="132">
        <v>0.25</v>
      </c>
      <c r="J30" s="96"/>
      <c r="K30" s="96"/>
      <c r="L30" s="96"/>
      <c r="M30" s="96"/>
      <c r="N30" s="96"/>
    </row>
    <row r="31" spans="1:14" x14ac:dyDescent="0.3">
      <c r="A31" s="127" t="s">
        <v>26</v>
      </c>
      <c r="B31" s="128" t="s">
        <v>78</v>
      </c>
      <c r="C31" s="129">
        <v>0.56000000000000005</v>
      </c>
      <c r="D31" s="129" t="s">
        <v>161</v>
      </c>
      <c r="E31" s="129">
        <v>1.56</v>
      </c>
      <c r="F31" s="130" t="s">
        <v>274</v>
      </c>
      <c r="G31" s="131">
        <v>0.43</v>
      </c>
      <c r="H31" s="129" t="s">
        <v>278</v>
      </c>
      <c r="I31" s="132">
        <v>0.25</v>
      </c>
      <c r="J31" s="96"/>
      <c r="K31" s="96"/>
      <c r="L31" s="96"/>
      <c r="M31" s="96"/>
      <c r="N31" s="96"/>
    </row>
    <row r="32" spans="1:14" x14ac:dyDescent="0.3">
      <c r="A32" s="127" t="s">
        <v>27</v>
      </c>
      <c r="B32" s="128" t="s">
        <v>79</v>
      </c>
      <c r="C32" s="129">
        <v>0.48</v>
      </c>
      <c r="D32" s="129" t="s">
        <v>161</v>
      </c>
      <c r="E32" s="129">
        <v>1.3</v>
      </c>
      <c r="F32" s="130" t="s">
        <v>274</v>
      </c>
      <c r="G32" s="131">
        <v>0.6</v>
      </c>
      <c r="H32" s="129" t="s">
        <v>281</v>
      </c>
      <c r="I32" s="132">
        <v>0.43</v>
      </c>
      <c r="J32" s="96"/>
      <c r="K32" s="96"/>
      <c r="L32" s="96"/>
      <c r="M32" s="96"/>
      <c r="N32" s="96"/>
    </row>
    <row r="33" spans="1:14" x14ac:dyDescent="0.3">
      <c r="A33" s="127" t="s">
        <v>28</v>
      </c>
      <c r="B33" s="128" t="s">
        <v>80</v>
      </c>
      <c r="C33" s="129">
        <v>0.42</v>
      </c>
      <c r="D33" s="129" t="s">
        <v>161</v>
      </c>
      <c r="E33" s="129">
        <v>1.3</v>
      </c>
      <c r="F33" s="130" t="s">
        <v>274</v>
      </c>
      <c r="G33" s="131">
        <v>0.6</v>
      </c>
      <c r="H33" s="129" t="s">
        <v>281</v>
      </c>
      <c r="I33" s="132">
        <v>0.43</v>
      </c>
      <c r="J33" s="96"/>
      <c r="K33" s="96"/>
      <c r="L33" s="96"/>
      <c r="M33" s="96"/>
      <c r="N33" s="96"/>
    </row>
    <row r="34" spans="1:14" x14ac:dyDescent="0.3">
      <c r="A34" s="127" t="s">
        <v>81</v>
      </c>
      <c r="B34" s="128" t="s">
        <v>163</v>
      </c>
      <c r="C34" s="129">
        <v>0.42</v>
      </c>
      <c r="D34" s="129" t="s">
        <v>103</v>
      </c>
      <c r="E34" s="129">
        <v>1.3</v>
      </c>
      <c r="F34" s="130" t="s">
        <v>274</v>
      </c>
      <c r="G34" s="131">
        <v>0.6</v>
      </c>
      <c r="H34" s="128" t="s">
        <v>280</v>
      </c>
      <c r="I34" s="132">
        <v>0.43</v>
      </c>
      <c r="J34" s="96"/>
      <c r="K34" s="96"/>
      <c r="L34" s="96"/>
      <c r="M34" s="96"/>
      <c r="N34" s="96"/>
    </row>
    <row r="35" spans="1:14" x14ac:dyDescent="0.3">
      <c r="A35" s="127" t="s">
        <v>29</v>
      </c>
      <c r="B35" s="128" t="s">
        <v>82</v>
      </c>
      <c r="C35" s="129">
        <v>0.5</v>
      </c>
      <c r="D35" s="129" t="s">
        <v>161</v>
      </c>
      <c r="E35" s="129">
        <v>1.56</v>
      </c>
      <c r="F35" s="130" t="s">
        <v>274</v>
      </c>
      <c r="G35" s="131">
        <v>0.43</v>
      </c>
      <c r="H35" s="129" t="s">
        <v>278</v>
      </c>
      <c r="I35" s="132">
        <v>0.25</v>
      </c>
      <c r="J35" s="96"/>
      <c r="K35" s="96"/>
      <c r="L35" s="96"/>
      <c r="M35" s="96"/>
      <c r="N35" s="96"/>
    </row>
    <row r="36" spans="1:14" x14ac:dyDescent="0.3">
      <c r="A36" s="127" t="s">
        <v>102</v>
      </c>
      <c r="B36" s="128" t="s">
        <v>101</v>
      </c>
      <c r="C36" s="129">
        <v>0.55000000000000004</v>
      </c>
      <c r="D36" s="129" t="s">
        <v>161</v>
      </c>
      <c r="E36" s="129">
        <v>1.56</v>
      </c>
      <c r="F36" s="130" t="s">
        <v>274</v>
      </c>
      <c r="G36" s="131">
        <v>0.53</v>
      </c>
      <c r="H36" s="129" t="s">
        <v>275</v>
      </c>
      <c r="I36" s="132">
        <v>0.25</v>
      </c>
      <c r="J36" s="96"/>
      <c r="K36" s="96"/>
      <c r="L36" s="96"/>
      <c r="M36" s="96"/>
      <c r="N36" s="96"/>
    </row>
    <row r="37" spans="1:14" x14ac:dyDescent="0.3">
      <c r="A37" s="127" t="s">
        <v>30</v>
      </c>
      <c r="B37" s="128" t="s">
        <v>104</v>
      </c>
      <c r="C37" s="129">
        <v>0.52</v>
      </c>
      <c r="D37" s="129" t="s">
        <v>161</v>
      </c>
      <c r="E37" s="129">
        <v>1.56</v>
      </c>
      <c r="F37" s="130" t="s">
        <v>274</v>
      </c>
      <c r="G37" s="131">
        <v>0.53</v>
      </c>
      <c r="H37" s="129" t="s">
        <v>275</v>
      </c>
      <c r="I37" s="132">
        <v>0.25</v>
      </c>
      <c r="J37" s="96"/>
      <c r="K37" s="96"/>
      <c r="L37" s="96"/>
      <c r="M37" s="96"/>
      <c r="N37" s="96"/>
    </row>
    <row r="38" spans="1:14" x14ac:dyDescent="0.3">
      <c r="A38" s="127" t="s">
        <v>31</v>
      </c>
      <c r="B38" s="128" t="s">
        <v>105</v>
      </c>
      <c r="C38" s="129">
        <v>0.52</v>
      </c>
      <c r="D38" s="129" t="s">
        <v>161</v>
      </c>
      <c r="E38" s="129">
        <v>1.56</v>
      </c>
      <c r="F38" s="130" t="s">
        <v>274</v>
      </c>
      <c r="G38" s="131">
        <v>0.43</v>
      </c>
      <c r="H38" s="129" t="s">
        <v>278</v>
      </c>
      <c r="I38" s="132">
        <v>0.25</v>
      </c>
      <c r="J38" s="96"/>
      <c r="K38" s="96"/>
      <c r="L38" s="96"/>
      <c r="M38" s="96"/>
      <c r="N38" s="96"/>
    </row>
    <row r="39" spans="1:14" x14ac:dyDescent="0.3">
      <c r="A39" s="127" t="s">
        <v>107</v>
      </c>
      <c r="B39" s="128" t="s">
        <v>132</v>
      </c>
      <c r="C39" s="129">
        <v>0.313</v>
      </c>
      <c r="D39" s="129" t="s">
        <v>130</v>
      </c>
      <c r="E39" s="129">
        <v>1.56</v>
      </c>
      <c r="F39" s="130" t="s">
        <v>274</v>
      </c>
      <c r="G39" s="131">
        <v>0.6</v>
      </c>
      <c r="H39" s="129" t="s">
        <v>283</v>
      </c>
      <c r="I39" s="132">
        <v>1.03</v>
      </c>
      <c r="J39" s="96"/>
      <c r="K39" s="96"/>
      <c r="L39" s="96"/>
      <c r="M39" s="96"/>
      <c r="N39" s="96"/>
    </row>
    <row r="40" spans="1:14" x14ac:dyDescent="0.3">
      <c r="A40" s="127" t="s">
        <v>108</v>
      </c>
      <c r="B40" s="128" t="s">
        <v>132</v>
      </c>
      <c r="C40" s="129">
        <v>0.35199999999999998</v>
      </c>
      <c r="D40" s="129" t="s">
        <v>130</v>
      </c>
      <c r="E40" s="129">
        <v>1.56</v>
      </c>
      <c r="F40" s="130" t="s">
        <v>274</v>
      </c>
      <c r="G40" s="131">
        <v>0.6</v>
      </c>
      <c r="H40" s="129" t="s">
        <v>283</v>
      </c>
      <c r="I40" s="132">
        <v>1.03</v>
      </c>
      <c r="J40" s="96"/>
      <c r="K40" s="96"/>
      <c r="L40" s="96"/>
      <c r="M40" s="96"/>
      <c r="N40" s="96"/>
    </row>
    <row r="41" spans="1:14" x14ac:dyDescent="0.3">
      <c r="A41" s="127" t="s">
        <v>121</v>
      </c>
      <c r="B41" s="128" t="s">
        <v>132</v>
      </c>
      <c r="C41" s="129">
        <v>0.32200000000000001</v>
      </c>
      <c r="D41" s="129" t="s">
        <v>130</v>
      </c>
      <c r="E41" s="129">
        <v>1.56</v>
      </c>
      <c r="F41" s="130" t="s">
        <v>274</v>
      </c>
      <c r="G41" s="131">
        <v>0.6</v>
      </c>
      <c r="H41" s="129" t="s">
        <v>283</v>
      </c>
      <c r="I41" s="132">
        <v>1.03</v>
      </c>
      <c r="J41" s="96"/>
      <c r="K41" s="96"/>
      <c r="L41" s="96"/>
      <c r="M41" s="96"/>
      <c r="N41" s="96"/>
    </row>
    <row r="42" spans="1:14" x14ac:dyDescent="0.3">
      <c r="A42" s="127" t="s">
        <v>122</v>
      </c>
      <c r="B42" s="128" t="s">
        <v>132</v>
      </c>
      <c r="C42" s="129">
        <v>0.311</v>
      </c>
      <c r="D42" s="129" t="s">
        <v>130</v>
      </c>
      <c r="E42" s="129">
        <v>1.56</v>
      </c>
      <c r="F42" s="130" t="s">
        <v>274</v>
      </c>
      <c r="G42" s="131">
        <v>0.6</v>
      </c>
      <c r="H42" s="129" t="s">
        <v>283</v>
      </c>
      <c r="I42" s="132">
        <v>1.03</v>
      </c>
      <c r="J42" s="96"/>
      <c r="K42" s="96"/>
      <c r="L42" s="96"/>
      <c r="M42" s="96"/>
      <c r="N42" s="96"/>
    </row>
    <row r="43" spans="1:14" x14ac:dyDescent="0.3">
      <c r="A43" s="127" t="s">
        <v>109</v>
      </c>
      <c r="B43" s="128" t="s">
        <v>132</v>
      </c>
      <c r="C43" s="129">
        <v>0.33900000000000002</v>
      </c>
      <c r="D43" s="129" t="s">
        <v>130</v>
      </c>
      <c r="E43" s="129">
        <v>1.56</v>
      </c>
      <c r="F43" s="130" t="s">
        <v>274</v>
      </c>
      <c r="G43" s="131">
        <v>0.6</v>
      </c>
      <c r="H43" s="129" t="s">
        <v>283</v>
      </c>
      <c r="I43" s="132">
        <v>1.03</v>
      </c>
      <c r="J43" s="96"/>
      <c r="K43" s="96"/>
      <c r="L43" s="96"/>
      <c r="M43" s="96"/>
      <c r="N43" s="96"/>
    </row>
    <row r="44" spans="1:14" x14ac:dyDescent="0.3">
      <c r="A44" s="127" t="s">
        <v>123</v>
      </c>
      <c r="B44" s="128" t="s">
        <v>132</v>
      </c>
      <c r="C44" s="129">
        <v>0.33600000000000002</v>
      </c>
      <c r="D44" s="129" t="s">
        <v>130</v>
      </c>
      <c r="E44" s="129">
        <v>1.56</v>
      </c>
      <c r="F44" s="130" t="s">
        <v>274</v>
      </c>
      <c r="G44" s="131">
        <v>0.6</v>
      </c>
      <c r="H44" s="129" t="s">
        <v>283</v>
      </c>
      <c r="I44" s="132">
        <v>1.03</v>
      </c>
      <c r="J44" s="96"/>
      <c r="K44" s="96"/>
      <c r="L44" s="96"/>
      <c r="M44" s="96"/>
      <c r="N44" s="96"/>
    </row>
    <row r="45" spans="1:14" x14ac:dyDescent="0.3">
      <c r="A45" s="127" t="s">
        <v>110</v>
      </c>
      <c r="B45" s="128" t="s">
        <v>132</v>
      </c>
      <c r="C45" s="129">
        <v>0.32900000000000001</v>
      </c>
      <c r="D45" s="129" t="s">
        <v>130</v>
      </c>
      <c r="E45" s="129">
        <v>1.56</v>
      </c>
      <c r="F45" s="130" t="s">
        <v>274</v>
      </c>
      <c r="G45" s="131">
        <v>0.6</v>
      </c>
      <c r="H45" s="129" t="s">
        <v>283</v>
      </c>
      <c r="I45" s="132">
        <v>1.03</v>
      </c>
      <c r="J45" s="96"/>
      <c r="K45" s="96"/>
      <c r="L45" s="96"/>
      <c r="M45" s="96"/>
      <c r="N45" s="96"/>
    </row>
    <row r="46" spans="1:14" x14ac:dyDescent="0.3">
      <c r="A46" s="127" t="s">
        <v>124</v>
      </c>
      <c r="B46" s="128" t="s">
        <v>132</v>
      </c>
      <c r="C46" s="129">
        <v>0.34300000000000003</v>
      </c>
      <c r="D46" s="129" t="s">
        <v>130</v>
      </c>
      <c r="E46" s="129">
        <v>1.56</v>
      </c>
      <c r="F46" s="130" t="s">
        <v>274</v>
      </c>
      <c r="G46" s="131">
        <v>0.6</v>
      </c>
      <c r="H46" s="129" t="s">
        <v>283</v>
      </c>
      <c r="I46" s="132">
        <v>1.03</v>
      </c>
      <c r="J46" s="96"/>
      <c r="K46" s="96"/>
      <c r="L46" s="96"/>
      <c r="M46" s="96"/>
      <c r="N46" s="96"/>
    </row>
    <row r="47" spans="1:14" x14ac:dyDescent="0.3">
      <c r="A47" s="127" t="s">
        <v>125</v>
      </c>
      <c r="B47" s="128" t="s">
        <v>132</v>
      </c>
      <c r="C47" s="129">
        <v>0.32500000000000001</v>
      </c>
      <c r="D47" s="129" t="s">
        <v>130</v>
      </c>
      <c r="E47" s="129">
        <v>1.56</v>
      </c>
      <c r="F47" s="130" t="s">
        <v>274</v>
      </c>
      <c r="G47" s="131">
        <v>0.6</v>
      </c>
      <c r="H47" s="129" t="s">
        <v>283</v>
      </c>
      <c r="I47" s="132">
        <v>1.03</v>
      </c>
      <c r="J47" s="96"/>
      <c r="K47" s="96"/>
      <c r="L47" s="96"/>
      <c r="M47" s="96"/>
      <c r="N47" s="96"/>
    </row>
    <row r="48" spans="1:14" x14ac:dyDescent="0.3">
      <c r="A48" s="127" t="s">
        <v>126</v>
      </c>
      <c r="B48" s="128" t="s">
        <v>132</v>
      </c>
      <c r="C48" s="129">
        <v>0.32</v>
      </c>
      <c r="D48" s="129" t="s">
        <v>130</v>
      </c>
      <c r="E48" s="129">
        <v>1.56</v>
      </c>
      <c r="F48" s="130" t="s">
        <v>274</v>
      </c>
      <c r="G48" s="131">
        <v>0.6</v>
      </c>
      <c r="H48" s="129" t="s">
        <v>283</v>
      </c>
      <c r="I48" s="132">
        <v>1.03</v>
      </c>
      <c r="J48" s="96"/>
      <c r="K48" s="96"/>
      <c r="L48" s="96"/>
      <c r="M48" s="96"/>
      <c r="N48" s="96"/>
    </row>
    <row r="49" spans="1:14" x14ac:dyDescent="0.3">
      <c r="A49" s="127" t="s">
        <v>111</v>
      </c>
      <c r="B49" s="128" t="s">
        <v>132</v>
      </c>
      <c r="C49" s="129">
        <v>0.28199999999999997</v>
      </c>
      <c r="D49" s="129" t="s">
        <v>130</v>
      </c>
      <c r="E49" s="129">
        <v>1.56</v>
      </c>
      <c r="F49" s="130" t="s">
        <v>274</v>
      </c>
      <c r="G49" s="131">
        <v>0.6</v>
      </c>
      <c r="H49" s="129" t="s">
        <v>283</v>
      </c>
      <c r="I49" s="132">
        <v>1.03</v>
      </c>
      <c r="J49" s="96"/>
      <c r="K49" s="96"/>
      <c r="L49" s="96"/>
      <c r="M49" s="96"/>
      <c r="N49" s="96"/>
    </row>
    <row r="50" spans="1:14" x14ac:dyDescent="0.3">
      <c r="A50" s="127" t="s">
        <v>127</v>
      </c>
      <c r="B50" s="128" t="s">
        <v>132</v>
      </c>
      <c r="C50" s="129">
        <v>0.32800000000000001</v>
      </c>
      <c r="D50" s="129" t="s">
        <v>130</v>
      </c>
      <c r="E50" s="129">
        <v>1.56</v>
      </c>
      <c r="F50" s="130" t="s">
        <v>274</v>
      </c>
      <c r="G50" s="131">
        <v>0.6</v>
      </c>
      <c r="H50" s="129" t="s">
        <v>283</v>
      </c>
      <c r="I50" s="132">
        <v>1.03</v>
      </c>
      <c r="J50" s="96"/>
      <c r="K50" s="96"/>
      <c r="L50" s="96"/>
      <c r="M50" s="96"/>
      <c r="N50" s="96"/>
    </row>
    <row r="51" spans="1:14" x14ac:dyDescent="0.3">
      <c r="A51" s="127" t="s">
        <v>112</v>
      </c>
      <c r="B51" s="128" t="s">
        <v>132</v>
      </c>
      <c r="C51" s="129">
        <v>0.32600000000000001</v>
      </c>
      <c r="D51" s="129" t="s">
        <v>130</v>
      </c>
      <c r="E51" s="129">
        <v>1.56</v>
      </c>
      <c r="F51" s="130" t="s">
        <v>274</v>
      </c>
      <c r="G51" s="131">
        <v>0.6</v>
      </c>
      <c r="H51" s="129" t="s">
        <v>283</v>
      </c>
      <c r="I51" s="132">
        <v>1.03</v>
      </c>
      <c r="J51" s="96"/>
      <c r="K51" s="96"/>
      <c r="L51" s="96"/>
      <c r="M51" s="96"/>
      <c r="N51" s="96"/>
    </row>
    <row r="52" spans="1:14" x14ac:dyDescent="0.3">
      <c r="A52" s="127" t="s">
        <v>113</v>
      </c>
      <c r="B52" s="128" t="s">
        <v>132</v>
      </c>
      <c r="C52" s="129">
        <v>0.35899999999999999</v>
      </c>
      <c r="D52" s="129" t="s">
        <v>130</v>
      </c>
      <c r="E52" s="129">
        <v>1.56</v>
      </c>
      <c r="F52" s="130" t="s">
        <v>274</v>
      </c>
      <c r="G52" s="131">
        <v>0.6</v>
      </c>
      <c r="H52" s="129" t="s">
        <v>283</v>
      </c>
      <c r="I52" s="132">
        <v>1.03</v>
      </c>
      <c r="J52" s="96"/>
      <c r="K52" s="96"/>
      <c r="L52" s="96"/>
      <c r="M52" s="96"/>
      <c r="N52" s="96"/>
    </row>
    <row r="53" spans="1:14" x14ac:dyDescent="0.3">
      <c r="A53" s="127" t="s">
        <v>114</v>
      </c>
      <c r="B53" s="128" t="s">
        <v>132</v>
      </c>
      <c r="C53" s="129">
        <v>0.34599999999999997</v>
      </c>
      <c r="D53" s="129" t="s">
        <v>130</v>
      </c>
      <c r="E53" s="129">
        <v>1.56</v>
      </c>
      <c r="F53" s="130" t="s">
        <v>274</v>
      </c>
      <c r="G53" s="131">
        <v>0.6</v>
      </c>
      <c r="H53" s="129" t="s">
        <v>283</v>
      </c>
      <c r="I53" s="132">
        <v>1.03</v>
      </c>
      <c r="J53" s="96"/>
      <c r="K53" s="96"/>
      <c r="L53" s="96"/>
      <c r="M53" s="96"/>
      <c r="N53" s="96"/>
    </row>
    <row r="54" spans="1:14" x14ac:dyDescent="0.3">
      <c r="A54" s="127" t="s">
        <v>115</v>
      </c>
      <c r="B54" s="128" t="s">
        <v>132</v>
      </c>
      <c r="C54" s="129">
        <v>0.32600000000000001</v>
      </c>
      <c r="D54" s="129" t="s">
        <v>130</v>
      </c>
      <c r="E54" s="129">
        <v>1.56</v>
      </c>
      <c r="F54" s="130" t="s">
        <v>274</v>
      </c>
      <c r="G54" s="131">
        <v>0.6</v>
      </c>
      <c r="H54" s="129" t="s">
        <v>283</v>
      </c>
      <c r="I54" s="132">
        <v>1.03</v>
      </c>
      <c r="J54" s="96"/>
      <c r="K54" s="96"/>
      <c r="L54" s="96"/>
      <c r="M54" s="96"/>
      <c r="N54" s="96"/>
    </row>
    <row r="55" spans="1:14" x14ac:dyDescent="0.3">
      <c r="A55" s="127" t="s">
        <v>116</v>
      </c>
      <c r="B55" s="128" t="s">
        <v>132</v>
      </c>
      <c r="C55" s="129">
        <v>0.30499999999999999</v>
      </c>
      <c r="D55" s="129" t="s">
        <v>130</v>
      </c>
      <c r="E55" s="129">
        <v>1.56</v>
      </c>
      <c r="F55" s="130" t="s">
        <v>274</v>
      </c>
      <c r="G55" s="131">
        <v>0.6</v>
      </c>
      <c r="H55" s="129" t="s">
        <v>283</v>
      </c>
      <c r="I55" s="132">
        <v>1.03</v>
      </c>
      <c r="J55" s="96"/>
      <c r="K55" s="96"/>
      <c r="L55" s="96"/>
      <c r="M55" s="96"/>
      <c r="N55" s="96"/>
    </row>
    <row r="56" spans="1:14" x14ac:dyDescent="0.3">
      <c r="A56" s="127" t="s">
        <v>128</v>
      </c>
      <c r="B56" s="128" t="s">
        <v>132</v>
      </c>
      <c r="C56" s="129">
        <v>0.32300000000000001</v>
      </c>
      <c r="D56" s="129" t="s">
        <v>130</v>
      </c>
      <c r="E56" s="129">
        <v>1.56</v>
      </c>
      <c r="F56" s="130" t="s">
        <v>274</v>
      </c>
      <c r="G56" s="131">
        <v>0.6</v>
      </c>
      <c r="H56" s="129" t="s">
        <v>283</v>
      </c>
      <c r="I56" s="132">
        <v>1.03</v>
      </c>
      <c r="J56" s="96"/>
      <c r="K56" s="96"/>
      <c r="L56" s="96"/>
      <c r="M56" s="96"/>
      <c r="N56" s="96"/>
    </row>
    <row r="57" spans="1:14" x14ac:dyDescent="0.3">
      <c r="A57" s="127" t="s">
        <v>129</v>
      </c>
      <c r="B57" s="128" t="s">
        <v>132</v>
      </c>
      <c r="C57" s="129">
        <v>0.36699999999999999</v>
      </c>
      <c r="D57" s="129" t="s">
        <v>130</v>
      </c>
      <c r="E57" s="129">
        <v>1.56</v>
      </c>
      <c r="F57" s="130" t="s">
        <v>274</v>
      </c>
      <c r="G57" s="131">
        <v>0.6</v>
      </c>
      <c r="H57" s="129" t="s">
        <v>283</v>
      </c>
      <c r="I57" s="132">
        <v>1.03</v>
      </c>
      <c r="J57" s="96"/>
      <c r="K57" s="96"/>
      <c r="L57" s="96"/>
      <c r="M57" s="96"/>
      <c r="N57" s="96"/>
    </row>
    <row r="58" spans="1:14" x14ac:dyDescent="0.3">
      <c r="A58" s="127" t="s">
        <v>117</v>
      </c>
      <c r="B58" s="128" t="s">
        <v>132</v>
      </c>
      <c r="C58" s="129">
        <v>0.36</v>
      </c>
      <c r="D58" s="129" t="s">
        <v>130</v>
      </c>
      <c r="E58" s="129">
        <v>1.56</v>
      </c>
      <c r="F58" s="130" t="s">
        <v>274</v>
      </c>
      <c r="G58" s="131">
        <v>0.6</v>
      </c>
      <c r="H58" s="129" t="s">
        <v>283</v>
      </c>
      <c r="I58" s="132">
        <v>1.03</v>
      </c>
      <c r="J58" s="96"/>
      <c r="K58" s="96"/>
      <c r="L58" s="96"/>
      <c r="M58" s="96"/>
      <c r="N58" s="96"/>
    </row>
    <row r="59" spans="1:14" x14ac:dyDescent="0.3">
      <c r="A59" s="127" t="s">
        <v>118</v>
      </c>
      <c r="B59" s="128" t="s">
        <v>132</v>
      </c>
      <c r="C59" s="129">
        <v>0.36799999999999999</v>
      </c>
      <c r="D59" s="129" t="s">
        <v>130</v>
      </c>
      <c r="E59" s="129">
        <v>1.56</v>
      </c>
      <c r="F59" s="130" t="s">
        <v>274</v>
      </c>
      <c r="G59" s="131">
        <v>0.6</v>
      </c>
      <c r="H59" s="129" t="s">
        <v>283</v>
      </c>
      <c r="I59" s="132">
        <v>1.03</v>
      </c>
      <c r="J59" s="96"/>
      <c r="K59" s="96"/>
      <c r="L59" s="96"/>
      <c r="M59" s="96"/>
      <c r="N59" s="96"/>
    </row>
    <row r="60" spans="1:14" x14ac:dyDescent="0.3">
      <c r="A60" s="127" t="s">
        <v>119</v>
      </c>
      <c r="B60" s="128" t="s">
        <v>132</v>
      </c>
      <c r="C60" s="129">
        <v>0.30599999999999999</v>
      </c>
      <c r="D60" s="129" t="s">
        <v>130</v>
      </c>
      <c r="E60" s="129">
        <v>1.56</v>
      </c>
      <c r="F60" s="130" t="s">
        <v>274</v>
      </c>
      <c r="G60" s="131">
        <v>0.6</v>
      </c>
      <c r="H60" s="129" t="s">
        <v>283</v>
      </c>
      <c r="I60" s="132">
        <v>1.03</v>
      </c>
      <c r="J60" s="96"/>
      <c r="K60" s="96"/>
      <c r="L60" s="96"/>
      <c r="M60" s="96"/>
      <c r="N60" s="96"/>
    </row>
    <row r="61" spans="1:14" x14ac:dyDescent="0.3">
      <c r="A61" s="127" t="s">
        <v>120</v>
      </c>
      <c r="B61" s="128" t="s">
        <v>132</v>
      </c>
      <c r="C61" s="129">
        <v>0.313</v>
      </c>
      <c r="D61" s="129" t="s">
        <v>130</v>
      </c>
      <c r="E61" s="129">
        <v>1.56</v>
      </c>
      <c r="F61" s="130" t="s">
        <v>274</v>
      </c>
      <c r="G61" s="131">
        <v>0.6</v>
      </c>
      <c r="H61" s="129" t="s">
        <v>283</v>
      </c>
      <c r="I61" s="132">
        <v>1.03</v>
      </c>
      <c r="J61" s="96"/>
      <c r="K61" s="96"/>
      <c r="L61" s="96"/>
      <c r="M61" s="96"/>
      <c r="N61" s="96"/>
    </row>
    <row r="62" spans="1:14" x14ac:dyDescent="0.3">
      <c r="A62" s="127" t="s">
        <v>32</v>
      </c>
      <c r="B62" s="128" t="s">
        <v>133</v>
      </c>
      <c r="C62" s="129">
        <v>0.37</v>
      </c>
      <c r="D62" s="129" t="s">
        <v>161</v>
      </c>
      <c r="E62" s="129">
        <v>1.56</v>
      </c>
      <c r="F62" s="130" t="s">
        <v>274</v>
      </c>
      <c r="G62" s="131">
        <v>0.6</v>
      </c>
      <c r="H62" s="129" t="s">
        <v>283</v>
      </c>
      <c r="I62" s="132">
        <v>1.03</v>
      </c>
      <c r="J62" s="96"/>
      <c r="K62" s="96"/>
      <c r="L62" s="96"/>
      <c r="M62" s="96"/>
      <c r="N62" s="96"/>
    </row>
    <row r="63" spans="1:14" x14ac:dyDescent="0.3">
      <c r="A63" s="127" t="s">
        <v>90</v>
      </c>
      <c r="B63" s="128" t="s">
        <v>83</v>
      </c>
      <c r="C63" s="129">
        <v>0.45</v>
      </c>
      <c r="D63" s="129" t="s">
        <v>161</v>
      </c>
      <c r="E63" s="129">
        <v>1.3</v>
      </c>
      <c r="F63" s="130" t="s">
        <v>274</v>
      </c>
      <c r="G63" s="131">
        <v>0.45</v>
      </c>
      <c r="H63" s="129" t="s">
        <v>276</v>
      </c>
      <c r="I63" s="132">
        <v>0.43</v>
      </c>
      <c r="J63" s="96"/>
      <c r="K63" s="96"/>
      <c r="L63" s="96"/>
      <c r="M63" s="96"/>
      <c r="N63" s="96"/>
    </row>
    <row r="64" spans="1:14" x14ac:dyDescent="0.3">
      <c r="A64" s="127" t="s">
        <v>33</v>
      </c>
      <c r="B64" s="128" t="s">
        <v>134</v>
      </c>
      <c r="C64" s="129">
        <v>0.39</v>
      </c>
      <c r="D64" s="129" t="s">
        <v>161</v>
      </c>
      <c r="E64" s="129">
        <v>1.3</v>
      </c>
      <c r="F64" s="130" t="s">
        <v>274</v>
      </c>
      <c r="G64" s="131">
        <v>0.45</v>
      </c>
      <c r="H64" s="129" t="s">
        <v>276</v>
      </c>
      <c r="I64" s="132">
        <v>0.43</v>
      </c>
      <c r="J64" s="96"/>
      <c r="K64" s="96"/>
      <c r="L64" s="96"/>
      <c r="M64" s="96"/>
      <c r="N64" s="96"/>
    </row>
    <row r="65" spans="1:14" x14ac:dyDescent="0.3">
      <c r="A65" s="127" t="s">
        <v>34</v>
      </c>
      <c r="B65" s="128" t="s">
        <v>135</v>
      </c>
      <c r="C65" s="129">
        <v>0.44</v>
      </c>
      <c r="D65" s="129" t="s">
        <v>161</v>
      </c>
      <c r="E65" s="129">
        <v>1.3</v>
      </c>
      <c r="F65" s="130" t="s">
        <v>274</v>
      </c>
      <c r="G65" s="131">
        <v>0.45</v>
      </c>
      <c r="H65" s="129" t="s">
        <v>276</v>
      </c>
      <c r="I65" s="132">
        <v>0.43</v>
      </c>
      <c r="J65" s="96"/>
      <c r="K65" s="96"/>
      <c r="L65" s="96"/>
      <c r="M65" s="96"/>
      <c r="N65" s="96"/>
    </row>
    <row r="66" spans="1:14" x14ac:dyDescent="0.3">
      <c r="A66" s="127" t="s">
        <v>35</v>
      </c>
      <c r="B66" s="128" t="s">
        <v>84</v>
      </c>
      <c r="C66" s="129">
        <v>0.46</v>
      </c>
      <c r="D66" s="129" t="s">
        <v>161</v>
      </c>
      <c r="E66" s="129">
        <v>1.3</v>
      </c>
      <c r="F66" s="130" t="s">
        <v>274</v>
      </c>
      <c r="G66" s="131">
        <v>0.45</v>
      </c>
      <c r="H66" s="129" t="s">
        <v>276</v>
      </c>
      <c r="I66" s="132">
        <v>0.43</v>
      </c>
      <c r="J66" s="96"/>
      <c r="K66" s="96"/>
      <c r="L66" s="96"/>
      <c r="M66" s="96"/>
      <c r="N66" s="96"/>
    </row>
    <row r="67" spans="1:14" x14ac:dyDescent="0.3">
      <c r="A67" s="127" t="s">
        <v>36</v>
      </c>
      <c r="B67" s="128" t="s">
        <v>85</v>
      </c>
      <c r="C67" s="129">
        <v>0.46</v>
      </c>
      <c r="D67" s="129" t="s">
        <v>161</v>
      </c>
      <c r="E67" s="129">
        <v>1.3</v>
      </c>
      <c r="F67" s="130" t="s">
        <v>274</v>
      </c>
      <c r="G67" s="131">
        <v>0.45</v>
      </c>
      <c r="H67" s="129" t="s">
        <v>152</v>
      </c>
      <c r="I67" s="132">
        <v>0.59</v>
      </c>
      <c r="J67" s="96"/>
      <c r="K67" s="96"/>
      <c r="L67" s="96"/>
      <c r="M67" s="96"/>
      <c r="N67" s="96"/>
    </row>
    <row r="68" spans="1:14" x14ac:dyDescent="0.3">
      <c r="A68" s="127" t="s">
        <v>37</v>
      </c>
      <c r="B68" s="128" t="s">
        <v>136</v>
      </c>
      <c r="C68" s="129">
        <v>0.44</v>
      </c>
      <c r="D68" s="129" t="s">
        <v>161</v>
      </c>
      <c r="E68" s="129">
        <v>1.3</v>
      </c>
      <c r="F68" s="130" t="s">
        <v>274</v>
      </c>
      <c r="G68" s="131">
        <v>0.45</v>
      </c>
      <c r="H68" s="129" t="s">
        <v>276</v>
      </c>
      <c r="I68" s="132">
        <v>0.43</v>
      </c>
      <c r="J68" s="96"/>
      <c r="K68" s="96"/>
      <c r="L68" s="96"/>
      <c r="M68" s="96"/>
      <c r="N68" s="96"/>
    </row>
    <row r="69" spans="1:14" x14ac:dyDescent="0.3">
      <c r="A69" s="127" t="s">
        <v>38</v>
      </c>
      <c r="B69" s="128" t="s">
        <v>86</v>
      </c>
      <c r="C69" s="129">
        <v>0.46</v>
      </c>
      <c r="D69" s="129" t="s">
        <v>161</v>
      </c>
      <c r="E69" s="129">
        <v>1.3</v>
      </c>
      <c r="F69" s="130" t="s">
        <v>274</v>
      </c>
      <c r="G69" s="131">
        <v>0.45</v>
      </c>
      <c r="H69" s="129" t="s">
        <v>276</v>
      </c>
      <c r="I69" s="132">
        <v>0.43</v>
      </c>
      <c r="J69" s="96"/>
      <c r="K69" s="96"/>
      <c r="L69" s="96"/>
      <c r="M69" s="96"/>
      <c r="N69" s="96"/>
    </row>
    <row r="70" spans="1:14" x14ac:dyDescent="0.3">
      <c r="A70" s="127" t="s">
        <v>39</v>
      </c>
      <c r="B70" s="128" t="s">
        <v>137</v>
      </c>
      <c r="C70" s="129">
        <v>0.48</v>
      </c>
      <c r="D70" s="129" t="s">
        <v>161</v>
      </c>
      <c r="E70" s="129">
        <v>2.4</v>
      </c>
      <c r="F70" s="129" t="s">
        <v>284</v>
      </c>
      <c r="G70" s="131">
        <v>0.45</v>
      </c>
      <c r="H70" s="129" t="s">
        <v>276</v>
      </c>
      <c r="I70" s="132">
        <v>0.43</v>
      </c>
      <c r="J70" s="96"/>
      <c r="K70" s="96"/>
      <c r="L70" s="96"/>
      <c r="M70" s="96"/>
      <c r="N70" s="96"/>
    </row>
    <row r="71" spans="1:14" x14ac:dyDescent="0.3">
      <c r="A71" s="127" t="s">
        <v>40</v>
      </c>
      <c r="B71" s="128" t="s">
        <v>87</v>
      </c>
      <c r="C71" s="129">
        <v>0.46</v>
      </c>
      <c r="D71" s="129" t="s">
        <v>150</v>
      </c>
      <c r="E71" s="129">
        <v>1.3</v>
      </c>
      <c r="F71" s="130" t="s">
        <v>274</v>
      </c>
      <c r="G71" s="131">
        <v>0.45</v>
      </c>
      <c r="H71" s="129" t="s">
        <v>276</v>
      </c>
      <c r="I71" s="132">
        <v>0.43</v>
      </c>
      <c r="J71" s="96"/>
      <c r="K71" s="96"/>
      <c r="L71" s="96"/>
      <c r="M71" s="96"/>
      <c r="N71" s="96"/>
    </row>
    <row r="72" spans="1:14" x14ac:dyDescent="0.3">
      <c r="A72" s="127" t="s">
        <v>41</v>
      </c>
      <c r="B72" s="128" t="s">
        <v>88</v>
      </c>
      <c r="C72" s="129">
        <v>0.44</v>
      </c>
      <c r="D72" s="129" t="s">
        <v>161</v>
      </c>
      <c r="E72" s="129">
        <v>1.3</v>
      </c>
      <c r="F72" s="130" t="s">
        <v>274</v>
      </c>
      <c r="G72" s="131">
        <v>0.45</v>
      </c>
      <c r="H72" s="129" t="s">
        <v>276</v>
      </c>
      <c r="I72" s="132">
        <v>0.43</v>
      </c>
      <c r="J72" s="96"/>
      <c r="K72" s="96"/>
      <c r="L72" s="96"/>
      <c r="M72" s="96"/>
      <c r="N72" s="96"/>
    </row>
    <row r="73" spans="1:14" x14ac:dyDescent="0.3">
      <c r="A73" s="127" t="s">
        <v>138</v>
      </c>
      <c r="B73" s="128" t="s">
        <v>140</v>
      </c>
      <c r="C73" s="129">
        <v>0.46</v>
      </c>
      <c r="D73" s="129" t="s">
        <v>151</v>
      </c>
      <c r="E73" s="129">
        <v>1.3</v>
      </c>
      <c r="F73" s="130" t="s">
        <v>274</v>
      </c>
      <c r="G73" s="131">
        <v>0.45</v>
      </c>
      <c r="H73" s="129" t="s">
        <v>276</v>
      </c>
      <c r="I73" s="132">
        <v>0.43</v>
      </c>
      <c r="J73" s="96"/>
      <c r="K73" s="96"/>
      <c r="L73" s="96"/>
      <c r="M73" s="96"/>
      <c r="N73" s="96"/>
    </row>
    <row r="74" spans="1:14" x14ac:dyDescent="0.3">
      <c r="A74" s="127" t="s">
        <v>42</v>
      </c>
      <c r="B74" s="128" t="s">
        <v>139</v>
      </c>
      <c r="C74" s="129">
        <v>0.34</v>
      </c>
      <c r="D74" s="129" t="s">
        <v>161</v>
      </c>
      <c r="E74" s="129">
        <v>1.3</v>
      </c>
      <c r="F74" s="130" t="s">
        <v>274</v>
      </c>
      <c r="G74" s="131">
        <v>0.45</v>
      </c>
      <c r="H74" s="129" t="s">
        <v>276</v>
      </c>
      <c r="I74" s="132">
        <v>0.43</v>
      </c>
      <c r="J74" s="96"/>
      <c r="K74" s="96"/>
      <c r="L74" s="96"/>
      <c r="M74" s="96"/>
      <c r="N74" s="96"/>
    </row>
    <row r="75" spans="1:14" x14ac:dyDescent="0.3">
      <c r="A75" s="127" t="s">
        <v>43</v>
      </c>
      <c r="B75" s="128" t="s">
        <v>162</v>
      </c>
      <c r="C75" s="129">
        <v>0.5</v>
      </c>
      <c r="D75" s="129" t="s">
        <v>161</v>
      </c>
      <c r="E75" s="129">
        <v>1.56</v>
      </c>
      <c r="F75" s="130" t="s">
        <v>274</v>
      </c>
      <c r="G75" s="131">
        <v>0.53</v>
      </c>
      <c r="H75" s="129" t="s">
        <v>275</v>
      </c>
      <c r="I75" s="132">
        <v>0.25</v>
      </c>
      <c r="J75" s="96"/>
      <c r="K75" s="96"/>
      <c r="L75" s="96"/>
      <c r="M75" s="96"/>
      <c r="N75" s="96"/>
    </row>
    <row r="76" spans="1:14" x14ac:dyDescent="0.3">
      <c r="A76" s="127" t="s">
        <v>44</v>
      </c>
      <c r="B76" s="128" t="s">
        <v>89</v>
      </c>
      <c r="C76" s="129">
        <v>0.57999999999999996</v>
      </c>
      <c r="D76" s="129" t="s">
        <v>161</v>
      </c>
      <c r="E76" s="129">
        <v>1.56</v>
      </c>
      <c r="F76" s="130" t="s">
        <v>274</v>
      </c>
      <c r="G76" s="131">
        <v>0.3</v>
      </c>
      <c r="H76" s="129" t="s">
        <v>277</v>
      </c>
      <c r="I76" s="132">
        <v>0.25</v>
      </c>
      <c r="J76" s="96"/>
      <c r="K76" s="96"/>
      <c r="L76" s="96"/>
      <c r="M76" s="96"/>
      <c r="N76" s="96"/>
    </row>
    <row r="77" spans="1:14" x14ac:dyDescent="0.3">
      <c r="A77" s="127" t="s">
        <v>47</v>
      </c>
      <c r="B77" s="128" t="s">
        <v>141</v>
      </c>
      <c r="C77" s="129">
        <v>0.37</v>
      </c>
      <c r="D77" s="129" t="s">
        <v>161</v>
      </c>
      <c r="E77" s="129">
        <v>1.3</v>
      </c>
      <c r="F77" s="130" t="s">
        <v>274</v>
      </c>
      <c r="G77" s="131">
        <v>0.55000000000000004</v>
      </c>
      <c r="H77" s="129" t="s">
        <v>152</v>
      </c>
      <c r="I77" s="132">
        <v>0.43</v>
      </c>
      <c r="J77" s="96"/>
      <c r="K77" s="96"/>
      <c r="L77" s="96"/>
      <c r="M77" s="96"/>
      <c r="N77" s="96"/>
    </row>
    <row r="78" spans="1:14" x14ac:dyDescent="0.3">
      <c r="A78" s="127" t="s">
        <v>45</v>
      </c>
      <c r="B78" s="128" t="s">
        <v>96</v>
      </c>
      <c r="C78" s="129">
        <v>0.37</v>
      </c>
      <c r="D78" s="129" t="s">
        <v>161</v>
      </c>
      <c r="E78" s="129">
        <v>1.3</v>
      </c>
      <c r="F78" s="130" t="s">
        <v>274</v>
      </c>
      <c r="G78" s="131">
        <v>0.55000000000000004</v>
      </c>
      <c r="H78" s="129" t="s">
        <v>152</v>
      </c>
      <c r="I78" s="132">
        <v>0.43</v>
      </c>
      <c r="J78" s="96"/>
      <c r="K78" s="96"/>
      <c r="L78" s="96"/>
      <c r="M78" s="96"/>
      <c r="N78" s="96"/>
    </row>
    <row r="79" spans="1:14" x14ac:dyDescent="0.3">
      <c r="A79" s="127" t="s">
        <v>46</v>
      </c>
      <c r="B79" s="128" t="s">
        <v>95</v>
      </c>
      <c r="C79" s="129">
        <v>0.38</v>
      </c>
      <c r="D79" s="129" t="s">
        <v>161</v>
      </c>
      <c r="E79" s="129">
        <v>1.3</v>
      </c>
      <c r="F79" s="130" t="s">
        <v>274</v>
      </c>
      <c r="G79" s="131">
        <v>0.55000000000000004</v>
      </c>
      <c r="H79" s="129" t="s">
        <v>153</v>
      </c>
      <c r="I79" s="132">
        <v>0.43</v>
      </c>
      <c r="J79" s="96"/>
      <c r="K79" s="96"/>
      <c r="L79" s="96"/>
      <c r="M79" s="96"/>
      <c r="N79" s="96"/>
    </row>
    <row r="80" spans="1:14" x14ac:dyDescent="0.3">
      <c r="A80" s="127" t="s">
        <v>48</v>
      </c>
      <c r="B80" s="128" t="s">
        <v>94</v>
      </c>
      <c r="C80" s="129">
        <v>0.36</v>
      </c>
      <c r="D80" s="129" t="s">
        <v>161</v>
      </c>
      <c r="E80" s="129">
        <v>1.3</v>
      </c>
      <c r="F80" s="130" t="s">
        <v>274</v>
      </c>
      <c r="G80" s="131">
        <v>0.55000000000000004</v>
      </c>
      <c r="H80" s="129" t="s">
        <v>153</v>
      </c>
      <c r="I80" s="132">
        <v>0.43</v>
      </c>
      <c r="J80" s="96"/>
      <c r="K80" s="96"/>
      <c r="L80" s="96"/>
      <c r="M80" s="96"/>
      <c r="N80" s="96"/>
    </row>
    <row r="81" spans="1:14" x14ac:dyDescent="0.3">
      <c r="A81" s="127" t="s">
        <v>49</v>
      </c>
      <c r="B81" s="128" t="s">
        <v>142</v>
      </c>
      <c r="C81" s="129">
        <v>0.37</v>
      </c>
      <c r="D81" s="129" t="s">
        <v>161</v>
      </c>
      <c r="E81" s="129">
        <v>1.56</v>
      </c>
      <c r="F81" s="130" t="s">
        <v>274</v>
      </c>
      <c r="G81" s="131">
        <v>0.43</v>
      </c>
      <c r="H81" s="129" t="s">
        <v>278</v>
      </c>
      <c r="I81" s="132">
        <v>0.25</v>
      </c>
      <c r="J81" s="96"/>
      <c r="K81" s="96"/>
      <c r="L81" s="96"/>
      <c r="M81" s="96"/>
      <c r="N81" s="96"/>
    </row>
    <row r="82" spans="1:14" x14ac:dyDescent="0.3">
      <c r="A82" s="127" t="s">
        <v>158</v>
      </c>
      <c r="B82" s="128" t="s">
        <v>159</v>
      </c>
      <c r="C82" s="129">
        <v>0.35</v>
      </c>
      <c r="D82" s="129" t="s">
        <v>160</v>
      </c>
      <c r="E82" s="129">
        <v>1.3</v>
      </c>
      <c r="F82" s="130" t="s">
        <v>274</v>
      </c>
      <c r="G82" s="131">
        <v>0.55000000000000004</v>
      </c>
      <c r="H82" s="129" t="s">
        <v>153</v>
      </c>
      <c r="I82" s="132">
        <v>0.43</v>
      </c>
      <c r="J82" s="96"/>
      <c r="K82" s="96"/>
      <c r="L82" s="96"/>
      <c r="M82" s="96"/>
      <c r="N82" s="96"/>
    </row>
    <row r="83" spans="1:14" x14ac:dyDescent="0.3">
      <c r="A83" s="127" t="s">
        <v>156</v>
      </c>
      <c r="B83" s="128" t="s">
        <v>157</v>
      </c>
      <c r="C83" s="129">
        <v>0.34</v>
      </c>
      <c r="D83" s="129" t="s">
        <v>161</v>
      </c>
      <c r="E83" s="129">
        <v>1.3</v>
      </c>
      <c r="F83" s="130" t="s">
        <v>274</v>
      </c>
      <c r="G83" s="131">
        <v>0.55000000000000004</v>
      </c>
      <c r="H83" s="129" t="s">
        <v>153</v>
      </c>
      <c r="I83" s="132">
        <v>0.43</v>
      </c>
      <c r="J83" s="96"/>
      <c r="K83" s="96"/>
      <c r="L83" s="96"/>
      <c r="M83" s="96"/>
      <c r="N83" s="96"/>
    </row>
    <row r="84" spans="1:14" x14ac:dyDescent="0.3">
      <c r="A84" s="127" t="s">
        <v>92</v>
      </c>
      <c r="B84" s="128" t="s">
        <v>93</v>
      </c>
      <c r="C84" s="129">
        <v>0.31</v>
      </c>
      <c r="D84" s="129" t="s">
        <v>161</v>
      </c>
      <c r="E84" s="129">
        <v>1.3</v>
      </c>
      <c r="F84" s="130" t="s">
        <v>274</v>
      </c>
      <c r="G84" s="131">
        <v>0.55000000000000004</v>
      </c>
      <c r="H84" s="129" t="s">
        <v>153</v>
      </c>
      <c r="I84" s="132">
        <v>0.43</v>
      </c>
      <c r="J84" s="96"/>
      <c r="K84" s="96"/>
      <c r="L84" s="96"/>
      <c r="M84" s="96"/>
      <c r="N84" s="96"/>
    </row>
    <row r="85" spans="1:14" x14ac:dyDescent="0.3">
      <c r="A85" s="127" t="s">
        <v>50</v>
      </c>
      <c r="B85" s="128" t="s">
        <v>143</v>
      </c>
      <c r="C85" s="129">
        <v>0.43</v>
      </c>
      <c r="D85" s="129" t="s">
        <v>161</v>
      </c>
      <c r="E85" s="129">
        <v>1.56</v>
      </c>
      <c r="F85" s="130" t="s">
        <v>274</v>
      </c>
      <c r="G85" s="131">
        <v>0.53</v>
      </c>
      <c r="H85" s="129" t="s">
        <v>275</v>
      </c>
      <c r="I85" s="132">
        <v>0.25</v>
      </c>
      <c r="J85" s="96"/>
      <c r="K85" s="96"/>
      <c r="L85" s="96"/>
      <c r="M85" s="96"/>
      <c r="N85" s="96"/>
    </row>
    <row r="86" spans="1:14" x14ac:dyDescent="0.3">
      <c r="A86" s="127" t="s">
        <v>51</v>
      </c>
      <c r="B86" s="128" t="s">
        <v>91</v>
      </c>
      <c r="C86" s="129">
        <v>0.38</v>
      </c>
      <c r="D86" s="129" t="s">
        <v>161</v>
      </c>
      <c r="E86" s="129">
        <v>1.56</v>
      </c>
      <c r="F86" s="130" t="s">
        <v>274</v>
      </c>
      <c r="G86" s="131">
        <v>0.6</v>
      </c>
      <c r="H86" s="129" t="s">
        <v>279</v>
      </c>
      <c r="I86" s="132">
        <v>0.25</v>
      </c>
      <c r="J86" s="96"/>
      <c r="K86" s="96"/>
      <c r="L86" s="96"/>
      <c r="M86" s="96"/>
      <c r="N86" s="96"/>
    </row>
    <row r="87" spans="1:14" x14ac:dyDescent="0.3">
      <c r="A87" s="282" t="s">
        <v>321</v>
      </c>
      <c r="B87" s="283" t="s">
        <v>322</v>
      </c>
      <c r="C87" s="284">
        <v>0.41</v>
      </c>
      <c r="D87" s="284" t="s">
        <v>323</v>
      </c>
      <c r="E87" s="284">
        <v>1.56</v>
      </c>
      <c r="F87" s="285" t="s">
        <v>274</v>
      </c>
      <c r="G87" s="286">
        <v>0.43</v>
      </c>
      <c r="H87" s="284" t="s">
        <v>278</v>
      </c>
      <c r="I87" s="287">
        <v>0.25</v>
      </c>
      <c r="J87" s="96"/>
      <c r="K87" s="96"/>
      <c r="L87" s="96"/>
      <c r="M87" s="96"/>
      <c r="N87" s="96"/>
    </row>
    <row r="88" spans="1:14" x14ac:dyDescent="0.3">
      <c r="A88" s="127" t="s">
        <v>148</v>
      </c>
      <c r="B88" s="135"/>
      <c r="C88" s="129">
        <v>0.42</v>
      </c>
      <c r="D88" s="129" t="s">
        <v>161</v>
      </c>
      <c r="E88" s="129">
        <v>1.3</v>
      </c>
      <c r="F88" s="130" t="s">
        <v>274</v>
      </c>
      <c r="G88" s="136"/>
      <c r="H88" s="135"/>
      <c r="I88" s="137"/>
    </row>
    <row r="89" spans="1:14" ht="15" thickBot="1" x14ac:dyDescent="0.35">
      <c r="A89" s="138" t="s">
        <v>149</v>
      </c>
      <c r="B89" s="139"/>
      <c r="C89" s="140">
        <v>0.56999999999999995</v>
      </c>
      <c r="D89" s="141" t="s">
        <v>161</v>
      </c>
      <c r="E89" s="140">
        <v>1.56</v>
      </c>
      <c r="F89" s="140" t="s">
        <v>274</v>
      </c>
      <c r="G89" s="139"/>
      <c r="H89" s="139"/>
      <c r="I89" s="142"/>
    </row>
    <row r="93" spans="1:14" x14ac:dyDescent="0.3">
      <c r="A93" s="127" t="s">
        <v>208</v>
      </c>
    </row>
    <row r="94" spans="1:14" x14ac:dyDescent="0.3">
      <c r="A94" s="127" t="s">
        <v>209</v>
      </c>
    </row>
    <row r="95" spans="1:14" x14ac:dyDescent="0.3">
      <c r="A95" s="127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90" zoomScaleNormal="90" workbookViewId="0">
      <selection activeCell="O19" sqref="O19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3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68"/>
      <c r="J1" s="68"/>
      <c r="K1" s="68"/>
      <c r="L1" s="68"/>
      <c r="M1" s="68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4" t="s">
        <v>271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6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27"/>
      <c r="J3" s="227"/>
      <c r="K3" s="227"/>
      <c r="L3" s="227"/>
      <c r="M3" s="227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27"/>
      <c r="J4" s="227"/>
      <c r="K4" s="227"/>
      <c r="L4" s="227"/>
      <c r="M4" s="227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3" t="s">
        <v>207</v>
      </c>
      <c r="B5" s="144" t="s">
        <v>250</v>
      </c>
      <c r="C5" s="145" t="str">
        <f>Calculateur!S2</f>
        <v>ΔStock moyen de long terme (tCO₂/ha)</v>
      </c>
      <c r="D5" s="145" t="str">
        <f>Calculateur!T2</f>
        <v>Δstock CO₂ 30 ans (tCO₂/ha)</v>
      </c>
      <c r="E5" s="145" t="s">
        <v>228</v>
      </c>
      <c r="F5" s="145" t="s">
        <v>239</v>
      </c>
      <c r="G5" s="145" t="s">
        <v>240</v>
      </c>
      <c r="H5" s="146" t="s">
        <v>241</v>
      </c>
      <c r="I5" s="147" t="s">
        <v>242</v>
      </c>
      <c r="J5" s="148" t="s">
        <v>243</v>
      </c>
      <c r="K5" s="149" t="s">
        <v>244</v>
      </c>
      <c r="L5" s="87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0" t="str">
        <f>IF('Données projet'!$B$9="","",'Données projet'!$B$9)</f>
        <v>Cèdre de l'Atlas</v>
      </c>
      <c r="B6" s="151">
        <f>'Données projet'!D9</f>
        <v>0.48424999999999996</v>
      </c>
      <c r="C6" s="152">
        <f ca="1">IF(OR('Données projet'!B9="",'Données projet'!C9="",'Données projet'!C9=0%),0,Calculateur!S3)</f>
        <v>277.7918215389401</v>
      </c>
      <c r="D6" s="152">
        <f>IF(OR('Données projet'!B9="",'Données projet'!C9="",'Données projet'!C9=0%),0,Calculateur!T3)</f>
        <v>164.65640238394164</v>
      </c>
      <c r="E6" s="152">
        <f ca="1">MIN(C6,D6)</f>
        <v>164.65640238394164</v>
      </c>
      <c r="F6" s="152">
        <f ca="1">E6*B6</f>
        <v>79.734862854423739</v>
      </c>
      <c r="G6" s="152">
        <f ca="1">F6*(100%-'Données projet'!$C$24)*(100%-'Données projet'!$C$25)*(100%-'Données projet'!$C$26)*(100%-'Données projet'!$C$27)</f>
        <v>71.761376568981362</v>
      </c>
      <c r="H6" s="153">
        <f>IF(OR('Données projet'!B9="",'Données projet'!C9="",'Données projet'!C9=0%),0,AVERAGE(Calculateur!$AC$3:$AC$33)*B6)</f>
        <v>0</v>
      </c>
      <c r="I6" s="154">
        <f>H6*(100%-'Données projet'!$C$24)*(100%-'Données projet'!$C$25)*(100%-'Données projet'!$C$26)*(100%-'Données projet'!$C$27)</f>
        <v>0</v>
      </c>
      <c r="J6" s="155">
        <f>IF(OR('Données projet'!B9="",'Données projet'!C9="",'Données projet'!C9=0%),0,SUM(Calculateur!$V$3:$V$33)*VLOOKUP('Données projet'!$B$9,Paramètres!$A$1:$I$89,9,0)*B6)</f>
        <v>0</v>
      </c>
      <c r="K6" s="156">
        <f>J6*(100%-'Données projet'!$C$24)*(100%-'Données projet'!$C$25)*(100%-'Données projet'!$C$26)*(100%-'Données projet'!$C$27)</f>
        <v>0</v>
      </c>
      <c r="L6" s="157">
        <f ca="1">G6+I6+K6</f>
        <v>71.761376568981362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58" t="str">
        <f>IF('Données projet'!$B$10="","",'Données projet'!$B$10)</f>
        <v>Chêne sessile</v>
      </c>
      <c r="B7" s="159">
        <f>'Données projet'!D10</f>
        <v>2.4173499999999999</v>
      </c>
      <c r="C7" s="152">
        <f ca="1">IF(OR('Données projet'!B10="",'Données projet'!C10="",'Données projet'!C10=0%),0,Calculateur!AN3)</f>
        <v>469.67944008675863</v>
      </c>
      <c r="D7" s="152">
        <f>IF(OR('Données projet'!B10="",'Données projet'!C10="",'Données projet'!C10=0%),0,Calculateur!AO3)</f>
        <v>266.11908070867173</v>
      </c>
      <c r="E7" s="152">
        <f t="shared" ref="E7:E15" ca="1" si="0">MIN(C7,D7)</f>
        <v>266.11908070867173</v>
      </c>
      <c r="F7" s="152">
        <f t="shared" ref="F7:F15" ca="1" si="1">E7*B7</f>
        <v>643.30295975110755</v>
      </c>
      <c r="G7" s="152">
        <f ca="1">F7*(100%-'Données projet'!$C$24)*(100%-'Données projet'!$C$25)*(100%-'Données projet'!$C$26)*(100%-'Données projet'!$C$27)</f>
        <v>578.97266377599681</v>
      </c>
      <c r="H7" s="160">
        <f>IF(OR('Données projet'!B10="",'Données projet'!C10="",'Données projet'!C10=0%),0,AVERAGE(Calculateur!$AX$3:$AX$33)*B7)</f>
        <v>0</v>
      </c>
      <c r="I7" s="154">
        <f>H7*(100%-'Données projet'!$C$24)*(100%-'Données projet'!$C$25)*(100%-'Données projet'!$C$26)*(100%-'Données projet'!$C$27)</f>
        <v>0</v>
      </c>
      <c r="J7" s="155">
        <f>IF(OR('Données projet'!B10="",'Données projet'!C10="",'Données projet'!C10=0%),0,SUM(Calculateur!$AQ$3:$AQ$33)*VLOOKUP('Données projet'!$B$10,Paramètres!$A$1:$I$89,9,0)*B7)</f>
        <v>17.5257875</v>
      </c>
      <c r="K7" s="156">
        <f>J7*(100%-'Données projet'!$C$24)*(100%-'Données projet'!$C$25)*(100%-'Données projet'!$C$26)*(100%-'Données projet'!$C$27)</f>
        <v>15.77320875</v>
      </c>
      <c r="L7" s="157">
        <f t="shared" ref="L7:L15" ca="1" si="2">G7+I7+K7</f>
        <v>594.74587252599679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58" t="str">
        <f>IF('Données projet'!$B$11="","",'Données projet'!$B$11)</f>
        <v>Pin maritime</v>
      </c>
      <c r="B8" s="159">
        <f>'Données projet'!D11</f>
        <v>3.3305999999999996</v>
      </c>
      <c r="C8" s="152">
        <f ca="1">IF(OR('Données projet'!B11="",'Données projet'!C11="",'Données projet'!C11=0%),0,Calculateur!BI3)</f>
        <v>216.36762889365235</v>
      </c>
      <c r="D8" s="152">
        <f>IF(OR('Données projet'!B11="",'Données projet'!C11="",'Données projet'!C11=0%),0,Calculateur!BJ3)</f>
        <v>333.29599352215496</v>
      </c>
      <c r="E8" s="152">
        <f t="shared" ca="1" si="0"/>
        <v>216.36762889365235</v>
      </c>
      <c r="F8" s="152">
        <f t="shared" ca="1" si="1"/>
        <v>720.63402479319848</v>
      </c>
      <c r="G8" s="152">
        <f ca="1">F8*(100%-'Données projet'!$C$24)*(100%-'Données projet'!$C$25)*(100%-'Données projet'!$C$26)*(100%-'Données projet'!$C$27)</f>
        <v>648.57062231387863</v>
      </c>
      <c r="H8" s="160">
        <f>IF(OR('Données projet'!B11="",'Données projet'!C11="",'Données projet'!C11=0%),0,AVERAGE(Calculateur!$BS$3:$BS$33)*B8)</f>
        <v>28.291209372555592</v>
      </c>
      <c r="I8" s="154">
        <f>H8*(100%-'Données projet'!$C$24)*(100%-'Données projet'!$C$25)*(100%-'Données projet'!$C$26)*(100%-'Données projet'!$C$27)</f>
        <v>25.462088435300032</v>
      </c>
      <c r="J8" s="155">
        <f>IF(OR('Données projet'!B11="",'Données projet'!C11="",'Données projet'!C11=0%),0,SUM(Calculateur!$BL$3:$BL$33)*VLOOKUP('Données projet'!$B$11,Paramètres!$A$1:$I$89,9,0)*B8)</f>
        <v>219.97797002999994</v>
      </c>
      <c r="K8" s="156">
        <f>J8*(100%-'Données projet'!$C$24)*(100%-'Données projet'!$C$25)*(100%-'Données projet'!$C$26)*(100%-'Données projet'!$C$27)</f>
        <v>197.98017302699995</v>
      </c>
      <c r="L8" s="157">
        <f t="shared" ca="1" si="2"/>
        <v>872.01288377617868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58" t="str">
        <f>IF('Données projet'!$B$12="","",'Données projet'!$B$12)</f>
        <v>Alisier torminal</v>
      </c>
      <c r="B9" s="159">
        <f>'Données projet'!D12</f>
        <v>0.1326</v>
      </c>
      <c r="C9" s="152">
        <f ca="1">IF(OR('Données projet'!B12="",'Données projet'!C12="",'Données projet'!C12=0%),0,Calculateur!CD3)</f>
        <v>496.33873798282525</v>
      </c>
      <c r="D9" s="152">
        <f>IF(OR('Données projet'!B12="",'Données projet'!C12="",'Données projet'!C12=0%),0,Calculateur!CE3)</f>
        <v>280.25465074992246</v>
      </c>
      <c r="E9" s="152">
        <f t="shared" ca="1" si="0"/>
        <v>280.25465074992246</v>
      </c>
      <c r="F9" s="152">
        <f t="shared" ca="1" si="1"/>
        <v>37.161766689439716</v>
      </c>
      <c r="G9" s="152">
        <f ca="1">F9*(100%-'Données projet'!$C$24)*(100%-'Données projet'!$C$25)*(100%-'Données projet'!$C$26)*(100%-'Données projet'!$C$27)</f>
        <v>33.445590020495743</v>
      </c>
      <c r="H9" s="160">
        <f>IF(OR('Données projet'!B12="",'Données projet'!C12="",'Données projet'!C12=0%),0,AVERAGE(Calculateur!$CN$3:$CN$33)*B9)</f>
        <v>0</v>
      </c>
      <c r="I9" s="154">
        <f>H9*(100%-'Données projet'!$C$24)*(100%-'Données projet'!$C$25)*(100%-'Données projet'!$C$26)*(100%-'Données projet'!$C$27)</f>
        <v>0</v>
      </c>
      <c r="J9" s="155">
        <f>IF(OR('Données projet'!B12="",'Données projet'!C12="",'Données projet'!C12=0%),0,SUM(Calculateur!$CG$3:$CG$33)*VLOOKUP('Données projet'!$B$12,Paramètres!$A$1:$I$89,9,0)*B9)</f>
        <v>0.96134999999999993</v>
      </c>
      <c r="K9" s="156">
        <f>J9*(100%-'Données projet'!$C$24)*(100%-'Données projet'!$C$25)*(100%-'Données projet'!$C$26)*(100%-'Données projet'!$C$27)</f>
        <v>0.86521499999999996</v>
      </c>
      <c r="L9" s="157">
        <f t="shared" ca="1" si="2"/>
        <v>34.310805020495742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58" t="str">
        <f>IF('Données projet'!$B$13="","",'Données projet'!$B$13)</f>
        <v>Cormier</v>
      </c>
      <c r="B10" s="159">
        <f>'Données projet'!D13</f>
        <v>0.1326</v>
      </c>
      <c r="C10" s="152">
        <f ca="1">IF(OR('Données projet'!B13="",'Données projet'!C13="",'Données projet'!C13=0%),0,Calculateur!CY3)</f>
        <v>542.90832990875208</v>
      </c>
      <c r="D10" s="152">
        <f>IF(OR('Données projet'!B13="",'Données projet'!C13="",'Données projet'!C13=0%),0,Calculateur!CZ3)</f>
        <v>304.94365539329362</v>
      </c>
      <c r="E10" s="152">
        <f t="shared" ca="1" si="0"/>
        <v>304.94365539329362</v>
      </c>
      <c r="F10" s="152">
        <f t="shared" ca="1" si="1"/>
        <v>40.43552870515073</v>
      </c>
      <c r="G10" s="152">
        <f ca="1">F10*(100%-'Données projet'!$C$24)*(100%-'Données projet'!$C$25)*(100%-'Données projet'!$C$26)*(100%-'Données projet'!$C$27)</f>
        <v>36.391975834635659</v>
      </c>
      <c r="H10" s="160">
        <f>IF(OR('Données projet'!B13="",'Données projet'!C13="",'Données projet'!C13=0%),0,AVERAGE(Calculateur!$DI$3:$DI$33)*B10)</f>
        <v>0</v>
      </c>
      <c r="I10" s="154">
        <f>H10*(100%-'Données projet'!$C$24)*(100%-'Données projet'!$C$25)*(100%-'Données projet'!$C$26)*(100%-'Données projet'!$C$27)</f>
        <v>0</v>
      </c>
      <c r="J10" s="155">
        <f>IF(OR('Données projet'!B13="",'Données projet'!C13="",'Données projet'!C13=0%),0,SUM(Calculateur!$DB$3:$DB$33)*VLOOKUP('Données projet'!$B$13,Paramètres!$A$1:$I$89,9,0)*B10)</f>
        <v>0.96134999999999993</v>
      </c>
      <c r="K10" s="156">
        <f>J10*(100%-'Données projet'!$C$24)*(100%-'Données projet'!$C$25)*(100%-'Données projet'!$C$26)*(100%-'Données projet'!$C$27)</f>
        <v>0.86521499999999996</v>
      </c>
      <c r="L10" s="157">
        <f t="shared" ca="1" si="2"/>
        <v>37.257190834635658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58" t="str">
        <f>IF('Données projet'!$B$14="","",'Données projet'!$B$14)</f>
        <v/>
      </c>
      <c r="B11" s="159">
        <f>'Données projet'!D14</f>
        <v>0</v>
      </c>
      <c r="C11" s="152">
        <f>IF(OR('Données projet'!B14="",'Données projet'!C14="",'Données projet'!C14=0%),0,Calculateur!DT3)</f>
        <v>0</v>
      </c>
      <c r="D11" s="152">
        <f>IF(OR('Données projet'!B14="",'Données projet'!C14="",'Données projet'!C14=0%),0,Calculateur!DU3)</f>
        <v>0</v>
      </c>
      <c r="E11" s="152">
        <f t="shared" si="0"/>
        <v>0</v>
      </c>
      <c r="F11" s="152">
        <f t="shared" si="1"/>
        <v>0</v>
      </c>
      <c r="G11" s="152">
        <f>F11*(100%-'Données projet'!$C$24)*(100%-'Données projet'!$C$25)*(100%-'Données projet'!$C$26)*(100%-'Données projet'!$C$27)</f>
        <v>0</v>
      </c>
      <c r="H11" s="160">
        <f>IF(OR('Données projet'!B14="",'Données projet'!C14="",'Données projet'!C14=0%),0,AVERAGE(Calculateur!$ED$3:$ED$33)*B11)</f>
        <v>0</v>
      </c>
      <c r="I11" s="154">
        <f>H11*(100%-'Données projet'!$C$24)*(100%-'Données projet'!$C$25)*(100%-'Données projet'!$C$26)*(100%-'Données projet'!$C$27)</f>
        <v>0</v>
      </c>
      <c r="J11" s="155">
        <f>IF(OR('Données projet'!B14="",'Données projet'!C14="",'Données projet'!C14=0%),0,SUM(Calculateur!$DW$3:$DW$33)*VLOOKUP('Données projet'!$B$14,Paramètres!$A$1:$I$89,9,0)*B11)</f>
        <v>0</v>
      </c>
      <c r="K11" s="156">
        <f>J11*(100%-'Données projet'!$C$24)*(100%-'Données projet'!$C$25)*(100%-'Données projet'!$C$26)*(100%-'Données projet'!$C$27)</f>
        <v>0</v>
      </c>
      <c r="L11" s="157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58" t="str">
        <f>IF('Données projet'!$B$15="","",'Données projet'!$B$15)</f>
        <v/>
      </c>
      <c r="B12" s="159">
        <f>'Données projet'!D15</f>
        <v>0</v>
      </c>
      <c r="C12" s="152">
        <f>IF(OR('Données projet'!B15="",'Données projet'!C15="",'Données projet'!C15=0%),0,Calculateur!EO3)</f>
        <v>0</v>
      </c>
      <c r="D12" s="152">
        <f>IF(OR('Données projet'!B15="",'Données projet'!C15="",'Données projet'!C15=0%),0,Calculateur!EP3)</f>
        <v>0</v>
      </c>
      <c r="E12" s="152">
        <f t="shared" si="0"/>
        <v>0</v>
      </c>
      <c r="F12" s="152">
        <f t="shared" si="1"/>
        <v>0</v>
      </c>
      <c r="G12" s="152">
        <f>F12*(100%-'Données projet'!$C$24)*(100%-'Données projet'!$C$25)*(100%-'Données projet'!$C$26)*(100%-'Données projet'!$C$27)</f>
        <v>0</v>
      </c>
      <c r="H12" s="160">
        <f>IF(OR('Données projet'!B15="",'Données projet'!C15="",'Données projet'!C15=0%),0,AVERAGE(Calculateur!$EY$3:$EY$33)*B12)</f>
        <v>0</v>
      </c>
      <c r="I12" s="154">
        <f>H12*(100%-'Données projet'!$C$24)*(100%-'Données projet'!$C$25)*(100%-'Données projet'!$C$26)*(100%-'Données projet'!$C$27)</f>
        <v>0</v>
      </c>
      <c r="J12" s="155">
        <f>IF(OR('Données projet'!B15="",'Données projet'!C15="",'Données projet'!C15=0%),0,SUM(Calculateur!$ER$3:$ER$33)*VLOOKUP('Données projet'!$B$15,Paramètres!$A$1:$I$89,9,0)*B12)</f>
        <v>0</v>
      </c>
      <c r="K12" s="156">
        <f>J12*(100%-'Données projet'!$C$24)*(100%-'Données projet'!$C$25)*(100%-'Données projet'!$C$26)*(100%-'Données projet'!$C$27)</f>
        <v>0</v>
      </c>
      <c r="L12" s="157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58" t="str">
        <f>IF('Données projet'!$B$16="","",'Données projet'!$B$16)</f>
        <v/>
      </c>
      <c r="B13" s="159">
        <f>'Données projet'!D16</f>
        <v>0</v>
      </c>
      <c r="C13" s="152">
        <f>IF(OR('Données projet'!B16="",'Données projet'!C16="",'Données projet'!C16=0%),0,Calculateur!FJ3)</f>
        <v>0</v>
      </c>
      <c r="D13" s="152">
        <f>IF(OR('Données projet'!B16="",'Données projet'!C16="",'Données projet'!C16=0%),0,Calculateur!FK3)</f>
        <v>0</v>
      </c>
      <c r="E13" s="152">
        <f t="shared" si="0"/>
        <v>0</v>
      </c>
      <c r="F13" s="152">
        <f t="shared" si="1"/>
        <v>0</v>
      </c>
      <c r="G13" s="152">
        <f>F13*(100%-'Données projet'!$C$24)*(100%-'Données projet'!$C$25)*(100%-'Données projet'!$C$26)*(100%-'Données projet'!$C$27)</f>
        <v>0</v>
      </c>
      <c r="H13" s="160">
        <f>IF(OR('Données projet'!B16="",'Données projet'!C16="",'Données projet'!C16=0%),0,AVERAGE(Calculateur!$FT$3:$FT$33)*B13)</f>
        <v>0</v>
      </c>
      <c r="I13" s="154">
        <f>H13*(100%-'Données projet'!$C$24)*(100%-'Données projet'!$C$25)*(100%-'Données projet'!$C$26)*(100%-'Données projet'!$C$27)</f>
        <v>0</v>
      </c>
      <c r="J13" s="155">
        <f>IF(OR('Données projet'!C16="",'Données projet'!C16=0%),0,SUM(Calculateur!$FM$3:$FM$33)*VLOOKUP('Données projet'!$B$16,Paramètres!$A$1:$I$89,9,0)*B13)</f>
        <v>0</v>
      </c>
      <c r="K13" s="156">
        <f>J13*(100%-'Données projet'!$C$24)*(100%-'Données projet'!$C$25)*(100%-'Données projet'!$C$26)*(100%-'Données projet'!$C$27)</f>
        <v>0</v>
      </c>
      <c r="L13" s="157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58" t="str">
        <f>IF('Données projet'!$B$17="","",'Données projet'!$B$17)</f>
        <v/>
      </c>
      <c r="B14" s="159">
        <f>'Données projet'!D17</f>
        <v>0</v>
      </c>
      <c r="C14" s="152">
        <f>IF(OR('Données projet'!B17="",'Données projet'!C17="",'Données projet'!C17=0%),0,Calculateur!GE3)</f>
        <v>0</v>
      </c>
      <c r="D14" s="152">
        <f>IF(OR('Données projet'!B17="",'Données projet'!C17="",'Données projet'!C17=0%),0,Calculateur!GF3)</f>
        <v>0</v>
      </c>
      <c r="E14" s="152">
        <f t="shared" si="0"/>
        <v>0</v>
      </c>
      <c r="F14" s="152">
        <f t="shared" si="1"/>
        <v>0</v>
      </c>
      <c r="G14" s="152">
        <f>F14*(100%-'Données projet'!$C$24)*(100%-'Données projet'!$C$25)*(100%-'Données projet'!$C$26)*(100%-'Données projet'!$C$27)</f>
        <v>0</v>
      </c>
      <c r="H14" s="160">
        <f>IF(OR('Données projet'!B17="",'Données projet'!C17="",'Données projet'!C17=0%),0,AVERAGE(Calculateur!$GO$3:$GO$33)*B14)</f>
        <v>0</v>
      </c>
      <c r="I14" s="154">
        <f>H14*(100%-'Données projet'!$C$24)*(100%-'Données projet'!$C$25)*(100%-'Données projet'!$C$26)*(100%-'Données projet'!$C$27)</f>
        <v>0</v>
      </c>
      <c r="J14" s="155">
        <f>IF(OR('Données projet'!B17="",'Données projet'!C17="",'Données projet'!C17=0%),0,SUM(Calculateur!$GH$3:$GH$33)*VLOOKUP('Données projet'!$B$17,Paramètres!$A$1:$I$89,9,0)*B14)</f>
        <v>0</v>
      </c>
      <c r="K14" s="156">
        <f>J14*(100%-'Données projet'!$C$24)*(100%-'Données projet'!$C$25)*(100%-'Données projet'!$C$26)*(100%-'Données projet'!$C$27)</f>
        <v>0</v>
      </c>
      <c r="L14" s="157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1" t="str">
        <f>IF('Données projet'!B18="","",'Données projet'!B18)</f>
        <v/>
      </c>
      <c r="B15" s="162">
        <f>'Données projet'!D18</f>
        <v>0</v>
      </c>
      <c r="C15" s="163">
        <f>IF(OR('Données projet'!B18="",'Données projet'!C18="",'Données projet'!C18=0%),0,Calculateur!GZ3)</f>
        <v>0</v>
      </c>
      <c r="D15" s="163">
        <f>IF(OR('Données projet'!B18="",'Données projet'!C18="",'Données projet'!C18=0%),0,Calculateur!HA3)</f>
        <v>0</v>
      </c>
      <c r="E15" s="163">
        <f t="shared" si="0"/>
        <v>0</v>
      </c>
      <c r="F15" s="164">
        <f t="shared" si="1"/>
        <v>0</v>
      </c>
      <c r="G15" s="164">
        <f>F15*(100%-'Données projet'!$C$24)*(100%-'Données projet'!$C$25)*(100%-'Données projet'!$C$26)*(100%-'Données projet'!$C$27)</f>
        <v>0</v>
      </c>
      <c r="H15" s="165">
        <f>IF(OR('Données projet'!B18="",'Données projet'!C18="",'Données projet'!C18=0%),0,AVERAGE(Calculateur!$HJ$3:$HJ$33)*B15)</f>
        <v>0</v>
      </c>
      <c r="I15" s="166">
        <f>H15*(100%-'Données projet'!$C$24)*(100%-'Données projet'!$C$25)*(100%-'Données projet'!$C$26)*(100%-'Données projet'!$C$27)</f>
        <v>0</v>
      </c>
      <c r="J15" s="167">
        <f>IF(OR('Données projet'!B18="",'Données projet'!C18="",'Données projet'!C18=0%),0,SUM(Calculateur!$HC$3:$HC$33)*VLOOKUP('Données projet'!$B$18,Paramètres!$A$1:$I$89,9,0)*B15)</f>
        <v>0</v>
      </c>
      <c r="K15" s="168">
        <f>J15*(100%-'Données projet'!$C$24)*(100%-'Données projet'!$C$25)*(100%-'Données projet'!$C$26)*(100%-'Données projet'!$C$27)</f>
        <v>0</v>
      </c>
      <c r="L15" s="169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2"/>
      <c r="B16" s="229"/>
      <c r="C16" s="230"/>
      <c r="D16" s="25"/>
      <c r="E16" s="25"/>
      <c r="F16" s="170">
        <f t="shared" ref="F16:L16" ca="1" si="3">SUM(F6:F15)</f>
        <v>1521.2691427933203</v>
      </c>
      <c r="G16" s="171">
        <f t="shared" ca="1" si="3"/>
        <v>1369.1422285139881</v>
      </c>
      <c r="H16" s="172">
        <f t="shared" si="3"/>
        <v>28.291209372555592</v>
      </c>
      <c r="I16" s="172">
        <f t="shared" si="3"/>
        <v>25.462088435300032</v>
      </c>
      <c r="J16" s="173">
        <f t="shared" si="3"/>
        <v>239.42645752999996</v>
      </c>
      <c r="K16" s="173">
        <f t="shared" si="3"/>
        <v>215.48381177699997</v>
      </c>
      <c r="L16" s="174">
        <f t="shared" ca="1" si="3"/>
        <v>1610.0881287262882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2"/>
      <c r="B17" s="229"/>
      <c r="C17" s="230"/>
      <c r="D17" s="227"/>
      <c r="E17" s="227"/>
      <c r="F17" s="316" t="s">
        <v>246</v>
      </c>
      <c r="G17" s="317"/>
      <c r="H17" s="317"/>
      <c r="I17" s="317"/>
      <c r="J17" s="317"/>
      <c r="K17" s="317"/>
      <c r="L17" s="317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2"/>
      <c r="B18" s="229"/>
      <c r="C18" s="230"/>
      <c r="D18" s="227"/>
      <c r="E18" s="227"/>
      <c r="F18" s="318"/>
      <c r="G18" s="318"/>
      <c r="H18" s="318"/>
      <c r="I18" s="318"/>
      <c r="J18" s="318"/>
      <c r="K18" s="318"/>
      <c r="L18" s="318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27"/>
      <c r="J19" s="227"/>
      <c r="K19" s="227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27"/>
      <c r="J20" s="227"/>
      <c r="K20" s="227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5" t="str">
        <f>A6</f>
        <v>Cèdre de l'Atlas</v>
      </c>
      <c r="B21" s="5"/>
      <c r="C21" s="5"/>
      <c r="D21" s="5"/>
      <c r="E21" s="5"/>
      <c r="F21" s="5"/>
      <c r="G21" s="5"/>
      <c r="H21" s="5"/>
      <c r="I21" s="227"/>
      <c r="J21" s="227"/>
      <c r="K21" s="227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27"/>
      <c r="J22" s="227"/>
      <c r="K22" s="227"/>
      <c r="L22" s="227"/>
      <c r="M22" s="227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27"/>
      <c r="J23" s="227"/>
      <c r="K23" s="227"/>
      <c r="L23" s="227"/>
      <c r="M23" s="227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27"/>
      <c r="J24" s="227"/>
      <c r="K24" s="227"/>
      <c r="L24" s="227"/>
      <c r="M24" s="227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27"/>
      <c r="J25" s="227"/>
      <c r="K25" s="227"/>
      <c r="L25" s="227"/>
      <c r="M25" s="227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27"/>
      <c r="J26" s="227"/>
      <c r="K26" s="227"/>
      <c r="L26" s="227"/>
      <c r="M26" s="227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27"/>
      <c r="J27" s="227"/>
      <c r="K27" s="227"/>
      <c r="L27" s="227"/>
      <c r="M27" s="227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27"/>
      <c r="J28" s="227"/>
      <c r="K28" s="227"/>
      <c r="L28" s="227"/>
      <c r="M28" s="227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27"/>
      <c r="J29" s="227"/>
      <c r="K29" s="227"/>
      <c r="L29" s="227"/>
      <c r="M29" s="227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27"/>
      <c r="J30" s="227"/>
      <c r="K30" s="227"/>
      <c r="L30" s="227"/>
      <c r="M30" s="227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27"/>
      <c r="J31" s="227"/>
      <c r="K31" s="227"/>
      <c r="L31" s="227"/>
      <c r="M31" s="227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27"/>
      <c r="J32" s="227"/>
      <c r="K32" s="227"/>
      <c r="L32" s="227"/>
      <c r="M32" s="227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27"/>
      <c r="J33" s="227"/>
      <c r="K33" s="227"/>
      <c r="L33" s="227"/>
      <c r="M33" s="227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27"/>
      <c r="J34" s="227"/>
      <c r="K34" s="227"/>
      <c r="L34" s="227"/>
      <c r="M34" s="227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27"/>
      <c r="J35" s="227"/>
      <c r="K35" s="227"/>
      <c r="L35" s="227"/>
      <c r="M35" s="227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27"/>
      <c r="J36" s="227"/>
      <c r="K36" s="227"/>
      <c r="L36" s="227"/>
      <c r="M36" s="227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27"/>
      <c r="J37" s="227"/>
      <c r="K37" s="227"/>
      <c r="L37" s="227"/>
      <c r="M37" s="227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27"/>
      <c r="J38" s="227"/>
      <c r="K38" s="227"/>
      <c r="L38" s="227"/>
      <c r="M38" s="227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5" t="str">
        <f>A7</f>
        <v>Chêne sessile</v>
      </c>
      <c r="B39" s="5"/>
      <c r="C39" s="5"/>
      <c r="D39" s="5"/>
      <c r="E39" s="5"/>
      <c r="F39" s="5"/>
      <c r="G39" s="5"/>
      <c r="H39" s="5"/>
      <c r="I39" s="227"/>
      <c r="J39" s="227"/>
      <c r="K39" s="227"/>
      <c r="L39" s="227"/>
      <c r="M39" s="227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27"/>
      <c r="J40" s="227"/>
      <c r="K40" s="227"/>
      <c r="L40" s="227"/>
      <c r="M40" s="227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27"/>
      <c r="J41" s="227"/>
      <c r="K41" s="227"/>
      <c r="L41" s="227"/>
      <c r="M41" s="227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27"/>
      <c r="J42" s="227"/>
      <c r="K42" s="227"/>
      <c r="L42" s="227"/>
      <c r="M42" s="227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27"/>
      <c r="J43" s="227"/>
      <c r="K43" s="227"/>
      <c r="L43" s="227"/>
      <c r="M43" s="227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27"/>
      <c r="J44" s="227"/>
      <c r="K44" s="227"/>
      <c r="L44" s="227"/>
      <c r="M44" s="227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27"/>
      <c r="J45" s="227"/>
      <c r="K45" s="227"/>
      <c r="L45" s="227"/>
      <c r="M45" s="227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27"/>
      <c r="J46" s="227"/>
      <c r="K46" s="227"/>
      <c r="L46" s="227"/>
      <c r="M46" s="227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27"/>
      <c r="J47" s="227"/>
      <c r="K47" s="227"/>
      <c r="L47" s="227"/>
      <c r="M47" s="227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27"/>
      <c r="J48" s="227"/>
      <c r="K48" s="227"/>
      <c r="L48" s="227"/>
      <c r="M48" s="227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27"/>
      <c r="J49" s="227"/>
      <c r="K49" s="227"/>
      <c r="L49" s="227"/>
      <c r="M49" s="227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27"/>
      <c r="J50" s="227"/>
      <c r="K50" s="227"/>
      <c r="L50" s="227"/>
      <c r="M50" s="227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27"/>
      <c r="J51" s="227"/>
      <c r="K51" s="227"/>
      <c r="L51" s="227"/>
      <c r="M51" s="227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27"/>
      <c r="J52" s="227"/>
      <c r="K52" s="227"/>
      <c r="L52" s="227"/>
      <c r="M52" s="227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27"/>
      <c r="J53" s="227"/>
      <c r="K53" s="227"/>
      <c r="L53" s="227"/>
      <c r="M53" s="227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27"/>
      <c r="J54" s="227"/>
      <c r="K54" s="227"/>
      <c r="L54" s="227"/>
      <c r="M54" s="227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27"/>
      <c r="J55" s="227"/>
      <c r="K55" s="227"/>
      <c r="L55" s="227"/>
      <c r="M55" s="227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27"/>
      <c r="J56" s="227"/>
      <c r="K56" s="227"/>
      <c r="L56" s="227"/>
      <c r="M56" s="227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5" t="str">
        <f>A8</f>
        <v>Pin maritime</v>
      </c>
      <c r="B57" s="5"/>
      <c r="C57" s="5"/>
      <c r="D57" s="5"/>
      <c r="E57" s="5"/>
      <c r="F57" s="5"/>
      <c r="G57" s="5"/>
      <c r="H57" s="5"/>
      <c r="I57" s="227"/>
      <c r="J57" s="227"/>
      <c r="K57" s="227"/>
      <c r="L57" s="227"/>
      <c r="M57" s="227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27"/>
      <c r="J58" s="227"/>
      <c r="K58" s="227"/>
      <c r="L58" s="227"/>
      <c r="M58" s="227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27"/>
      <c r="J59" s="227"/>
      <c r="K59" s="227"/>
      <c r="L59" s="227"/>
      <c r="M59" s="227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27"/>
      <c r="J60" s="227"/>
      <c r="K60" s="227"/>
      <c r="L60" s="227"/>
      <c r="M60" s="227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27"/>
      <c r="J61" s="227"/>
      <c r="K61" s="227"/>
      <c r="L61" s="227"/>
      <c r="M61" s="227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27"/>
      <c r="J62" s="227"/>
      <c r="K62" s="227"/>
      <c r="L62" s="227"/>
      <c r="M62" s="227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27"/>
      <c r="J63" s="227"/>
      <c r="K63" s="227"/>
      <c r="L63" s="227"/>
      <c r="M63" s="227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27"/>
      <c r="J64" s="227"/>
      <c r="K64" s="227"/>
      <c r="L64" s="227"/>
      <c r="M64" s="227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27"/>
      <c r="J65" s="227"/>
      <c r="K65" s="227"/>
      <c r="L65" s="227"/>
      <c r="M65" s="227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27"/>
      <c r="J66" s="227"/>
      <c r="K66" s="227"/>
      <c r="L66" s="227"/>
      <c r="M66" s="227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27"/>
      <c r="J67" s="227"/>
      <c r="K67" s="227"/>
      <c r="L67" s="227"/>
      <c r="M67" s="227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27"/>
      <c r="J68" s="227"/>
      <c r="K68" s="227"/>
      <c r="L68" s="227"/>
      <c r="M68" s="227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27"/>
      <c r="J69" s="227"/>
      <c r="K69" s="227"/>
      <c r="L69" s="227"/>
      <c r="M69" s="227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27"/>
      <c r="J70" s="227"/>
      <c r="K70" s="227"/>
      <c r="L70" s="227"/>
      <c r="M70" s="227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27"/>
      <c r="J71" s="227"/>
      <c r="K71" s="227"/>
      <c r="L71" s="227"/>
      <c r="M71" s="227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27"/>
      <c r="J72" s="227"/>
      <c r="K72" s="227"/>
      <c r="L72" s="227"/>
      <c r="M72" s="227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27"/>
      <c r="J73" s="227"/>
      <c r="K73" s="227"/>
      <c r="L73" s="227"/>
      <c r="M73" s="227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27"/>
      <c r="J74" s="227"/>
      <c r="K74" s="227"/>
      <c r="L74" s="227"/>
      <c r="M74" s="227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27"/>
      <c r="J75" s="227"/>
      <c r="K75" s="227"/>
      <c r="L75" s="227"/>
      <c r="M75" s="227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5" t="str">
        <f>A9</f>
        <v>Alisier torminal</v>
      </c>
      <c r="B76" s="5"/>
      <c r="C76" s="5"/>
      <c r="D76" s="5"/>
      <c r="E76" s="5"/>
      <c r="F76" s="5"/>
      <c r="G76" s="5"/>
      <c r="H76" s="5"/>
      <c r="I76" s="227"/>
      <c r="J76" s="227"/>
      <c r="K76" s="227"/>
      <c r="L76" s="227"/>
      <c r="M76" s="227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27"/>
      <c r="J77" s="227"/>
      <c r="K77" s="227"/>
      <c r="L77" s="227"/>
      <c r="M77" s="227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27"/>
      <c r="J78" s="227"/>
      <c r="K78" s="227"/>
      <c r="L78" s="227"/>
      <c r="M78" s="227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27"/>
      <c r="J79" s="227"/>
      <c r="K79" s="227"/>
      <c r="L79" s="227"/>
      <c r="M79" s="227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27"/>
      <c r="J80" s="227"/>
      <c r="K80" s="227"/>
      <c r="L80" s="227"/>
      <c r="M80" s="227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27"/>
      <c r="J81" s="227"/>
      <c r="K81" s="227"/>
      <c r="L81" s="227"/>
      <c r="M81" s="227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27"/>
      <c r="J82" s="227"/>
      <c r="K82" s="227"/>
      <c r="L82" s="227"/>
      <c r="M82" s="227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27"/>
      <c r="J83" s="227"/>
      <c r="K83" s="227"/>
      <c r="L83" s="227"/>
      <c r="M83" s="227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27"/>
      <c r="J84" s="227"/>
      <c r="K84" s="227"/>
      <c r="L84" s="227"/>
      <c r="M84" s="227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27"/>
      <c r="J85" s="227"/>
      <c r="K85" s="227"/>
      <c r="L85" s="227"/>
      <c r="M85" s="227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27"/>
      <c r="J86" s="227"/>
      <c r="K86" s="227"/>
      <c r="L86" s="227"/>
      <c r="M86" s="227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27"/>
      <c r="J87" s="227"/>
      <c r="K87" s="227"/>
      <c r="L87" s="227"/>
      <c r="M87" s="227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27"/>
      <c r="J88" s="227"/>
      <c r="K88" s="227"/>
      <c r="L88" s="227"/>
      <c r="M88" s="227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27"/>
      <c r="J89" s="227"/>
      <c r="K89" s="227"/>
      <c r="L89" s="227"/>
      <c r="M89" s="227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27"/>
      <c r="J90" s="227"/>
      <c r="K90" s="227"/>
      <c r="L90" s="227"/>
      <c r="M90" s="227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27"/>
      <c r="J91" s="227"/>
      <c r="K91" s="227"/>
      <c r="L91" s="227"/>
      <c r="M91" s="227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27"/>
      <c r="J92" s="227"/>
      <c r="K92" s="227"/>
      <c r="L92" s="227"/>
      <c r="M92" s="227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27"/>
      <c r="J93" s="227"/>
      <c r="K93" s="227"/>
      <c r="L93" s="227"/>
      <c r="M93" s="227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5" t="str">
        <f>A10</f>
        <v>Cormier</v>
      </c>
      <c r="B94" s="5"/>
      <c r="C94" s="5"/>
      <c r="D94" s="5"/>
      <c r="E94" s="5"/>
      <c r="F94" s="5"/>
      <c r="G94" s="5"/>
      <c r="H94" s="5"/>
      <c r="I94" s="227"/>
      <c r="J94" s="227"/>
      <c r="K94" s="227"/>
      <c r="L94" s="227"/>
      <c r="M94" s="227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27"/>
      <c r="J95" s="227"/>
      <c r="K95" s="227"/>
      <c r="L95" s="227"/>
      <c r="M95" s="227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27"/>
      <c r="J96" s="227"/>
      <c r="K96" s="227"/>
      <c r="L96" s="227"/>
      <c r="M96" s="227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27"/>
      <c r="J97" s="227"/>
      <c r="K97" s="227"/>
      <c r="L97" s="227"/>
      <c r="M97" s="227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27"/>
      <c r="J98" s="227"/>
      <c r="K98" s="227"/>
      <c r="L98" s="227"/>
      <c r="M98" s="227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27"/>
      <c r="J99" s="227"/>
      <c r="K99" s="227"/>
      <c r="L99" s="227"/>
      <c r="M99" s="227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27"/>
      <c r="J100" s="227"/>
      <c r="K100" s="227"/>
      <c r="L100" s="227"/>
      <c r="M100" s="227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27"/>
      <c r="J101" s="227"/>
      <c r="K101" s="227"/>
      <c r="L101" s="227"/>
      <c r="M101" s="227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27"/>
      <c r="J102" s="227"/>
      <c r="K102" s="227"/>
      <c r="L102" s="227"/>
      <c r="M102" s="227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27"/>
      <c r="J103" s="227"/>
      <c r="K103" s="227"/>
      <c r="L103" s="227"/>
      <c r="M103" s="227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27"/>
      <c r="J104" s="227"/>
      <c r="K104" s="227"/>
      <c r="L104" s="227"/>
      <c r="M104" s="227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27"/>
      <c r="J105" s="227"/>
      <c r="K105" s="227"/>
      <c r="L105" s="227"/>
      <c r="M105" s="227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27"/>
      <c r="J106" s="227"/>
      <c r="K106" s="227"/>
      <c r="L106" s="227"/>
      <c r="M106" s="227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27"/>
      <c r="J107" s="227"/>
      <c r="K107" s="227"/>
      <c r="L107" s="227"/>
      <c r="M107" s="227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27"/>
      <c r="J108" s="227"/>
      <c r="K108" s="227"/>
      <c r="L108" s="227"/>
      <c r="M108" s="227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27"/>
      <c r="J109" s="227"/>
      <c r="K109" s="227"/>
      <c r="L109" s="227"/>
      <c r="M109" s="227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27"/>
      <c r="J110" s="227"/>
      <c r="K110" s="227"/>
      <c r="L110" s="227"/>
      <c r="M110" s="227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27"/>
      <c r="J111" s="227"/>
      <c r="K111" s="227"/>
      <c r="L111" s="227"/>
      <c r="M111" s="227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5" t="str">
        <f>A11</f>
        <v/>
      </c>
      <c r="B112" s="5"/>
      <c r="C112" s="5"/>
      <c r="D112" s="5"/>
      <c r="E112" s="5"/>
      <c r="F112" s="5"/>
      <c r="G112" s="5"/>
      <c r="H112" s="5"/>
      <c r="I112" s="227"/>
      <c r="J112" s="227"/>
      <c r="K112" s="227"/>
      <c r="L112" s="227"/>
      <c r="M112" s="227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27"/>
      <c r="J113" s="227"/>
      <c r="K113" s="227"/>
      <c r="L113" s="227"/>
      <c r="M113" s="227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27"/>
      <c r="J114" s="227"/>
      <c r="K114" s="227"/>
      <c r="L114" s="227"/>
      <c r="M114" s="227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27"/>
      <c r="J115" s="227"/>
      <c r="K115" s="227"/>
      <c r="L115" s="227"/>
      <c r="M115" s="227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27"/>
      <c r="J116" s="227"/>
      <c r="K116" s="227"/>
      <c r="L116" s="227"/>
      <c r="M116" s="227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27"/>
      <c r="J117" s="227"/>
      <c r="K117" s="227"/>
      <c r="L117" s="227"/>
      <c r="M117" s="227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27"/>
      <c r="J118" s="227"/>
      <c r="K118" s="227"/>
      <c r="L118" s="227"/>
      <c r="M118" s="227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27"/>
      <c r="J119" s="227"/>
      <c r="K119" s="227"/>
      <c r="L119" s="227"/>
      <c r="M119" s="227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27"/>
      <c r="J120" s="227"/>
      <c r="K120" s="227"/>
      <c r="L120" s="227"/>
      <c r="M120" s="227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27"/>
      <c r="J121" s="227"/>
      <c r="K121" s="227"/>
      <c r="L121" s="227"/>
      <c r="M121" s="227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27"/>
      <c r="J122" s="227"/>
      <c r="K122" s="227"/>
      <c r="L122" s="227"/>
      <c r="M122" s="227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27"/>
      <c r="J123" s="227"/>
      <c r="K123" s="227"/>
      <c r="L123" s="227"/>
      <c r="M123" s="227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27"/>
      <c r="J124" s="227"/>
      <c r="K124" s="227"/>
      <c r="L124" s="227"/>
      <c r="M124" s="227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27"/>
      <c r="J125" s="227"/>
      <c r="K125" s="227"/>
      <c r="L125" s="227"/>
      <c r="M125" s="227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27"/>
      <c r="J126" s="227"/>
      <c r="K126" s="227"/>
      <c r="L126" s="227"/>
      <c r="M126" s="227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27"/>
      <c r="J127" s="227"/>
      <c r="K127" s="227"/>
      <c r="L127" s="227"/>
      <c r="M127" s="227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27"/>
      <c r="J128" s="227"/>
      <c r="K128" s="227"/>
      <c r="L128" s="227"/>
      <c r="M128" s="227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27"/>
      <c r="J129" s="227"/>
      <c r="K129" s="227"/>
      <c r="L129" s="227"/>
      <c r="M129" s="227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5" t="str">
        <f>A12</f>
        <v/>
      </c>
      <c r="B130" s="5"/>
      <c r="C130" s="5"/>
      <c r="D130" s="5"/>
      <c r="E130" s="5"/>
      <c r="F130" s="5"/>
      <c r="G130" s="5"/>
      <c r="H130" s="5"/>
      <c r="I130" s="227"/>
      <c r="J130" s="227"/>
      <c r="K130" s="227"/>
      <c r="L130" s="227"/>
      <c r="M130" s="227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27"/>
      <c r="J131" s="227"/>
      <c r="K131" s="227"/>
      <c r="L131" s="227"/>
      <c r="M131" s="227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27"/>
      <c r="J132" s="227"/>
      <c r="K132" s="227"/>
      <c r="L132" s="227"/>
      <c r="M132" s="227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27"/>
      <c r="J133" s="227"/>
      <c r="K133" s="227"/>
      <c r="L133" s="227"/>
      <c r="M133" s="227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27"/>
      <c r="J134" s="227"/>
      <c r="K134" s="227"/>
      <c r="L134" s="227"/>
      <c r="M134" s="227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27"/>
      <c r="J135" s="227"/>
      <c r="K135" s="227"/>
      <c r="L135" s="227"/>
      <c r="M135" s="227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27"/>
      <c r="J136" s="227"/>
      <c r="K136" s="227"/>
      <c r="L136" s="227"/>
      <c r="M136" s="227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27"/>
      <c r="J137" s="227"/>
      <c r="K137" s="227"/>
      <c r="L137" s="227"/>
      <c r="M137" s="227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27"/>
      <c r="J138" s="227"/>
      <c r="K138" s="227"/>
      <c r="L138" s="227"/>
      <c r="M138" s="227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27"/>
      <c r="J139" s="227"/>
      <c r="K139" s="227"/>
      <c r="L139" s="227"/>
      <c r="M139" s="227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27"/>
      <c r="J140" s="227"/>
      <c r="K140" s="227"/>
      <c r="L140" s="227"/>
      <c r="M140" s="227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27"/>
      <c r="J141" s="227"/>
      <c r="K141" s="227"/>
      <c r="L141" s="227"/>
      <c r="M141" s="227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27"/>
      <c r="J142" s="227"/>
      <c r="K142" s="227"/>
      <c r="L142" s="227"/>
      <c r="M142" s="227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27"/>
      <c r="J143" s="227"/>
      <c r="K143" s="227"/>
      <c r="L143" s="227"/>
      <c r="M143" s="227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27"/>
      <c r="J144" s="227"/>
      <c r="K144" s="227"/>
      <c r="L144" s="227"/>
      <c r="M144" s="227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27"/>
      <c r="J145" s="227"/>
      <c r="K145" s="227"/>
      <c r="L145" s="227"/>
      <c r="M145" s="227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27"/>
      <c r="J146" s="227"/>
      <c r="K146" s="227"/>
      <c r="L146" s="227"/>
      <c r="M146" s="227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27"/>
      <c r="J147" s="227"/>
      <c r="K147" s="227"/>
      <c r="L147" s="227"/>
      <c r="M147" s="227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5" t="str">
        <f>A13</f>
        <v/>
      </c>
      <c r="B148" s="5"/>
      <c r="C148" s="5"/>
      <c r="D148" s="5"/>
      <c r="E148" s="5"/>
      <c r="F148" s="5"/>
      <c r="G148" s="5"/>
      <c r="H148" s="5"/>
      <c r="I148" s="227"/>
      <c r="J148" s="227"/>
      <c r="K148" s="227"/>
      <c r="L148" s="227"/>
      <c r="M148" s="227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27"/>
      <c r="J149" s="227"/>
      <c r="K149" s="227"/>
      <c r="L149" s="227"/>
      <c r="M149" s="227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27"/>
      <c r="J150" s="227"/>
      <c r="K150" s="227"/>
      <c r="L150" s="227"/>
      <c r="M150" s="227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27"/>
      <c r="J151" s="227"/>
      <c r="K151" s="227"/>
      <c r="L151" s="227"/>
      <c r="M151" s="227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27"/>
      <c r="J152" s="227"/>
      <c r="K152" s="227"/>
      <c r="L152" s="227"/>
      <c r="M152" s="227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27"/>
      <c r="J153" s="227"/>
      <c r="K153" s="227"/>
      <c r="L153" s="227"/>
      <c r="M153" s="227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27"/>
      <c r="J154" s="227"/>
      <c r="K154" s="227"/>
      <c r="L154" s="227"/>
      <c r="M154" s="227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27"/>
      <c r="J155" s="227"/>
      <c r="K155" s="227"/>
      <c r="L155" s="227"/>
      <c r="M155" s="227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27"/>
      <c r="J156" s="227"/>
      <c r="K156" s="227"/>
      <c r="L156" s="227"/>
      <c r="M156" s="227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27"/>
      <c r="J157" s="227"/>
      <c r="K157" s="227"/>
      <c r="L157" s="227"/>
      <c r="M157" s="227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27"/>
      <c r="J158" s="227"/>
      <c r="K158" s="227"/>
      <c r="L158" s="227"/>
      <c r="M158" s="227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27"/>
      <c r="J159" s="227"/>
      <c r="K159" s="227"/>
      <c r="L159" s="227"/>
      <c r="M159" s="227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27"/>
      <c r="J160" s="227"/>
      <c r="K160" s="227"/>
      <c r="L160" s="227"/>
      <c r="M160" s="227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27"/>
      <c r="J161" s="227"/>
      <c r="K161" s="227"/>
      <c r="L161" s="227"/>
      <c r="M161" s="227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27"/>
      <c r="J162" s="227"/>
      <c r="K162" s="227"/>
      <c r="L162" s="227"/>
      <c r="M162" s="227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27"/>
      <c r="J163" s="227"/>
      <c r="K163" s="227"/>
      <c r="L163" s="227"/>
      <c r="M163" s="227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27"/>
      <c r="J164" s="227"/>
      <c r="K164" s="227"/>
      <c r="L164" s="227"/>
      <c r="M164" s="227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27"/>
      <c r="J165" s="227"/>
      <c r="K165" s="227"/>
      <c r="L165" s="227"/>
      <c r="M165" s="227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5" t="str">
        <f>A14</f>
        <v/>
      </c>
      <c r="B166" s="5"/>
      <c r="C166" s="5"/>
      <c r="D166" s="5"/>
      <c r="E166" s="5"/>
      <c r="F166" s="5"/>
      <c r="G166" s="5"/>
      <c r="H166" s="5"/>
      <c r="I166" s="227"/>
      <c r="J166" s="227"/>
      <c r="K166" s="227"/>
      <c r="L166" s="227"/>
      <c r="M166" s="227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27"/>
      <c r="J167" s="227"/>
      <c r="K167" s="227"/>
      <c r="L167" s="227"/>
      <c r="M167" s="227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27"/>
      <c r="J168" s="227"/>
      <c r="K168" s="227"/>
      <c r="L168" s="227"/>
      <c r="M168" s="227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27"/>
      <c r="J169" s="227"/>
      <c r="K169" s="227"/>
      <c r="L169" s="227"/>
      <c r="M169" s="227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27"/>
      <c r="J170" s="227"/>
      <c r="K170" s="227"/>
      <c r="L170" s="227"/>
      <c r="M170" s="227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27"/>
      <c r="J171" s="227"/>
      <c r="K171" s="227"/>
      <c r="L171" s="227"/>
      <c r="M171" s="227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27"/>
      <c r="J172" s="227"/>
      <c r="K172" s="227"/>
      <c r="L172" s="227"/>
      <c r="M172" s="227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27"/>
      <c r="J173" s="227"/>
      <c r="K173" s="227"/>
      <c r="L173" s="227"/>
      <c r="M173" s="227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27"/>
      <c r="J174" s="227"/>
      <c r="K174" s="227"/>
      <c r="L174" s="227"/>
      <c r="M174" s="227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27"/>
      <c r="J175" s="227"/>
      <c r="K175" s="227"/>
      <c r="L175" s="227"/>
      <c r="M175" s="227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27"/>
      <c r="J176" s="227"/>
      <c r="K176" s="227"/>
      <c r="L176" s="227"/>
      <c r="M176" s="227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27"/>
      <c r="J177" s="227"/>
      <c r="K177" s="227"/>
      <c r="L177" s="227"/>
      <c r="M177" s="227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27"/>
      <c r="J178" s="227"/>
      <c r="K178" s="227"/>
      <c r="L178" s="227"/>
      <c r="M178" s="227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27"/>
      <c r="J179" s="227"/>
      <c r="K179" s="227"/>
      <c r="L179" s="227"/>
      <c r="M179" s="227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27"/>
      <c r="J180" s="227"/>
      <c r="K180" s="227"/>
      <c r="L180" s="227"/>
      <c r="M180" s="227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27"/>
      <c r="J181" s="227"/>
      <c r="K181" s="227"/>
      <c r="L181" s="227"/>
      <c r="M181" s="227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27"/>
      <c r="J182" s="227"/>
      <c r="K182" s="227"/>
      <c r="L182" s="227"/>
      <c r="M182" s="227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27"/>
      <c r="J183" s="227"/>
      <c r="K183" s="227"/>
      <c r="L183" s="227"/>
      <c r="M183" s="227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5" t="str">
        <f>A15</f>
        <v/>
      </c>
      <c r="B184" s="5"/>
      <c r="C184" s="5"/>
      <c r="D184" s="5"/>
      <c r="E184" s="5"/>
      <c r="F184" s="5"/>
      <c r="G184" s="5"/>
      <c r="H184" s="5"/>
      <c r="I184" s="227"/>
      <c r="J184" s="227"/>
      <c r="K184" s="227"/>
      <c r="L184" s="227"/>
      <c r="M184" s="227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27"/>
      <c r="J185" s="227"/>
      <c r="K185" s="227"/>
      <c r="L185" s="227"/>
      <c r="M185" s="227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27"/>
      <c r="J186" s="227"/>
      <c r="K186" s="227"/>
      <c r="L186" s="227"/>
      <c r="M186" s="227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27"/>
      <c r="J187" s="227"/>
      <c r="K187" s="227"/>
      <c r="L187" s="227"/>
      <c r="M187" s="227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27"/>
      <c r="J188" s="227"/>
      <c r="K188" s="227"/>
      <c r="L188" s="227"/>
      <c r="M188" s="227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27"/>
      <c r="J189" s="227"/>
      <c r="K189" s="227"/>
      <c r="L189" s="227"/>
      <c r="M189" s="227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27"/>
      <c r="J190" s="227"/>
      <c r="K190" s="227"/>
      <c r="L190" s="227"/>
      <c r="M190" s="227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27"/>
      <c r="J191" s="227"/>
      <c r="K191" s="227"/>
      <c r="L191" s="227"/>
      <c r="M191" s="227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27"/>
      <c r="J192" s="227"/>
      <c r="K192" s="227"/>
      <c r="L192" s="227"/>
      <c r="M192" s="227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27"/>
      <c r="J193" s="227"/>
      <c r="K193" s="227"/>
      <c r="L193" s="227"/>
      <c r="M193" s="227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27"/>
      <c r="J194" s="227"/>
      <c r="K194" s="227"/>
      <c r="L194" s="227"/>
      <c r="M194" s="227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27"/>
      <c r="J195" s="227"/>
      <c r="K195" s="227"/>
      <c r="L195" s="227"/>
      <c r="M195" s="227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27"/>
      <c r="J196" s="227"/>
      <c r="K196" s="227"/>
      <c r="L196" s="227"/>
      <c r="M196" s="227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27"/>
      <c r="J197" s="227"/>
      <c r="K197" s="227"/>
      <c r="L197" s="227"/>
      <c r="M197" s="227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27"/>
      <c r="J198" s="227"/>
      <c r="K198" s="227"/>
      <c r="L198" s="227"/>
      <c r="M198" s="227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27"/>
      <c r="J199" s="227"/>
      <c r="K199" s="227"/>
      <c r="L199" s="227"/>
      <c r="M199" s="227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27"/>
      <c r="J200" s="227"/>
      <c r="K200" s="227"/>
      <c r="L200" s="227"/>
      <c r="M200" s="227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27"/>
      <c r="J201" s="227"/>
      <c r="K201" s="227"/>
      <c r="L201" s="227"/>
      <c r="M201" s="227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27"/>
      <c r="J202" s="227"/>
      <c r="K202" s="227"/>
      <c r="L202" s="227"/>
      <c r="M202" s="227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68"/>
      <c r="J203" s="68"/>
      <c r="K203" s="68"/>
      <c r="L203" s="68"/>
      <c r="M203" s="227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68"/>
      <c r="J204" s="68"/>
      <c r="K204" s="68"/>
      <c r="L204" s="68"/>
      <c r="M204" s="68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68"/>
      <c r="J205" s="68"/>
      <c r="K205" s="68"/>
      <c r="L205" s="68"/>
      <c r="M205" s="68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68"/>
      <c r="J206" s="68"/>
      <c r="K206" s="68"/>
      <c r="L206" s="68"/>
      <c r="M206" s="68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68"/>
      <c r="J207" s="68"/>
      <c r="K207" s="68"/>
      <c r="L207" s="68"/>
      <c r="M207" s="68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68"/>
      <c r="J208" s="68"/>
      <c r="K208" s="68"/>
      <c r="L208" s="68"/>
      <c r="M208" s="68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68"/>
      <c r="J209" s="68"/>
      <c r="K209" s="68"/>
      <c r="L209" s="68"/>
      <c r="M209" s="68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68"/>
      <c r="J210" s="68"/>
      <c r="K210" s="68"/>
      <c r="L210" s="68"/>
      <c r="M210" s="68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68"/>
      <c r="J211" s="68"/>
      <c r="K211" s="68"/>
      <c r="L211" s="68"/>
      <c r="M211" s="68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68"/>
      <c r="J212" s="68"/>
      <c r="K212" s="68"/>
      <c r="L212" s="68"/>
      <c r="M212" s="68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68"/>
      <c r="J213" s="68"/>
      <c r="K213" s="68"/>
      <c r="L213" s="68"/>
      <c r="M213" s="68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68"/>
      <c r="J214" s="68"/>
      <c r="K214" s="68"/>
      <c r="L214" s="68"/>
      <c r="M214" s="68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68"/>
      <c r="J215" s="68"/>
      <c r="K215" s="68"/>
      <c r="L215" s="68"/>
      <c r="M215" s="68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68"/>
      <c r="J216" s="68"/>
      <c r="K216" s="68"/>
      <c r="L216" s="68"/>
      <c r="M216" s="68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68"/>
      <c r="J217" s="68"/>
      <c r="K217" s="68"/>
      <c r="L217" s="68"/>
      <c r="M217" s="68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68"/>
      <c r="J218" s="68"/>
      <c r="K218" s="68"/>
      <c r="L218" s="68"/>
      <c r="M218" s="68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68"/>
      <c r="J219" s="68"/>
      <c r="K219" s="68"/>
      <c r="L219" s="68"/>
      <c r="M219" s="68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68"/>
      <c r="J220" s="68"/>
      <c r="K220" s="68"/>
      <c r="L220" s="68"/>
      <c r="M220" s="68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68"/>
      <c r="J221" s="68"/>
      <c r="K221" s="68"/>
      <c r="L221" s="68"/>
      <c r="M221" s="68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68"/>
      <c r="J222" s="68"/>
      <c r="K222" s="68"/>
      <c r="L222" s="68"/>
      <c r="M222" s="68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68"/>
      <c r="J223" s="68"/>
      <c r="K223" s="68"/>
      <c r="L223" s="68"/>
      <c r="M223" s="68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68"/>
      <c r="J224" s="68"/>
      <c r="K224" s="68"/>
      <c r="L224" s="68"/>
      <c r="M224" s="68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68"/>
      <c r="J225" s="68"/>
      <c r="K225" s="68"/>
      <c r="L225" s="68"/>
      <c r="M225" s="68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68"/>
      <c r="J226" s="68"/>
      <c r="K226" s="68"/>
      <c r="L226" s="68"/>
      <c r="M226" s="68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68"/>
      <c r="J227" s="68"/>
      <c r="K227" s="68"/>
      <c r="L227" s="68"/>
      <c r="M227" s="68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68"/>
      <c r="J228" s="68"/>
      <c r="K228" s="68"/>
      <c r="L228" s="68"/>
      <c r="M228" s="68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68"/>
      <c r="J229" s="68"/>
      <c r="K229" s="68"/>
      <c r="L229" s="68"/>
      <c r="M229" s="68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68"/>
      <c r="J230" s="68"/>
      <c r="K230" s="68"/>
      <c r="L230" s="68"/>
      <c r="M230" s="68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68"/>
      <c r="J231" s="68"/>
      <c r="K231" s="68"/>
      <c r="L231" s="68"/>
      <c r="M231" s="68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68"/>
      <c r="J232" s="68"/>
      <c r="K232" s="68"/>
      <c r="L232" s="68"/>
      <c r="M232" s="68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68"/>
      <c r="J233" s="68"/>
      <c r="K233" s="68"/>
      <c r="L233" s="68"/>
      <c r="M233" s="68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68"/>
      <c r="J234" s="68"/>
      <c r="K234" s="68"/>
      <c r="L234" s="68"/>
      <c r="M234" s="68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68"/>
      <c r="J235" s="68"/>
      <c r="K235" s="68"/>
      <c r="L235" s="68"/>
      <c r="M235" s="68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68"/>
      <c r="J236" s="68"/>
      <c r="K236" s="68"/>
      <c r="L236" s="68"/>
      <c r="M236" s="68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68"/>
      <c r="J237" s="68"/>
      <c r="K237" s="68"/>
      <c r="L237" s="68"/>
      <c r="M237" s="68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68"/>
      <c r="J238" s="68"/>
      <c r="K238" s="68"/>
      <c r="L238" s="68"/>
      <c r="M238" s="68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68"/>
      <c r="J239" s="68"/>
      <c r="K239" s="68"/>
      <c r="L239" s="68"/>
      <c r="M239" s="68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68"/>
      <c r="J240" s="68"/>
      <c r="K240" s="68"/>
      <c r="L240" s="68"/>
      <c r="M240" s="68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68"/>
      <c r="J241" s="68"/>
      <c r="K241" s="68"/>
      <c r="L241" s="68"/>
      <c r="M241" s="68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68"/>
      <c r="J242" s="68"/>
      <c r="K242" s="68"/>
      <c r="L242" s="68"/>
      <c r="M242" s="68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68"/>
      <c r="J243" s="68"/>
      <c r="K243" s="68"/>
      <c r="L243" s="68"/>
      <c r="M243" s="68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68"/>
      <c r="J244" s="68"/>
      <c r="K244" s="68"/>
      <c r="L244" s="68"/>
      <c r="M244" s="68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68"/>
      <c r="J245" s="68"/>
      <c r="K245" s="68"/>
      <c r="L245" s="68"/>
      <c r="M245" s="68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68"/>
      <c r="J246" s="68"/>
      <c r="K246" s="68"/>
      <c r="L246" s="68"/>
      <c r="M246" s="68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68"/>
      <c r="J247" s="68"/>
      <c r="K247" s="68"/>
      <c r="L247" s="68"/>
      <c r="M247" s="68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68"/>
      <c r="J248" s="68"/>
      <c r="K248" s="68"/>
      <c r="L248" s="68"/>
      <c r="M248" s="68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68"/>
      <c r="J249" s="68"/>
      <c r="K249" s="68"/>
      <c r="L249" s="68"/>
      <c r="M249" s="68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68"/>
      <c r="J250" s="68"/>
      <c r="K250" s="68"/>
      <c r="L250" s="68"/>
      <c r="M250" s="68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68"/>
      <c r="J251" s="68"/>
      <c r="K251" s="68"/>
      <c r="L251" s="68"/>
      <c r="M251" s="68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68"/>
      <c r="J252" s="68"/>
      <c r="K252" s="68"/>
      <c r="L252" s="68"/>
      <c r="M252" s="68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68"/>
      <c r="J253" s="68"/>
      <c r="K253" s="68"/>
      <c r="L253" s="68"/>
      <c r="M253" s="68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68"/>
      <c r="J254" s="68"/>
      <c r="K254" s="68"/>
      <c r="L254" s="68"/>
      <c r="M254" s="68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68"/>
      <c r="J255" s="68"/>
      <c r="K255" s="68"/>
      <c r="L255" s="68"/>
      <c r="M255" s="68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68"/>
      <c r="J256" s="68"/>
      <c r="K256" s="68"/>
      <c r="L256" s="68"/>
      <c r="M256" s="68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68"/>
      <c r="J257" s="68"/>
      <c r="K257" s="68"/>
      <c r="L257" s="68"/>
      <c r="M257" s="68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68"/>
      <c r="J258" s="68"/>
      <c r="K258" s="68"/>
      <c r="L258" s="68"/>
      <c r="M258" s="68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68"/>
      <c r="J259" s="68"/>
      <c r="K259" s="68"/>
      <c r="L259" s="68"/>
      <c r="M259" s="68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68"/>
      <c r="J260" s="68"/>
      <c r="K260" s="68"/>
      <c r="L260" s="68"/>
      <c r="M260" s="68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68"/>
      <c r="J261" s="68"/>
      <c r="K261" s="68"/>
      <c r="L261" s="68"/>
      <c r="M261" s="68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68"/>
      <c r="J262" s="68"/>
      <c r="K262" s="68"/>
      <c r="L262" s="68"/>
      <c r="M262" s="68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68"/>
      <c r="J263" s="68"/>
      <c r="K263" s="68"/>
      <c r="L263" s="68"/>
      <c r="M263" s="68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68"/>
      <c r="J264" s="68"/>
      <c r="K264" s="68"/>
      <c r="L264" s="68"/>
      <c r="M264" s="68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68"/>
      <c r="J265" s="68"/>
      <c r="K265" s="68"/>
      <c r="L265" s="68"/>
      <c r="M265" s="68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68"/>
      <c r="J266" s="68"/>
      <c r="K266" s="68"/>
      <c r="L266" s="68"/>
      <c r="M266" s="68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68"/>
      <c r="J267" s="68"/>
      <c r="K267" s="68"/>
      <c r="L267" s="68"/>
      <c r="M267" s="68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68"/>
      <c r="J268" s="68"/>
      <c r="K268" s="68"/>
      <c r="L268" s="68"/>
      <c r="M268" s="68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68"/>
      <c r="J269" s="68"/>
      <c r="K269" s="68"/>
      <c r="L269" s="68"/>
      <c r="M269" s="68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68"/>
      <c r="J270" s="68"/>
      <c r="K270" s="68"/>
      <c r="L270" s="68"/>
      <c r="M270" s="68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68"/>
      <c r="J271" s="68"/>
      <c r="K271" s="68"/>
      <c r="L271" s="68"/>
      <c r="M271" s="68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68"/>
      <c r="J272" s="68"/>
      <c r="K272" s="68"/>
      <c r="L272" s="68"/>
      <c r="M272" s="68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68"/>
      <c r="J273" s="68"/>
      <c r="K273" s="68"/>
      <c r="L273" s="68"/>
      <c r="M273" s="68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68"/>
      <c r="J274" s="68"/>
      <c r="K274" s="68"/>
      <c r="L274" s="68"/>
      <c r="M274" s="68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68"/>
      <c r="J275" s="68"/>
      <c r="K275" s="68"/>
      <c r="L275" s="68"/>
      <c r="M275" s="68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68"/>
      <c r="J276" s="68"/>
      <c r="K276" s="68"/>
      <c r="L276" s="68"/>
      <c r="M276" s="68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68"/>
      <c r="J277" s="68"/>
      <c r="K277" s="68"/>
      <c r="L277" s="68"/>
      <c r="M277" s="68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68"/>
      <c r="J278" s="68"/>
      <c r="K278" s="68"/>
      <c r="L278" s="68"/>
      <c r="M278" s="68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68"/>
      <c r="J279" s="68"/>
      <c r="K279" s="68"/>
      <c r="L279" s="68"/>
      <c r="M279" s="68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68"/>
      <c r="J280" s="68"/>
      <c r="K280" s="68"/>
      <c r="L280" s="68"/>
      <c r="M280" s="68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68"/>
      <c r="J281" s="68"/>
      <c r="K281" s="68"/>
      <c r="L281" s="68"/>
      <c r="M281" s="68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68"/>
      <c r="J282" s="68"/>
      <c r="K282" s="68"/>
      <c r="L282" s="68"/>
      <c r="M282" s="68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68"/>
      <c r="J283" s="68"/>
      <c r="K283" s="68"/>
      <c r="L283" s="68"/>
      <c r="M283" s="68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68"/>
      <c r="J284" s="68"/>
      <c r="K284" s="68"/>
      <c r="L284" s="68"/>
      <c r="M284" s="68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68"/>
      <c r="J285" s="68"/>
      <c r="K285" s="68"/>
      <c r="L285" s="68"/>
      <c r="M285" s="68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68"/>
      <c r="J286" s="68"/>
      <c r="K286" s="68"/>
      <c r="L286" s="68"/>
      <c r="M286" s="68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68"/>
      <c r="J287" s="68"/>
      <c r="K287" s="68"/>
      <c r="L287" s="68"/>
      <c r="M287" s="68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68"/>
      <c r="J288" s="68"/>
      <c r="K288" s="68"/>
      <c r="L288" s="68"/>
      <c r="M288" s="68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68"/>
      <c r="J289" s="68"/>
      <c r="K289" s="68"/>
      <c r="L289" s="68"/>
      <c r="M289" s="68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68"/>
      <c r="J290" s="68"/>
      <c r="K290" s="68"/>
      <c r="L290" s="68"/>
      <c r="M290" s="68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68"/>
      <c r="J291" s="68"/>
      <c r="K291" s="68"/>
      <c r="L291" s="68"/>
      <c r="M291" s="68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68"/>
      <c r="J292" s="68"/>
      <c r="K292" s="68"/>
      <c r="L292" s="68"/>
      <c r="M292" s="68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68"/>
      <c r="J293" s="68"/>
      <c r="K293" s="68"/>
      <c r="L293" s="68"/>
      <c r="M293" s="68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68"/>
      <c r="J294" s="68"/>
      <c r="K294" s="68"/>
      <c r="L294" s="68"/>
      <c r="M294" s="68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68"/>
      <c r="J295" s="68"/>
      <c r="K295" s="68"/>
      <c r="L295" s="68"/>
      <c r="M295" s="68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68"/>
      <c r="J296" s="68"/>
      <c r="K296" s="68"/>
      <c r="L296" s="68"/>
      <c r="M296" s="68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68"/>
      <c r="J297" s="68"/>
      <c r="K297" s="68"/>
      <c r="L297" s="68"/>
      <c r="M297" s="68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68"/>
      <c r="J298" s="68"/>
      <c r="K298" s="68"/>
      <c r="L298" s="68"/>
      <c r="M298" s="68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68"/>
      <c r="J299" s="68"/>
      <c r="K299" s="68"/>
      <c r="L299" s="68"/>
      <c r="M299" s="68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68"/>
      <c r="J300" s="68"/>
      <c r="K300" s="68"/>
      <c r="L300" s="68"/>
      <c r="M300" s="68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68"/>
      <c r="J301" s="68"/>
      <c r="K301" s="68"/>
      <c r="L301" s="68"/>
      <c r="M301" s="68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68"/>
      <c r="J302" s="68"/>
      <c r="K302" s="68"/>
      <c r="L302" s="68"/>
      <c r="M302" s="68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68"/>
      <c r="J303" s="68"/>
      <c r="K303" s="68"/>
      <c r="L303" s="68"/>
      <c r="M303" s="68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68"/>
      <c r="J304" s="68"/>
      <c r="K304" s="68"/>
      <c r="L304" s="68"/>
      <c r="M304" s="68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68"/>
      <c r="J305" s="68"/>
      <c r="K305" s="68"/>
      <c r="L305" s="68"/>
      <c r="M305" s="68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68"/>
      <c r="J306" s="68"/>
      <c r="K306" s="68"/>
      <c r="L306" s="68"/>
      <c r="M306" s="68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68"/>
      <c r="J307" s="68"/>
      <c r="K307" s="68"/>
      <c r="L307" s="68"/>
      <c r="M307" s="68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68"/>
      <c r="J308" s="68"/>
      <c r="K308" s="68"/>
      <c r="L308" s="68"/>
      <c r="M308" s="68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68"/>
      <c r="J309" s="68"/>
      <c r="K309" s="68"/>
      <c r="L309" s="68"/>
      <c r="M309" s="68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68"/>
      <c r="J310" s="68"/>
      <c r="K310" s="68"/>
      <c r="L310" s="68"/>
      <c r="M310" s="68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68"/>
      <c r="J311" s="68"/>
      <c r="K311" s="68"/>
      <c r="L311" s="68"/>
      <c r="M311" s="68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68"/>
      <c r="J312" s="68"/>
      <c r="K312" s="68"/>
      <c r="L312" s="68"/>
      <c r="M312" s="68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68"/>
      <c r="J313" s="68"/>
      <c r="K313" s="68"/>
      <c r="L313" s="68"/>
      <c r="M313" s="68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68"/>
      <c r="J314" s="68"/>
      <c r="K314" s="68"/>
      <c r="L314" s="68"/>
      <c r="M314" s="68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68"/>
      <c r="J315" s="68"/>
      <c r="K315" s="68"/>
      <c r="L315" s="68"/>
      <c r="M315" s="68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68"/>
      <c r="J316" s="68"/>
      <c r="K316" s="68"/>
      <c r="L316" s="68"/>
      <c r="M316" s="68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68"/>
      <c r="J317" s="68"/>
      <c r="K317" s="68"/>
      <c r="L317" s="68"/>
      <c r="M317" s="68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68"/>
      <c r="J318" s="68"/>
      <c r="K318" s="68"/>
      <c r="L318" s="68"/>
      <c r="M318" s="68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68"/>
      <c r="J319" s="68"/>
      <c r="K319" s="68"/>
      <c r="L319" s="68"/>
      <c r="M319" s="68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68"/>
      <c r="J320" s="68"/>
      <c r="K320" s="68"/>
      <c r="L320" s="68"/>
      <c r="M320" s="68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68"/>
      <c r="J321" s="68"/>
      <c r="K321" s="68"/>
      <c r="L321" s="68"/>
      <c r="M321" s="68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68"/>
      <c r="J322" s="68"/>
      <c r="K322" s="68"/>
      <c r="L322" s="68"/>
      <c r="M322" s="68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68"/>
      <c r="J323" s="68"/>
      <c r="K323" s="68"/>
      <c r="L323" s="68"/>
      <c r="M323" s="68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68"/>
      <c r="J324" s="68"/>
      <c r="K324" s="68"/>
      <c r="L324" s="68"/>
      <c r="M324" s="68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68"/>
      <c r="J325" s="68"/>
      <c r="K325" s="68"/>
      <c r="L325" s="68"/>
      <c r="M325" s="68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68"/>
      <c r="J326" s="68"/>
      <c r="K326" s="68"/>
      <c r="L326" s="68"/>
      <c r="M326" s="68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68"/>
      <c r="J327" s="68"/>
      <c r="K327" s="68"/>
      <c r="L327" s="68"/>
      <c r="M327" s="68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68"/>
      <c r="J328" s="68"/>
      <c r="K328" s="68"/>
      <c r="L328" s="68"/>
      <c r="M328" s="68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68"/>
      <c r="J329" s="68"/>
      <c r="K329" s="68"/>
      <c r="L329" s="68"/>
      <c r="M329" s="68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68"/>
      <c r="J330" s="68"/>
      <c r="K330" s="68"/>
      <c r="L330" s="68"/>
      <c r="M330" s="68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68"/>
      <c r="J331" s="68"/>
      <c r="K331" s="68"/>
      <c r="L331" s="68"/>
      <c r="M331" s="68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68"/>
      <c r="J332" s="68"/>
      <c r="K332" s="68"/>
      <c r="L332" s="68"/>
      <c r="M332" s="68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68"/>
      <c r="J333" s="68"/>
      <c r="K333" s="68"/>
      <c r="L333" s="68"/>
      <c r="M333" s="68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68"/>
      <c r="J334" s="68"/>
      <c r="K334" s="68"/>
      <c r="L334" s="68"/>
      <c r="M334" s="68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68"/>
      <c r="J335" s="68"/>
      <c r="K335" s="68"/>
      <c r="L335" s="68"/>
      <c r="M335" s="68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68"/>
      <c r="J336" s="68"/>
      <c r="K336" s="68"/>
      <c r="L336" s="68"/>
      <c r="M336" s="68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68"/>
      <c r="J337" s="68"/>
      <c r="K337" s="68"/>
      <c r="L337" s="68"/>
      <c r="M337" s="68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68"/>
      <c r="J338" s="68"/>
      <c r="K338" s="68"/>
      <c r="L338" s="68"/>
      <c r="M338" s="68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68"/>
      <c r="J339" s="68"/>
      <c r="K339" s="68"/>
      <c r="L339" s="68"/>
      <c r="M339" s="68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68"/>
      <c r="J340" s="68"/>
      <c r="K340" s="68"/>
      <c r="L340" s="68"/>
      <c r="M340" s="68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68"/>
      <c r="J341" s="68"/>
      <c r="K341" s="68"/>
      <c r="L341" s="68"/>
      <c r="M341" s="68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68"/>
      <c r="J342" s="68"/>
      <c r="K342" s="68"/>
      <c r="L342" s="68"/>
      <c r="M342" s="68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68"/>
      <c r="J343" s="68"/>
      <c r="K343" s="68"/>
      <c r="L343" s="68"/>
      <c r="M343" s="68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68"/>
      <c r="J344" s="68"/>
      <c r="K344" s="68"/>
      <c r="L344" s="68"/>
      <c r="M344" s="68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68"/>
      <c r="J345" s="68"/>
      <c r="K345" s="68"/>
      <c r="L345" s="68"/>
      <c r="M345" s="68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68"/>
      <c r="J346" s="68"/>
      <c r="K346" s="68"/>
      <c r="L346" s="68"/>
      <c r="M346" s="68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68"/>
      <c r="J347" s="68"/>
      <c r="K347" s="68"/>
      <c r="L347" s="68"/>
      <c r="M347" s="68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68"/>
      <c r="J348" s="68"/>
      <c r="K348" s="68"/>
      <c r="L348" s="68"/>
      <c r="M348" s="68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68"/>
      <c r="J349" s="68"/>
      <c r="K349" s="68"/>
      <c r="L349" s="68"/>
      <c r="M349" s="68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68"/>
      <c r="J350" s="68"/>
      <c r="K350" s="68"/>
      <c r="L350" s="68"/>
      <c r="M350" s="68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68"/>
      <c r="J351" s="68"/>
      <c r="K351" s="68"/>
      <c r="L351" s="68"/>
      <c r="M351" s="68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68"/>
      <c r="J352" s="68"/>
      <c r="K352" s="68"/>
      <c r="L352" s="68"/>
      <c r="M352" s="68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68"/>
      <c r="J353" s="68"/>
      <c r="K353" s="68"/>
      <c r="L353" s="68"/>
      <c r="M353" s="68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68"/>
      <c r="J354" s="68"/>
      <c r="K354" s="68"/>
      <c r="L354" s="68"/>
      <c r="M354" s="68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68"/>
      <c r="J355" s="68"/>
      <c r="K355" s="68"/>
      <c r="L355" s="68"/>
      <c r="M355" s="68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68"/>
      <c r="J356" s="68"/>
      <c r="K356" s="68"/>
      <c r="L356" s="68"/>
      <c r="M356" s="68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N1" zoomScale="55" zoomScaleNormal="55" workbookViewId="0">
      <selection activeCell="T24" sqref="T24:V24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68"/>
      <c r="G1" s="68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4" t="s">
        <v>272</v>
      </c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6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198" customFormat="1" x14ac:dyDescent="0.3">
      <c r="A3" s="95"/>
      <c r="B3" s="95"/>
      <c r="C3" s="95"/>
      <c r="D3" s="95"/>
      <c r="E3" s="95"/>
      <c r="F3" s="176"/>
      <c r="G3" s="176"/>
      <c r="H3" s="177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</row>
    <row r="4" spans="1:42" s="198" customFormat="1" x14ac:dyDescent="0.3">
      <c r="A4" s="95"/>
      <c r="B4" s="95"/>
      <c r="C4" s="95"/>
      <c r="D4" s="95"/>
      <c r="E4" s="95"/>
      <c r="G4" s="176"/>
      <c r="H4" s="322" t="s">
        <v>315</v>
      </c>
      <c r="I4" s="322"/>
      <c r="K4" s="319" t="s">
        <v>253</v>
      </c>
      <c r="L4" s="320"/>
      <c r="M4" s="264">
        <v>4.4999999999999998E-2</v>
      </c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</row>
    <row r="5" spans="1:42" s="198" customFormat="1" x14ac:dyDescent="0.3">
      <c r="A5" s="95"/>
      <c r="B5" s="95"/>
      <c r="C5" s="95"/>
      <c r="D5" s="95"/>
      <c r="E5" s="95"/>
      <c r="G5" s="176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</row>
    <row r="6" spans="1:42" s="198" customFormat="1" ht="15" thickBot="1" x14ac:dyDescent="0.35">
      <c r="A6" s="95"/>
      <c r="B6" s="95"/>
      <c r="C6" s="95"/>
      <c r="D6" s="95"/>
      <c r="E6" s="95"/>
      <c r="F6" s="225"/>
      <c r="G6" s="176"/>
      <c r="H6" s="178"/>
      <c r="I6" s="178"/>
      <c r="J6" s="178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</row>
    <row r="7" spans="1:42" s="198" customFormat="1" ht="27.75" customHeight="1" thickBot="1" x14ac:dyDescent="0.55000000000000004">
      <c r="A7" s="271"/>
      <c r="B7" s="272"/>
      <c r="C7" s="272"/>
      <c r="D7" s="272"/>
      <c r="E7" s="273"/>
      <c r="F7" s="273" t="s">
        <v>192</v>
      </c>
      <c r="G7" s="274"/>
      <c r="H7" s="272"/>
      <c r="I7" s="272"/>
      <c r="J7" s="275"/>
      <c r="K7" s="269"/>
      <c r="L7" s="270"/>
      <c r="M7" s="270"/>
      <c r="N7" s="276" t="s">
        <v>191</v>
      </c>
      <c r="O7" s="276"/>
      <c r="P7" s="277"/>
      <c r="Q7" s="278"/>
      <c r="R7" s="330" t="s">
        <v>310</v>
      </c>
      <c r="S7" s="331"/>
      <c r="T7" s="331"/>
      <c r="U7" s="331"/>
      <c r="V7" s="332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</row>
    <row r="8" spans="1:42" x14ac:dyDescent="0.3">
      <c r="A8" s="25"/>
      <c r="C8" s="25"/>
      <c r="D8" s="25"/>
      <c r="E8" s="25"/>
      <c r="F8" s="217"/>
      <c r="G8" s="217"/>
      <c r="H8" s="5"/>
      <c r="I8" s="5"/>
      <c r="J8" s="210"/>
      <c r="K8" s="221"/>
      <c r="L8" s="25"/>
      <c r="M8" s="25"/>
      <c r="N8" s="25"/>
      <c r="O8" s="25"/>
      <c r="P8" s="25"/>
      <c r="Q8" s="261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6" t="s">
        <v>311</v>
      </c>
      <c r="C9" s="25"/>
      <c r="D9" s="25"/>
      <c r="E9" s="25"/>
      <c r="F9" s="257"/>
      <c r="G9" s="256" t="s">
        <v>314</v>
      </c>
      <c r="J9" s="210"/>
      <c r="K9" s="221"/>
      <c r="O9" s="25"/>
      <c r="P9" s="25"/>
      <c r="Q9" s="261"/>
      <c r="R9" s="25"/>
      <c r="S9" s="5"/>
      <c r="T9" s="181" t="s">
        <v>262</v>
      </c>
      <c r="U9" s="184" t="s">
        <v>249</v>
      </c>
      <c r="V9" s="181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6" t="s">
        <v>317</v>
      </c>
      <c r="C10" s="25"/>
      <c r="D10" s="25"/>
      <c r="E10" s="25"/>
      <c r="F10" s="257"/>
      <c r="G10" s="256" t="s">
        <v>316</v>
      </c>
      <c r="J10" s="210"/>
      <c r="K10" s="221"/>
      <c r="O10" s="25"/>
      <c r="P10" s="25"/>
      <c r="Q10" s="261"/>
      <c r="R10" s="25"/>
      <c r="S10" s="181" t="str">
        <f>B14</f>
        <v>Cèdre de l'Atlas</v>
      </c>
      <c r="T10" s="18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800.24193610640418</v>
      </c>
      <c r="U10" s="186">
        <f>'Données projet'!D9</f>
        <v>0.48424999999999996</v>
      </c>
      <c r="V10" s="185">
        <f>U10*T10</f>
        <v>387.5171575595262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6" t="s">
        <v>312</v>
      </c>
      <c r="B11" s="25"/>
      <c r="C11" s="25"/>
      <c r="D11" s="25"/>
      <c r="E11" s="25"/>
      <c r="F11" s="257"/>
      <c r="G11" s="256" t="s">
        <v>313</v>
      </c>
      <c r="J11" s="210"/>
      <c r="K11" s="221"/>
      <c r="M11" s="5"/>
      <c r="N11" s="5"/>
      <c r="O11" s="25"/>
      <c r="P11" s="25"/>
      <c r="Q11" s="261"/>
      <c r="R11" s="25"/>
      <c r="S11" s="181" t="str">
        <f>B45</f>
        <v>Chêne sessile</v>
      </c>
      <c r="T11" s="26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705.5478114794895</v>
      </c>
      <c r="U11" s="186">
        <f>'Données projet'!D10</f>
        <v>2.4173499999999999</v>
      </c>
      <c r="V11" s="185">
        <f t="shared" ref="V11" si="0">U11*T11</f>
        <v>1705.5560020799439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57"/>
      <c r="G12" s="1"/>
      <c r="J12" s="210"/>
      <c r="K12" s="221"/>
      <c r="L12" s="213"/>
      <c r="M12" s="25"/>
      <c r="N12" s="25"/>
      <c r="O12" s="25"/>
      <c r="P12" s="25"/>
      <c r="Q12" s="261"/>
      <c r="R12" s="25"/>
      <c r="S12" s="181" t="str">
        <f>B76</f>
        <v>Pin maritime</v>
      </c>
      <c r="T12" s="26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2996.3021477436941</v>
      </c>
      <c r="U12" s="186">
        <f>'Données projet'!D11</f>
        <v>3.3305999999999996</v>
      </c>
      <c r="V12" s="185">
        <f t="shared" ref="V12:V19" si="1">U12*T12</f>
        <v>9979.4839332751471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57"/>
      <c r="J13" s="25"/>
      <c r="K13" s="221"/>
      <c r="L13" s="180" t="s">
        <v>257</v>
      </c>
      <c r="M13" s="25"/>
      <c r="N13" s="25"/>
      <c r="O13" s="25"/>
      <c r="P13" s="25"/>
      <c r="Q13" s="261"/>
      <c r="R13" s="25"/>
      <c r="S13" s="181" t="str">
        <f>B107</f>
        <v>Alisier torminal</v>
      </c>
      <c r="T13" s="26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705.5478114794895</v>
      </c>
      <c r="U13" s="186">
        <f>'Données projet'!D12</f>
        <v>0.1326</v>
      </c>
      <c r="V13" s="185">
        <f t="shared" si="1"/>
        <v>93.555639802180309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2" t="str">
        <f>IF('Données projet'!$B$9="","",'Données projet'!$B$9)</f>
        <v>Cèdre de l'Atlas</v>
      </c>
      <c r="C14" s="5"/>
      <c r="D14" s="5"/>
      <c r="E14" s="5"/>
      <c r="F14" s="257"/>
      <c r="G14" s="217"/>
      <c r="H14" s="181" t="s">
        <v>178</v>
      </c>
      <c r="I14" s="181" t="s">
        <v>290</v>
      </c>
      <c r="J14" s="211"/>
      <c r="K14" s="179"/>
      <c r="L14" s="213"/>
      <c r="M14" s="25"/>
      <c r="N14" s="25"/>
      <c r="O14" s="5"/>
      <c r="P14" s="5"/>
      <c r="Q14" s="262"/>
      <c r="R14" s="5"/>
      <c r="S14" s="181" t="str">
        <f>B138</f>
        <v>Cormier</v>
      </c>
      <c r="T14" s="26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705.5478114794895</v>
      </c>
      <c r="U14" s="186">
        <f>'Données projet'!D13</f>
        <v>0.1326</v>
      </c>
      <c r="V14" s="185">
        <f t="shared" si="1"/>
        <v>93.555639802180309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57"/>
      <c r="G15" s="323" t="s">
        <v>318</v>
      </c>
      <c r="H15" s="199">
        <v>0</v>
      </c>
      <c r="I15" s="200">
        <v>0</v>
      </c>
      <c r="J15" s="212"/>
      <c r="K15" s="221"/>
      <c r="L15" s="213"/>
      <c r="M15" s="25"/>
      <c r="N15" s="25"/>
      <c r="O15" s="25"/>
      <c r="P15" s="25"/>
      <c r="Q15" s="261"/>
      <c r="R15" s="25"/>
      <c r="S15" s="181" t="str">
        <f>B169</f>
        <v/>
      </c>
      <c r="T15" s="26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86">
        <f>'Données projet'!D14</f>
        <v>0</v>
      </c>
      <c r="V15" s="185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3" t="s">
        <v>180</v>
      </c>
      <c r="B16" s="51" t="s">
        <v>256</v>
      </c>
      <c r="C16" s="51" t="s">
        <v>255</v>
      </c>
      <c r="D16" s="253" t="s">
        <v>252</v>
      </c>
      <c r="E16" s="253" t="s">
        <v>320</v>
      </c>
      <c r="F16" s="257"/>
      <c r="G16" s="323"/>
      <c r="H16" s="199"/>
      <c r="I16" s="200"/>
      <c r="J16" s="212"/>
      <c r="K16" s="221"/>
      <c r="L16" s="319" t="s">
        <v>254</v>
      </c>
      <c r="M16" s="320"/>
      <c r="N16" s="2"/>
      <c r="O16" s="25"/>
      <c r="P16" s="25"/>
      <c r="Q16" s="261"/>
      <c r="R16" s="25"/>
      <c r="S16" s="181" t="str">
        <f>B200</f>
        <v/>
      </c>
      <c r="T16" s="26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6">
        <f>'Données projet'!D15</f>
        <v>0</v>
      </c>
      <c r="V16" s="185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6">
        <v>0</v>
      </c>
      <c r="B17" s="209" t="s">
        <v>132</v>
      </c>
      <c r="C17" s="208" t="s">
        <v>132</v>
      </c>
      <c r="D17" s="207" t="s">
        <v>132</v>
      </c>
      <c r="E17" s="202"/>
      <c r="F17" s="257"/>
      <c r="G17" s="323"/>
      <c r="J17" s="212"/>
      <c r="K17" s="221"/>
      <c r="L17" s="290" t="s">
        <v>289</v>
      </c>
      <c r="M17" s="292"/>
      <c r="N17" s="183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1"/>
      <c r="R17" s="25"/>
      <c r="S17" s="181" t="str">
        <f>B231</f>
        <v/>
      </c>
      <c r="T17" s="26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6">
        <f>'Données projet'!D16</f>
        <v>0</v>
      </c>
      <c r="V17" s="185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6">
        <v>1</v>
      </c>
      <c r="B18" s="209" t="s">
        <v>132</v>
      </c>
      <c r="C18" s="208" t="s">
        <v>132</v>
      </c>
      <c r="D18" s="207" t="s">
        <v>132</v>
      </c>
      <c r="E18" s="202"/>
      <c r="F18" s="257"/>
      <c r="G18" s="323"/>
      <c r="J18" s="212"/>
      <c r="K18" s="221"/>
      <c r="L18" s="290" t="s">
        <v>255</v>
      </c>
      <c r="M18" s="292"/>
      <c r="N18" s="201"/>
      <c r="O18" s="25"/>
      <c r="P18" s="25"/>
      <c r="Q18" s="261"/>
      <c r="R18" s="25"/>
      <c r="S18" s="181" t="str">
        <f>B262</f>
        <v/>
      </c>
      <c r="T18" s="26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6">
        <f>'Données projet'!D17</f>
        <v>0</v>
      </c>
      <c r="V18" s="185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6">
        <v>2</v>
      </c>
      <c r="B19" s="209" t="s">
        <v>132</v>
      </c>
      <c r="C19" s="208" t="s">
        <v>132</v>
      </c>
      <c r="D19" s="207" t="s">
        <v>132</v>
      </c>
      <c r="E19" s="202"/>
      <c r="F19" s="257"/>
      <c r="G19" s="323"/>
      <c r="H19" s="228" t="s">
        <v>178</v>
      </c>
      <c r="I19" s="228" t="s">
        <v>287</v>
      </c>
      <c r="J19" s="256"/>
      <c r="K19" s="179"/>
      <c r="L19" s="319" t="s">
        <v>288</v>
      </c>
      <c r="M19" s="320"/>
      <c r="N19" s="187">
        <f>N17*N18</f>
        <v>0</v>
      </c>
      <c r="O19" s="25"/>
      <c r="P19" s="5"/>
      <c r="Q19" s="262"/>
      <c r="R19" s="5"/>
      <c r="S19" s="181" t="str">
        <f>B293</f>
        <v/>
      </c>
      <c r="T19" s="26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6">
        <f>'Données projet'!D18</f>
        <v>0</v>
      </c>
      <c r="V19" s="185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6">
        <v>3</v>
      </c>
      <c r="B20" s="209" t="s">
        <v>132</v>
      </c>
      <c r="C20" s="208" t="s">
        <v>132</v>
      </c>
      <c r="D20" s="207" t="s">
        <v>132</v>
      </c>
      <c r="E20" s="202"/>
      <c r="F20" s="257"/>
      <c r="G20" s="323"/>
      <c r="H20" s="199">
        <v>0</v>
      </c>
      <c r="I20" s="200">
        <v>8000</v>
      </c>
      <c r="J20" s="5"/>
      <c r="K20" s="179"/>
      <c r="O20" s="25"/>
      <c r="P20" s="5"/>
      <c r="Q20" s="262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6">
        <v>4</v>
      </c>
      <c r="B21" s="209" t="s">
        <v>132</v>
      </c>
      <c r="C21" s="208" t="s">
        <v>132</v>
      </c>
      <c r="D21" s="207" t="s">
        <v>132</v>
      </c>
      <c r="E21" s="202"/>
      <c r="F21" s="257"/>
      <c r="H21" s="199"/>
      <c r="I21" s="200"/>
      <c r="K21" s="179"/>
      <c r="O21" s="25"/>
      <c r="P21" s="5"/>
      <c r="Q21" s="262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6">
        <v>5</v>
      </c>
      <c r="B22" s="209" t="s">
        <v>132</v>
      </c>
      <c r="C22" s="208" t="s">
        <v>132</v>
      </c>
      <c r="D22" s="207" t="s">
        <v>132</v>
      </c>
      <c r="E22" s="202"/>
      <c r="F22" s="257"/>
      <c r="H22" s="199"/>
      <c r="I22" s="200"/>
      <c r="K22" s="179"/>
      <c r="O22" s="25"/>
      <c r="P22" s="5"/>
      <c r="Q22" s="262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88">
        <f>'Données projet'!A36</f>
        <v>30</v>
      </c>
      <c r="B23" s="189">
        <f>'Données projet'!D36</f>
        <v>0</v>
      </c>
      <c r="C23" s="202"/>
      <c r="D23" s="190">
        <f>B23*C23</f>
        <v>0</v>
      </c>
      <c r="E23" s="202"/>
      <c r="F23" s="257"/>
      <c r="H23" s="199"/>
      <c r="I23" s="200"/>
      <c r="K23" s="221"/>
      <c r="L23" s="321" t="s">
        <v>260</v>
      </c>
      <c r="M23" s="321"/>
      <c r="N23" s="321"/>
      <c r="O23" s="25"/>
      <c r="P23" s="25"/>
      <c r="Q23" s="261"/>
      <c r="R23" s="25"/>
      <c r="S23" s="181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-39740.33162748102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88">
        <f>'Données projet'!A37</f>
        <v>35</v>
      </c>
      <c r="B24" s="189">
        <f>'Données projet'!D37</f>
        <v>0</v>
      </c>
      <c r="C24" s="202"/>
      <c r="D24" s="190">
        <f t="shared" ref="D24:D42" si="2">B24*C24</f>
        <v>0</v>
      </c>
      <c r="E24" s="202"/>
      <c r="F24" s="260"/>
      <c r="H24" s="199"/>
      <c r="I24" s="200"/>
      <c r="K24" s="221"/>
      <c r="O24" s="25"/>
      <c r="P24" s="25"/>
      <c r="Q24" s="261"/>
      <c r="R24" s="25"/>
      <c r="S24" s="181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91083.642894072866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88">
        <f>'Données projet'!A38</f>
        <v>40</v>
      </c>
      <c r="B25" s="189">
        <f>'Données projet'!D38</f>
        <v>0</v>
      </c>
      <c r="C25" s="202"/>
      <c r="D25" s="190">
        <f t="shared" si="2"/>
        <v>0</v>
      </c>
      <c r="E25" s="202"/>
      <c r="F25" s="260"/>
      <c r="G25" s="1"/>
      <c r="H25" s="199"/>
      <c r="I25" s="200"/>
      <c r="K25" s="221"/>
      <c r="L25" s="267" t="s">
        <v>285</v>
      </c>
      <c r="M25" s="267"/>
      <c r="N25" s="267"/>
      <c r="O25" s="267"/>
      <c r="P25" s="201">
        <v>700</v>
      </c>
      <c r="Q25" s="261"/>
      <c r="R25" s="25"/>
      <c r="S25" s="194" t="s">
        <v>266</v>
      </c>
      <c r="T25" s="337">
        <f ca="1">T23-T24</f>
        <v>-130823.97452155389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88">
        <f>'Données projet'!A39</f>
        <v>45</v>
      </c>
      <c r="B26" s="189">
        <f>'Données projet'!D39</f>
        <v>0</v>
      </c>
      <c r="C26" s="202"/>
      <c r="D26" s="190">
        <f t="shared" si="2"/>
        <v>0</v>
      </c>
      <c r="E26" s="202"/>
      <c r="F26" s="260"/>
      <c r="G26" s="255"/>
      <c r="H26" s="199"/>
      <c r="I26" s="200"/>
      <c r="K26" s="221"/>
      <c r="L26" s="324" t="s">
        <v>258</v>
      </c>
      <c r="M26" s="325"/>
      <c r="N26" s="325"/>
      <c r="O26" s="325"/>
      <c r="P26" s="326"/>
      <c r="Q26" s="261"/>
      <c r="R26" s="25"/>
      <c r="S26" s="194" t="s">
        <v>265</v>
      </c>
      <c r="T26" s="334" t="str">
        <f ca="1">IF(T25&lt;0,"Votre projet est additionnel","Votre projet n'est pas additionnel")</f>
        <v>Votre projet est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88">
        <f>'Données projet'!A40</f>
        <v>50</v>
      </c>
      <c r="B27" s="189">
        <f>'Données projet'!D40</f>
        <v>0</v>
      </c>
      <c r="C27" s="202"/>
      <c r="D27" s="190">
        <f t="shared" si="2"/>
        <v>0</v>
      </c>
      <c r="E27" s="202"/>
      <c r="F27" s="260"/>
      <c r="G27" s="255"/>
      <c r="H27" s="199"/>
      <c r="I27" s="200"/>
      <c r="K27" s="221"/>
      <c r="L27" s="327"/>
      <c r="M27" s="328"/>
      <c r="N27" s="328"/>
      <c r="O27" s="328"/>
      <c r="P27" s="329"/>
      <c r="Q27" s="261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88">
        <f>'Données projet'!A41</f>
        <v>51</v>
      </c>
      <c r="B28" s="189">
        <f>'Données projet'!D41</f>
        <v>100.30769230769231</v>
      </c>
      <c r="C28" s="202">
        <v>15</v>
      </c>
      <c r="D28" s="190">
        <f t="shared" si="2"/>
        <v>1504.6153846153845</v>
      </c>
      <c r="E28" s="202"/>
      <c r="F28" s="260"/>
      <c r="G28" s="218"/>
      <c r="H28" s="199"/>
      <c r="I28" s="200"/>
      <c r="K28" s="221"/>
      <c r="Q28" s="261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88">
        <f>'Données projet'!A42</f>
        <v>55</v>
      </c>
      <c r="B29" s="189">
        <f>'Données projet'!D42</f>
        <v>0</v>
      </c>
      <c r="C29" s="202"/>
      <c r="D29" s="190">
        <f t="shared" si="2"/>
        <v>0</v>
      </c>
      <c r="E29" s="202"/>
      <c r="F29" s="260"/>
      <c r="G29" s="214"/>
      <c r="H29" s="199"/>
      <c r="I29" s="200"/>
      <c r="K29" s="221"/>
      <c r="O29" s="25"/>
      <c r="P29" s="25"/>
      <c r="Q29" s="261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88">
        <f>'Données projet'!A43</f>
        <v>60</v>
      </c>
      <c r="B30" s="189">
        <f>'Données projet'!D43</f>
        <v>0</v>
      </c>
      <c r="C30" s="202"/>
      <c r="D30" s="190">
        <f t="shared" si="2"/>
        <v>0</v>
      </c>
      <c r="E30" s="202"/>
      <c r="F30" s="260"/>
      <c r="G30" s="214"/>
      <c r="H30" s="199"/>
      <c r="I30" s="200"/>
      <c r="K30" s="191"/>
      <c r="L30" s="181" t="s">
        <v>259</v>
      </c>
      <c r="M30" s="192">
        <f ca="1">SUM(OFFSET($P$33,0,0,MIN('Données projet'!$E$9:$E$18)+1,1))</f>
        <v>14012.868137549673</v>
      </c>
      <c r="O30" s="5"/>
      <c r="P30" s="5"/>
      <c r="Q30" s="262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88">
        <f>'Données projet'!A44</f>
        <v>63</v>
      </c>
      <c r="B31" s="189">
        <f>'Données projet'!D44</f>
        <v>108.0923076923077</v>
      </c>
      <c r="C31" s="202">
        <v>20</v>
      </c>
      <c r="D31" s="190">
        <f t="shared" si="2"/>
        <v>2161.8461538461538</v>
      </c>
      <c r="E31" s="202"/>
      <c r="F31" s="260"/>
      <c r="G31" s="214"/>
      <c r="H31" s="199"/>
      <c r="I31" s="200"/>
      <c r="K31" s="179"/>
      <c r="Q31" s="261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88">
        <f>'Données projet'!A45</f>
        <v>65</v>
      </c>
      <c r="B32" s="189">
        <f>'Données projet'!D45</f>
        <v>0</v>
      </c>
      <c r="C32" s="202"/>
      <c r="D32" s="190">
        <f t="shared" si="2"/>
        <v>0</v>
      </c>
      <c r="E32" s="202"/>
      <c r="F32" s="260"/>
      <c r="G32" s="214"/>
      <c r="H32" s="199"/>
      <c r="I32" s="200"/>
      <c r="K32" s="179"/>
      <c r="N32" s="5"/>
      <c r="O32" s="266" t="s">
        <v>178</v>
      </c>
      <c r="P32" s="266" t="s">
        <v>252</v>
      </c>
      <c r="Q32" s="261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88">
        <f>'Données projet'!A46</f>
        <v>70</v>
      </c>
      <c r="B33" s="189">
        <f>'Données projet'!D46</f>
        <v>0</v>
      </c>
      <c r="C33" s="202"/>
      <c r="D33" s="190">
        <f t="shared" si="2"/>
        <v>0</v>
      </c>
      <c r="E33" s="202"/>
      <c r="F33" s="260"/>
      <c r="G33" s="214"/>
      <c r="H33" s="199"/>
      <c r="I33" s="200"/>
      <c r="K33" s="179"/>
      <c r="L33" s="5"/>
      <c r="M33" s="5"/>
      <c r="N33" s="5"/>
      <c r="O33" s="203">
        <v>0</v>
      </c>
      <c r="P33" s="193">
        <f t="shared" ref="P33:P64" si="3">$P$25/(1+$M$4)^O33</f>
        <v>700</v>
      </c>
      <c r="Q33" s="261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88">
        <f>'Données projet'!A47</f>
        <v>75</v>
      </c>
      <c r="B34" s="189">
        <f>'Données projet'!D47</f>
        <v>85.361538461538458</v>
      </c>
      <c r="C34" s="202">
        <v>30</v>
      </c>
      <c r="D34" s="190">
        <f t="shared" si="2"/>
        <v>2560.8461538461538</v>
      </c>
      <c r="E34" s="202"/>
      <c r="F34" s="260"/>
      <c r="G34" s="214"/>
      <c r="H34" s="199"/>
      <c r="I34" s="200"/>
      <c r="K34" s="179"/>
      <c r="L34" s="280"/>
      <c r="M34" s="280"/>
      <c r="N34" s="281"/>
      <c r="O34" s="203">
        <f>IF(O33+1&lt;=MIN('Données projet'!$E$9:$E$18),O33+1,"STOP")</f>
        <v>1</v>
      </c>
      <c r="P34" s="193">
        <f t="shared" si="3"/>
        <v>669.85645933014359</v>
      </c>
      <c r="Q34" s="261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88">
        <f>'Données projet'!A48</f>
        <v>80</v>
      </c>
      <c r="B35" s="189">
        <f>'Données projet'!D48</f>
        <v>0</v>
      </c>
      <c r="C35" s="202"/>
      <c r="D35" s="190">
        <f t="shared" si="2"/>
        <v>0</v>
      </c>
      <c r="E35" s="202"/>
      <c r="F35" s="260"/>
      <c r="G35" s="214"/>
      <c r="H35" s="199"/>
      <c r="I35" s="200"/>
      <c r="K35" s="179"/>
      <c r="L35" s="280"/>
      <c r="M35" s="280"/>
      <c r="N35" s="281"/>
      <c r="O35" s="203">
        <f>IF(O34+1&lt;=MIN('Données projet'!$E$9:$E$18),O34+1,"STOP")</f>
        <v>2</v>
      </c>
      <c r="P35" s="193">
        <f t="shared" si="3"/>
        <v>641.0109658661662</v>
      </c>
      <c r="Q35" s="261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88">
        <f>'Données projet'!A49</f>
        <v>85</v>
      </c>
      <c r="B36" s="189">
        <f>'Données projet'!D49</f>
        <v>0</v>
      </c>
      <c r="C36" s="202"/>
      <c r="D36" s="190">
        <f t="shared" si="2"/>
        <v>0</v>
      </c>
      <c r="E36" s="202"/>
      <c r="F36" s="260"/>
      <c r="G36" s="214"/>
      <c r="H36" s="199"/>
      <c r="I36" s="200"/>
      <c r="K36" s="179"/>
      <c r="L36" s="25"/>
      <c r="M36" s="25"/>
      <c r="N36" s="25"/>
      <c r="O36" s="203">
        <f>IF(O35+1&lt;=MIN('Données projet'!$E$9:$E$18),O35+1,"STOP")</f>
        <v>3</v>
      </c>
      <c r="P36" s="193">
        <f t="shared" si="3"/>
        <v>613.40762283843651</v>
      </c>
      <c r="Q36" s="261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88">
        <f>'Données projet'!A50</f>
        <v>87</v>
      </c>
      <c r="B37" s="189">
        <f>'Données projet'!D50</f>
        <v>82.938461538461524</v>
      </c>
      <c r="C37" s="202">
        <v>50</v>
      </c>
      <c r="D37" s="190">
        <f t="shared" si="2"/>
        <v>4146.9230769230762</v>
      </c>
      <c r="E37" s="202"/>
      <c r="F37" s="260"/>
      <c r="G37" s="214"/>
      <c r="H37" s="199"/>
      <c r="I37" s="200"/>
      <c r="K37" s="179"/>
      <c r="L37" s="25"/>
      <c r="M37" s="25"/>
      <c r="N37" s="25"/>
      <c r="O37" s="203">
        <f>IF(O36+1&lt;=MIN('Données projet'!$E$9:$E$18),O36+1,"STOP")</f>
        <v>4</v>
      </c>
      <c r="P37" s="193">
        <f t="shared" si="3"/>
        <v>586.99294051525044</v>
      </c>
      <c r="Q37" s="261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88">
        <f>'Données projet'!A51</f>
        <v>90</v>
      </c>
      <c r="B38" s="189">
        <f>'Données projet'!D51</f>
        <v>0</v>
      </c>
      <c r="C38" s="202"/>
      <c r="D38" s="190">
        <f t="shared" si="2"/>
        <v>0</v>
      </c>
      <c r="E38" s="202"/>
      <c r="F38" s="260"/>
      <c r="G38" s="214"/>
      <c r="H38" s="199"/>
      <c r="I38" s="200"/>
      <c r="K38" s="179"/>
      <c r="L38" s="25"/>
      <c r="M38" s="25"/>
      <c r="N38" s="25"/>
      <c r="O38" s="203">
        <f>IF(O37+1&lt;=MIN('Données projet'!$E$9:$E$18),O37+1,"STOP")</f>
        <v>5</v>
      </c>
      <c r="P38" s="193">
        <f t="shared" si="3"/>
        <v>561.71573255047883</v>
      </c>
      <c r="Q38" s="261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88">
        <f>'Données projet'!A52</f>
        <v>95</v>
      </c>
      <c r="B39" s="189">
        <f>'Données projet'!D52</f>
        <v>0</v>
      </c>
      <c r="C39" s="202"/>
      <c r="D39" s="190">
        <f t="shared" si="2"/>
        <v>0</v>
      </c>
      <c r="E39" s="202"/>
      <c r="F39" s="260"/>
      <c r="G39" s="214"/>
      <c r="H39" s="199"/>
      <c r="I39" s="200"/>
      <c r="K39" s="221"/>
      <c r="L39" s="25"/>
      <c r="M39" s="25"/>
      <c r="N39" s="25"/>
      <c r="O39" s="203">
        <f>IF(O38+1&lt;=MIN('Données projet'!$E$9:$E$18),O38+1,"STOP")</f>
        <v>6</v>
      </c>
      <c r="P39" s="193">
        <f t="shared" si="3"/>
        <v>537.52701679471681</v>
      </c>
      <c r="Q39" s="261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88">
        <f>'Données projet'!A53</f>
        <v>99</v>
      </c>
      <c r="B40" s="189">
        <f>'Données projet'!D53</f>
        <v>198.32307692307691</v>
      </c>
      <c r="C40" s="202">
        <v>60</v>
      </c>
      <c r="D40" s="190">
        <f t="shared" si="2"/>
        <v>11899.384615384615</v>
      </c>
      <c r="E40" s="202"/>
      <c r="F40" s="260"/>
      <c r="G40" s="214"/>
      <c r="H40" s="199"/>
      <c r="I40" s="200"/>
      <c r="K40" s="221"/>
      <c r="L40" s="25"/>
      <c r="M40" s="25"/>
      <c r="N40" s="25"/>
      <c r="O40" s="203">
        <f>IF(O39+1&lt;=MIN('Données projet'!$E$9:$E$18),O39+1,"STOP")</f>
        <v>7</v>
      </c>
      <c r="P40" s="193">
        <f t="shared" si="3"/>
        <v>514.37992037771937</v>
      </c>
      <c r="Q40" s="261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88">
        <f>'Données projet'!A54</f>
        <v>100</v>
      </c>
      <c r="B41" s="189">
        <f>'Données projet'!D54</f>
        <v>0</v>
      </c>
      <c r="C41" s="202"/>
      <c r="D41" s="190">
        <f t="shared" si="2"/>
        <v>0</v>
      </c>
      <c r="E41" s="202"/>
      <c r="F41" s="260"/>
      <c r="G41" s="214"/>
      <c r="H41" s="199"/>
      <c r="I41" s="200"/>
      <c r="K41" s="221"/>
      <c r="L41" s="25"/>
      <c r="M41" s="25"/>
      <c r="N41" s="25"/>
      <c r="O41" s="203">
        <f>IF(O40+1&lt;=MIN('Données projet'!$E$9:$E$18),O40+1,"STOP")</f>
        <v>8</v>
      </c>
      <c r="P41" s="193">
        <f t="shared" si="3"/>
        <v>492.2295888782005</v>
      </c>
      <c r="Q41" s="261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88">
        <f>'Données projet'!A55</f>
        <v>109</v>
      </c>
      <c r="B42" s="189">
        <f>'Données projet'!D55</f>
        <v>256.09230769230771</v>
      </c>
      <c r="C42" s="202">
        <v>80</v>
      </c>
      <c r="D42" s="190">
        <f t="shared" si="2"/>
        <v>20487.384615384617</v>
      </c>
      <c r="E42" s="202"/>
      <c r="F42" s="260"/>
      <c r="G42" s="214"/>
      <c r="H42" s="199"/>
      <c r="I42" s="200"/>
      <c r="K42" s="221"/>
      <c r="L42" s="25"/>
      <c r="M42" s="25"/>
      <c r="N42" s="25"/>
      <c r="O42" s="203">
        <f>IF(O41+1&lt;=MIN('Données projet'!$E$9:$E$18),O41+1,"STOP")</f>
        <v>9</v>
      </c>
      <c r="P42" s="193">
        <f t="shared" si="3"/>
        <v>471.03309940497655</v>
      </c>
      <c r="Q42" s="261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5"/>
      <c r="B43" s="195"/>
      <c r="C43" s="195"/>
      <c r="D43" s="252"/>
      <c r="E43" s="252"/>
      <c r="F43" s="265"/>
      <c r="G43" s="214"/>
      <c r="H43" s="199"/>
      <c r="I43" s="200"/>
      <c r="K43" s="221"/>
      <c r="L43" s="25"/>
      <c r="M43" s="25"/>
      <c r="N43" s="25"/>
      <c r="O43" s="203">
        <f>IF(O42+1&lt;=MIN('Données projet'!$E$9:$E$18),O42+1,"STOP")</f>
        <v>10</v>
      </c>
      <c r="P43" s="193">
        <f t="shared" si="3"/>
        <v>450.74937742103032</v>
      </c>
      <c r="Q43" s="262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57"/>
      <c r="G44" s="214"/>
      <c r="H44" s="199"/>
      <c r="I44" s="200"/>
      <c r="K44" s="221"/>
      <c r="L44" s="25"/>
      <c r="M44" s="25"/>
      <c r="N44" s="25"/>
      <c r="O44" s="203">
        <f>IF(O43+1&lt;=MIN('Données projet'!$E$9:$E$18),O43+1,"STOP")</f>
        <v>11</v>
      </c>
      <c r="P44" s="193">
        <f t="shared" si="3"/>
        <v>431.33911714931128</v>
      </c>
      <c r="Q44" s="262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2" t="str">
        <f>IF('Données projet'!$B$10="","",'Données projet'!$B$10)</f>
        <v>Chêne sessile</v>
      </c>
      <c r="C45" s="5"/>
      <c r="D45" s="5"/>
      <c r="E45" s="5"/>
      <c r="F45" s="257"/>
      <c r="G45" s="214"/>
      <c r="H45" s="199"/>
      <c r="I45" s="200"/>
      <c r="J45" s="25"/>
      <c r="K45" s="221"/>
      <c r="L45" s="25"/>
      <c r="M45" s="25"/>
      <c r="N45" s="25"/>
      <c r="O45" s="203">
        <f>IF(O44+1&lt;=MIN('Données projet'!$E$9:$E$18),O44+1,"STOP")</f>
        <v>12</v>
      </c>
      <c r="P45" s="193">
        <f t="shared" si="3"/>
        <v>412.76470540603958</v>
      </c>
      <c r="Q45" s="262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57"/>
      <c r="G46" s="214"/>
      <c r="H46" s="199"/>
      <c r="I46" s="200"/>
      <c r="J46" s="25"/>
      <c r="K46" s="221"/>
      <c r="L46" s="216"/>
      <c r="M46" s="216"/>
      <c r="N46" s="216"/>
      <c r="O46" s="203">
        <f>IF(O45+1&lt;=MIN('Données projet'!$E$9:$E$18),O45+1,"STOP")</f>
        <v>13</v>
      </c>
      <c r="P46" s="196">
        <f t="shared" si="3"/>
        <v>394.99014871391347</v>
      </c>
      <c r="Q46" s="262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3" t="s">
        <v>180</v>
      </c>
      <c r="B47" s="51" t="s">
        <v>256</v>
      </c>
      <c r="C47" s="51" t="s">
        <v>255</v>
      </c>
      <c r="D47" s="253" t="s">
        <v>252</v>
      </c>
      <c r="E47" s="253" t="s">
        <v>320</v>
      </c>
      <c r="F47" s="258"/>
      <c r="G47" s="214"/>
      <c r="H47" s="199"/>
      <c r="I47" s="200"/>
      <c r="J47" s="25"/>
      <c r="K47" s="221"/>
      <c r="L47" s="5"/>
      <c r="M47" s="5"/>
      <c r="N47" s="5"/>
      <c r="O47" s="203">
        <f>IF(O46+1&lt;=MIN('Données projet'!$E$9:$E$18),O46+1,"STOP")</f>
        <v>14</v>
      </c>
      <c r="P47" s="193">
        <f t="shared" si="3"/>
        <v>377.98100355398429</v>
      </c>
      <c r="Q47" s="262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6">
        <v>0</v>
      </c>
      <c r="B48" s="209" t="s">
        <v>132</v>
      </c>
      <c r="C48" s="208" t="s">
        <v>132</v>
      </c>
      <c r="D48" s="207" t="s">
        <v>132</v>
      </c>
      <c r="E48" s="202"/>
      <c r="F48" s="258"/>
      <c r="G48" s="214"/>
      <c r="H48" s="199"/>
      <c r="I48" s="200"/>
      <c r="J48" s="25"/>
      <c r="K48" s="221"/>
      <c r="L48" s="5"/>
      <c r="M48" s="5"/>
      <c r="N48" s="5"/>
      <c r="O48" s="203">
        <f>IF(O47+1&lt;=MIN('Données projet'!$E$9:$E$18),O47+1,"STOP")</f>
        <v>15</v>
      </c>
      <c r="P48" s="193">
        <f t="shared" si="3"/>
        <v>361.70430962103757</v>
      </c>
      <c r="Q48" s="262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4" customFormat="1" ht="17.25" customHeight="1" x14ac:dyDescent="0.3">
      <c r="A49" s="206">
        <v>1</v>
      </c>
      <c r="B49" s="209" t="s">
        <v>132</v>
      </c>
      <c r="C49" s="208" t="s">
        <v>132</v>
      </c>
      <c r="D49" s="207" t="s">
        <v>132</v>
      </c>
      <c r="E49" s="202"/>
      <c r="F49" s="258"/>
      <c r="G49" s="215"/>
      <c r="H49" s="199"/>
      <c r="I49" s="200"/>
      <c r="J49" s="216"/>
      <c r="K49" s="223"/>
      <c r="L49" s="5"/>
      <c r="M49" s="5"/>
      <c r="N49" s="5"/>
      <c r="O49" s="203">
        <f>IF(O48+1&lt;=MIN('Données projet'!$E$9:$E$18),O48+1,"STOP")</f>
        <v>16</v>
      </c>
      <c r="P49" s="193">
        <f t="shared" si="3"/>
        <v>346.12852595314615</v>
      </c>
      <c r="Q49" s="263"/>
      <c r="R49" s="195"/>
      <c r="S49" s="195"/>
      <c r="T49" s="195"/>
      <c r="U49" s="195"/>
      <c r="V49" s="195"/>
      <c r="W49" s="195"/>
      <c r="X49" s="195"/>
      <c r="Y49" s="195"/>
      <c r="Z49" s="195"/>
      <c r="AA49" s="195"/>
      <c r="AB49" s="195"/>
      <c r="AC49" s="195"/>
      <c r="AD49" s="195"/>
      <c r="AE49" s="195"/>
      <c r="AF49" s="195"/>
      <c r="AG49" s="195"/>
      <c r="AH49" s="195"/>
      <c r="AI49" s="195"/>
      <c r="AJ49" s="195"/>
      <c r="AK49" s="195"/>
      <c r="AL49" s="195"/>
      <c r="AM49" s="195"/>
      <c r="AN49" s="195"/>
      <c r="AO49" s="195"/>
      <c r="AP49" s="195"/>
      <c r="AQ49" s="195"/>
      <c r="AR49" s="195"/>
      <c r="AS49" s="195"/>
      <c r="AT49" s="195"/>
      <c r="AU49" s="195"/>
      <c r="AV49" s="195"/>
      <c r="AW49" s="195"/>
      <c r="AX49" s="195"/>
      <c r="AY49" s="195"/>
      <c r="AZ49" s="195"/>
      <c r="BA49" s="195"/>
      <c r="BB49" s="195"/>
      <c r="BC49" s="195"/>
      <c r="BD49" s="195"/>
    </row>
    <row r="50" spans="1:56" x14ac:dyDescent="0.3">
      <c r="A50" s="206">
        <v>2</v>
      </c>
      <c r="B50" s="209" t="s">
        <v>132</v>
      </c>
      <c r="C50" s="208" t="s">
        <v>132</v>
      </c>
      <c r="D50" s="207" t="s">
        <v>132</v>
      </c>
      <c r="E50" s="202"/>
      <c r="F50" s="258"/>
      <c r="G50" s="217"/>
      <c r="H50" s="199"/>
      <c r="I50" s="200"/>
      <c r="J50" s="25"/>
      <c r="K50" s="179"/>
      <c r="L50" s="5"/>
      <c r="M50" s="5"/>
      <c r="N50" s="5"/>
      <c r="O50" s="203">
        <f>IF(O49+1&lt;=MIN('Données projet'!$E$9:$E$18),O49+1,"STOP")</f>
        <v>17</v>
      </c>
      <c r="P50" s="193">
        <f t="shared" si="3"/>
        <v>331.22346981162309</v>
      </c>
      <c r="Q50" s="262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6">
        <v>3</v>
      </c>
      <c r="B51" s="209" t="s">
        <v>132</v>
      </c>
      <c r="C51" s="208" t="s">
        <v>132</v>
      </c>
      <c r="D51" s="207" t="s">
        <v>132</v>
      </c>
      <c r="E51" s="202"/>
      <c r="F51" s="258"/>
      <c r="G51" s="217"/>
      <c r="H51" s="199"/>
      <c r="I51" s="200"/>
      <c r="J51" s="25"/>
      <c r="K51" s="179"/>
      <c r="L51" s="5"/>
      <c r="M51" s="5"/>
      <c r="N51" s="5"/>
      <c r="O51" s="203">
        <f>IF(O50+1&lt;=MIN('Données projet'!$E$9:$E$18),O50+1,"STOP")</f>
        <v>18</v>
      </c>
      <c r="P51" s="193">
        <f t="shared" si="3"/>
        <v>316.96025819294078</v>
      </c>
      <c r="Q51" s="262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6">
        <v>4</v>
      </c>
      <c r="B52" s="209" t="s">
        <v>132</v>
      </c>
      <c r="C52" s="208" t="s">
        <v>132</v>
      </c>
      <c r="D52" s="207" t="s">
        <v>132</v>
      </c>
      <c r="E52" s="202"/>
      <c r="F52" s="258"/>
      <c r="G52" s="217"/>
      <c r="H52" s="199"/>
      <c r="I52" s="200"/>
      <c r="J52" s="25"/>
      <c r="K52" s="179"/>
      <c r="L52" s="5"/>
      <c r="M52" s="5"/>
      <c r="N52" s="5"/>
      <c r="O52" s="203">
        <f>IF(O51+1&lt;=MIN('Données projet'!$E$9:$E$18),O51+1,"STOP")</f>
        <v>19</v>
      </c>
      <c r="P52" s="193">
        <f t="shared" si="3"/>
        <v>303.31125185927351</v>
      </c>
      <c r="Q52" s="262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6">
        <v>5</v>
      </c>
      <c r="B53" s="209" t="s">
        <v>132</v>
      </c>
      <c r="C53" s="208" t="s">
        <v>132</v>
      </c>
      <c r="D53" s="207" t="s">
        <v>132</v>
      </c>
      <c r="E53" s="202"/>
      <c r="F53" s="258"/>
      <c r="G53" s="218"/>
      <c r="H53" s="199"/>
      <c r="I53" s="200"/>
      <c r="J53" s="25"/>
      <c r="K53" s="179"/>
      <c r="L53" s="5"/>
      <c r="M53" s="5"/>
      <c r="N53" s="5"/>
      <c r="O53" s="203">
        <f>IF(O52+1&lt;=MIN('Données projet'!$E$9:$E$18),O52+1,"STOP")</f>
        <v>20</v>
      </c>
      <c r="P53" s="193">
        <f t="shared" si="3"/>
        <v>290.25000177920919</v>
      </c>
      <c r="Q53" s="262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88">
        <f>'Données projet'!A62</f>
        <v>20</v>
      </c>
      <c r="B54" s="189">
        <f>'Données projet'!D62</f>
        <v>0</v>
      </c>
      <c r="C54" s="200"/>
      <c r="D54" s="187">
        <f>B54*C54</f>
        <v>0</v>
      </c>
      <c r="E54" s="202"/>
      <c r="F54" s="259"/>
      <c r="G54" s="218"/>
      <c r="H54" s="199"/>
      <c r="I54" s="200"/>
      <c r="J54" s="25"/>
      <c r="K54" s="179"/>
      <c r="L54" s="5"/>
      <c r="M54" s="5"/>
      <c r="N54" s="5"/>
      <c r="O54" s="203">
        <f>IF(O53+1&lt;=MIN('Données projet'!$E$9:$E$18),O53+1,"STOP")</f>
        <v>21</v>
      </c>
      <c r="P54" s="193">
        <f t="shared" si="3"/>
        <v>277.7511978748413</v>
      </c>
      <c r="Q54" s="262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88">
        <f>'Données projet'!A63</f>
        <v>25</v>
      </c>
      <c r="B55" s="189">
        <f>'Données projet'!D63</f>
        <v>0</v>
      </c>
      <c r="C55" s="200"/>
      <c r="D55" s="187">
        <f t="shared" ref="D55:D73" si="4">B55*C55</f>
        <v>0</v>
      </c>
      <c r="E55" s="202"/>
      <c r="F55" s="259"/>
      <c r="G55" s="218"/>
      <c r="H55" s="199"/>
      <c r="I55" s="200"/>
      <c r="J55" s="25"/>
      <c r="K55" s="179"/>
      <c r="L55" s="5"/>
      <c r="M55" s="5"/>
      <c r="N55" s="5"/>
      <c r="O55" s="203">
        <f>IF(O54+1&lt;=MIN('Données projet'!$E$9:$E$18),O54+1,"STOP")</f>
        <v>22</v>
      </c>
      <c r="P55" s="193">
        <f t="shared" si="3"/>
        <v>265.79061997592476</v>
      </c>
      <c r="Q55" s="262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88">
        <f>'Données projet'!A64</f>
        <v>30</v>
      </c>
      <c r="B56" s="189">
        <f>'Données projet'!D64</f>
        <v>29</v>
      </c>
      <c r="C56" s="200">
        <v>10</v>
      </c>
      <c r="D56" s="187">
        <f t="shared" si="4"/>
        <v>290</v>
      </c>
      <c r="E56" s="202"/>
      <c r="F56" s="259"/>
      <c r="G56" s="218"/>
      <c r="H56" s="199"/>
      <c r="I56" s="200"/>
      <c r="J56" s="25"/>
      <c r="K56" s="179"/>
      <c r="L56" s="5"/>
      <c r="M56" s="5"/>
      <c r="N56" s="5"/>
      <c r="O56" s="203">
        <f>IF(O55+1&lt;=MIN('Données projet'!$E$9:$E$18),O55+1,"STOP")</f>
        <v>23</v>
      </c>
      <c r="P56" s="193">
        <f t="shared" si="3"/>
        <v>254.34509088605239</v>
      </c>
      <c r="Q56" s="262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88">
        <f>'Données projet'!A65</f>
        <v>35</v>
      </c>
      <c r="B57" s="189">
        <f>'Données projet'!D65</f>
        <v>0</v>
      </c>
      <c r="C57" s="200"/>
      <c r="D57" s="187">
        <f t="shared" si="4"/>
        <v>0</v>
      </c>
      <c r="E57" s="202"/>
      <c r="F57" s="259"/>
      <c r="G57" s="218"/>
      <c r="H57" s="199"/>
      <c r="I57" s="200"/>
      <c r="J57" s="25"/>
      <c r="K57" s="179"/>
      <c r="L57" s="5"/>
      <c r="M57" s="5"/>
      <c r="N57" s="5"/>
      <c r="O57" s="203">
        <f>IF(O56+1&lt;=MIN('Données projet'!$E$9:$E$18),O56+1,"STOP")</f>
        <v>24</v>
      </c>
      <c r="P57" s="193">
        <f t="shared" si="3"/>
        <v>243.39243146990665</v>
      </c>
      <c r="Q57" s="262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88">
        <f>'Données projet'!A66</f>
        <v>40</v>
      </c>
      <c r="B58" s="189">
        <f>'Données projet'!D66</f>
        <v>42</v>
      </c>
      <c r="C58" s="200">
        <v>10</v>
      </c>
      <c r="D58" s="187">
        <f t="shared" si="4"/>
        <v>420</v>
      </c>
      <c r="E58" s="202"/>
      <c r="F58" s="259"/>
      <c r="G58" s="218"/>
      <c r="H58" s="199"/>
      <c r="I58" s="200"/>
      <c r="J58" s="25"/>
      <c r="K58" s="179"/>
      <c r="L58" s="5"/>
      <c r="M58" s="5"/>
      <c r="N58" s="5"/>
      <c r="O58" s="203">
        <f>IF(O57+1&lt;=MIN('Données projet'!$E$9:$E$18),O57+1,"STOP")</f>
        <v>25</v>
      </c>
      <c r="P58" s="193">
        <f t="shared" si="3"/>
        <v>232.91141767455184</v>
      </c>
      <c r="Q58" s="262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88">
        <f>'Données projet'!A67</f>
        <v>45</v>
      </c>
      <c r="B59" s="189">
        <f>'Données projet'!D67</f>
        <v>0</v>
      </c>
      <c r="C59" s="200"/>
      <c r="D59" s="187">
        <f t="shared" si="4"/>
        <v>0</v>
      </c>
      <c r="E59" s="202"/>
      <c r="F59" s="259"/>
      <c r="G59" s="218"/>
      <c r="H59" s="199"/>
      <c r="I59" s="200"/>
      <c r="J59" s="25"/>
      <c r="K59" s="179"/>
      <c r="L59" s="5"/>
      <c r="M59" s="5"/>
      <c r="N59" s="5"/>
      <c r="O59" s="203">
        <f>IF(O58+1&lt;=MIN('Données projet'!$E$9:$E$18),O58+1,"STOP")</f>
        <v>26</v>
      </c>
      <c r="P59" s="193">
        <f t="shared" si="3"/>
        <v>222.88173940148508</v>
      </c>
      <c r="Q59" s="262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88">
        <f>'Données projet'!A68</f>
        <v>50</v>
      </c>
      <c r="B60" s="189">
        <f>'Données projet'!D68</f>
        <v>42</v>
      </c>
      <c r="C60" s="200">
        <v>15</v>
      </c>
      <c r="D60" s="187">
        <f t="shared" si="4"/>
        <v>630</v>
      </c>
      <c r="E60" s="202"/>
      <c r="F60" s="259"/>
      <c r="G60" s="219"/>
      <c r="H60" s="199"/>
      <c r="I60" s="200"/>
      <c r="J60" s="25"/>
      <c r="K60" s="179"/>
      <c r="L60" s="5"/>
      <c r="M60" s="5"/>
      <c r="N60" s="5"/>
      <c r="O60" s="203">
        <f>IF(O59+1&lt;=MIN('Données projet'!$E$9:$E$18),O59+1,"STOP")</f>
        <v>27</v>
      </c>
      <c r="P60" s="193">
        <f t="shared" si="3"/>
        <v>213.28396114974646</v>
      </c>
      <c r="Q60" s="262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88">
        <f>'Données projet'!A69</f>
        <v>55</v>
      </c>
      <c r="B61" s="189">
        <f>'Données projet'!D69</f>
        <v>0</v>
      </c>
      <c r="C61" s="200"/>
      <c r="D61" s="187">
        <f t="shared" si="4"/>
        <v>0</v>
      </c>
      <c r="E61" s="202"/>
      <c r="F61" s="259"/>
      <c r="G61" s="219"/>
      <c r="H61" s="199"/>
      <c r="I61" s="200"/>
      <c r="J61" s="25"/>
      <c r="K61" s="179"/>
      <c r="L61" s="5"/>
      <c r="M61" s="5"/>
      <c r="N61" s="5"/>
      <c r="O61" s="203">
        <f>IF(O60+1&lt;=MIN('Données projet'!$E$9:$E$18),O60+1,"STOP")</f>
        <v>28</v>
      </c>
      <c r="P61" s="193">
        <f t="shared" si="3"/>
        <v>204.09948435382444</v>
      </c>
      <c r="Q61" s="262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88">
        <f>'Données projet'!A70</f>
        <v>60</v>
      </c>
      <c r="B62" s="189">
        <f>'Données projet'!D70</f>
        <v>42</v>
      </c>
      <c r="C62" s="200">
        <v>20</v>
      </c>
      <c r="D62" s="187">
        <f t="shared" si="4"/>
        <v>840</v>
      </c>
      <c r="E62" s="202"/>
      <c r="F62" s="259"/>
      <c r="G62" s="219"/>
      <c r="H62" s="199"/>
      <c r="I62" s="200"/>
      <c r="J62" s="25"/>
      <c r="K62" s="179"/>
      <c r="L62" s="5"/>
      <c r="M62" s="5"/>
      <c r="N62" s="5"/>
      <c r="O62" s="203">
        <f>IF(O61+1&lt;=MIN('Données projet'!$E$9:$E$18),O61+1,"STOP")</f>
        <v>29</v>
      </c>
      <c r="P62" s="193">
        <f t="shared" si="3"/>
        <v>195.31051134337264</v>
      </c>
      <c r="Q62" s="262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88">
        <f>'Données projet'!A71</f>
        <v>65</v>
      </c>
      <c r="B63" s="189">
        <f>'Données projet'!D71</f>
        <v>0</v>
      </c>
      <c r="C63" s="200"/>
      <c r="D63" s="187">
        <f t="shared" si="4"/>
        <v>0</v>
      </c>
      <c r="E63" s="202"/>
      <c r="F63" s="259"/>
      <c r="G63" s="219"/>
      <c r="H63" s="199"/>
      <c r="I63" s="200"/>
      <c r="J63" s="25"/>
      <c r="K63" s="179"/>
      <c r="L63" s="5"/>
      <c r="M63" s="5"/>
      <c r="N63" s="5"/>
      <c r="O63" s="203">
        <f>IF(O62+1&lt;=MIN('Données projet'!$E$9:$E$18),O62+1,"STOP")</f>
        <v>30</v>
      </c>
      <c r="P63" s="193">
        <f t="shared" si="3"/>
        <v>186.90001085490209</v>
      </c>
      <c r="Q63" s="262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88">
        <f>'Données projet'!A72</f>
        <v>70</v>
      </c>
      <c r="B64" s="189">
        <f>'Données projet'!D72</f>
        <v>42</v>
      </c>
      <c r="C64" s="200">
        <v>40</v>
      </c>
      <c r="D64" s="187">
        <f t="shared" si="4"/>
        <v>1680</v>
      </c>
      <c r="E64" s="202"/>
      <c r="F64" s="259"/>
      <c r="G64" s="219"/>
      <c r="H64" s="199"/>
      <c r="I64" s="200"/>
      <c r="J64" s="220"/>
      <c r="K64" s="179"/>
      <c r="L64" s="5"/>
      <c r="M64" s="5"/>
      <c r="N64" s="5"/>
      <c r="O64" s="203">
        <f>IF(O63+1&lt;=MIN('Données projet'!$E$9:$E$18),O63+1,"STOP")</f>
        <v>31</v>
      </c>
      <c r="P64" s="193">
        <f t="shared" si="3"/>
        <v>178.85168502861441</v>
      </c>
      <c r="Q64" s="262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88">
        <f>'Données projet'!A73</f>
        <v>75</v>
      </c>
      <c r="B65" s="189">
        <f>'Données projet'!D73</f>
        <v>0</v>
      </c>
      <c r="C65" s="200"/>
      <c r="D65" s="187">
        <f t="shared" si="4"/>
        <v>0</v>
      </c>
      <c r="E65" s="202"/>
      <c r="F65" s="259"/>
      <c r="G65" s="219"/>
      <c r="H65" s="199"/>
      <c r="I65" s="200"/>
      <c r="J65" s="197"/>
      <c r="K65" s="179"/>
      <c r="L65" s="5"/>
      <c r="M65" s="5"/>
      <c r="N65" s="5"/>
      <c r="O65" s="203">
        <f>IF(O64+1&lt;=MIN('Données projet'!$E$9:$E$18),O64+1,"STOP")</f>
        <v>32</v>
      </c>
      <c r="P65" s="193">
        <f t="shared" ref="P65:P96" si="5">$P$25/(1+$M$4)^O65</f>
        <v>171.14993782642537</v>
      </c>
      <c r="Q65" s="262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88">
        <f>'Données projet'!A74</f>
        <v>80</v>
      </c>
      <c r="B66" s="189">
        <f>'Données projet'!D74</f>
        <v>42</v>
      </c>
      <c r="C66" s="200">
        <v>60</v>
      </c>
      <c r="D66" s="187">
        <f t="shared" si="4"/>
        <v>2520</v>
      </c>
      <c r="E66" s="202"/>
      <c r="F66" s="259"/>
      <c r="G66" s="219"/>
      <c r="H66" s="199"/>
      <c r="I66" s="200"/>
      <c r="J66" s="197"/>
      <c r="K66" s="179"/>
      <c r="L66" s="5"/>
      <c r="M66" s="5"/>
      <c r="N66" s="5"/>
      <c r="O66" s="203">
        <f>IF(O65+1&lt;=MIN('Données projet'!$E$9:$E$18),O65+1,"STOP")</f>
        <v>33</v>
      </c>
      <c r="P66" s="193">
        <f t="shared" si="5"/>
        <v>163.77984480997645</v>
      </c>
      <c r="Q66" s="262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88">
        <f>'Données projet'!A75</f>
        <v>90</v>
      </c>
      <c r="B67" s="189">
        <f>'Données projet'!D75</f>
        <v>42</v>
      </c>
      <c r="C67" s="200">
        <v>80</v>
      </c>
      <c r="D67" s="187">
        <f t="shared" si="4"/>
        <v>3360</v>
      </c>
      <c r="E67" s="202"/>
      <c r="F67" s="259"/>
      <c r="G67" s="219"/>
      <c r="H67" s="199"/>
      <c r="I67" s="200"/>
      <c r="J67" s="197"/>
      <c r="K67" s="179"/>
      <c r="L67" s="5"/>
      <c r="M67" s="5"/>
      <c r="N67" s="5"/>
      <c r="O67" s="203">
        <f>IF(O66+1&lt;=MIN('Données projet'!$E$9:$E$18),O66+1,"STOP")</f>
        <v>34</v>
      </c>
      <c r="P67" s="193">
        <f t="shared" si="5"/>
        <v>156.72712422007316</v>
      </c>
      <c r="Q67" s="262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88">
        <f>'Données projet'!A76</f>
        <v>100</v>
      </c>
      <c r="B68" s="189">
        <f>'Données projet'!D76</f>
        <v>42</v>
      </c>
      <c r="C68" s="200">
        <v>100</v>
      </c>
      <c r="D68" s="187">
        <f t="shared" si="4"/>
        <v>4200</v>
      </c>
      <c r="E68" s="202"/>
      <c r="F68" s="259"/>
      <c r="G68" s="219"/>
      <c r="H68" s="199"/>
      <c r="I68" s="200"/>
      <c r="J68" s="197"/>
      <c r="K68" s="179"/>
      <c r="L68" s="5"/>
      <c r="M68" s="5"/>
      <c r="N68" s="5"/>
      <c r="O68" s="203">
        <f>IF(O67+1&lt;=MIN('Données projet'!$E$9:$E$18),O67+1,"STOP")</f>
        <v>35</v>
      </c>
      <c r="P68" s="193">
        <f t="shared" si="5"/>
        <v>149.97810930150544</v>
      </c>
      <c r="Q68" s="262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88">
        <f>'Données projet'!A77</f>
        <v>110</v>
      </c>
      <c r="B69" s="189">
        <f>'Données projet'!D77</f>
        <v>39</v>
      </c>
      <c r="C69" s="200">
        <v>110</v>
      </c>
      <c r="D69" s="187">
        <f t="shared" si="4"/>
        <v>4290</v>
      </c>
      <c r="E69" s="202"/>
      <c r="F69" s="259"/>
      <c r="G69" s="219"/>
      <c r="H69" s="199"/>
      <c r="I69" s="200"/>
      <c r="J69" s="197"/>
      <c r="K69" s="179"/>
      <c r="L69" s="5"/>
      <c r="M69" s="5"/>
      <c r="N69" s="5"/>
      <c r="O69" s="203">
        <f>IF(O68+1&lt;=MIN('Données projet'!$E$9:$E$18),O68+1,"STOP")</f>
        <v>36</v>
      </c>
      <c r="P69" s="193">
        <f t="shared" si="5"/>
        <v>143.51972181962245</v>
      </c>
      <c r="Q69" s="262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88">
        <f>'Données projet'!A78</f>
        <v>120</v>
      </c>
      <c r="B70" s="189">
        <f>'Données projet'!D78</f>
        <v>35</v>
      </c>
      <c r="C70" s="200">
        <v>130</v>
      </c>
      <c r="D70" s="187">
        <f t="shared" si="4"/>
        <v>4550</v>
      </c>
      <c r="E70" s="202"/>
      <c r="F70" s="259"/>
      <c r="G70" s="219"/>
      <c r="H70" s="199"/>
      <c r="I70" s="200"/>
      <c r="J70" s="197"/>
      <c r="K70" s="179"/>
      <c r="L70" s="5"/>
      <c r="M70" s="5"/>
      <c r="N70" s="5"/>
      <c r="O70" s="203">
        <f>IF(O69+1&lt;=MIN('Données projet'!$E$9:$E$18),O69+1,"STOP")</f>
        <v>37</v>
      </c>
      <c r="P70" s="193">
        <f t="shared" si="5"/>
        <v>137.33944671734207</v>
      </c>
      <c r="Q70" s="262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88">
        <f>'Données projet'!A79</f>
        <v>130</v>
      </c>
      <c r="B71" s="189">
        <f>'Données projet'!D79</f>
        <v>31</v>
      </c>
      <c r="C71" s="200">
        <v>140</v>
      </c>
      <c r="D71" s="187">
        <f t="shared" si="4"/>
        <v>4340</v>
      </c>
      <c r="E71" s="202"/>
      <c r="F71" s="259"/>
      <c r="G71" s="219"/>
      <c r="H71" s="199"/>
      <c r="I71" s="200"/>
      <c r="J71" s="197"/>
      <c r="K71" s="179"/>
      <c r="L71" s="5"/>
      <c r="M71" s="5"/>
      <c r="N71" s="5"/>
      <c r="O71" s="203">
        <f>IF(O70+1&lt;=MIN('Données projet'!$E$9:$E$18),O70+1,"STOP")</f>
        <v>38</v>
      </c>
      <c r="P71" s="193">
        <f t="shared" si="5"/>
        <v>131.42530786348524</v>
      </c>
      <c r="Q71" s="262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88">
        <f>'Données projet'!A80</f>
        <v>140</v>
      </c>
      <c r="B72" s="189">
        <f>'Données projet'!D80</f>
        <v>27</v>
      </c>
      <c r="C72" s="200">
        <v>150</v>
      </c>
      <c r="D72" s="187">
        <f t="shared" si="4"/>
        <v>4050</v>
      </c>
      <c r="E72" s="202"/>
      <c r="F72" s="259"/>
      <c r="G72" s="219"/>
      <c r="H72" s="199"/>
      <c r="I72" s="200"/>
      <c r="J72" s="5"/>
      <c r="K72" s="179"/>
      <c r="L72" s="5"/>
      <c r="M72" s="5"/>
      <c r="N72" s="5"/>
      <c r="O72" s="203">
        <f>IF(O71+1&lt;=MIN('Données projet'!$E$9:$E$18),O71+1,"STOP")</f>
        <v>39</v>
      </c>
      <c r="P72" s="193">
        <f t="shared" si="5"/>
        <v>125.76584484544044</v>
      </c>
      <c r="Q72" s="262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88">
        <f>'Données projet'!A81</f>
        <v>150</v>
      </c>
      <c r="B73" s="189">
        <f>'Données projet'!D81</f>
        <v>293</v>
      </c>
      <c r="C73" s="200">
        <v>200</v>
      </c>
      <c r="D73" s="187">
        <f t="shared" si="4"/>
        <v>58600</v>
      </c>
      <c r="E73" s="202"/>
      <c r="F73" s="259"/>
      <c r="G73" s="219"/>
      <c r="H73" s="199"/>
      <c r="I73" s="200"/>
      <c r="J73" s="5"/>
      <c r="K73" s="179"/>
      <c r="L73" s="5"/>
      <c r="M73" s="5"/>
      <c r="N73" s="5"/>
      <c r="O73" s="203">
        <f>IF(O72+1&lt;=MIN('Données projet'!$E$9:$E$18),O72+1,"STOP")</f>
        <v>40</v>
      </c>
      <c r="P73" s="193">
        <f t="shared" si="5"/>
        <v>120.35009076118705</v>
      </c>
      <c r="Q73" s="262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57"/>
      <c r="G74" s="219"/>
      <c r="H74" s="199"/>
      <c r="I74" s="200"/>
      <c r="J74" s="5"/>
      <c r="K74" s="179"/>
      <c r="L74" s="5"/>
      <c r="M74" s="5"/>
      <c r="N74" s="5"/>
      <c r="O74" s="203">
        <f>IF(O73+1&lt;=MIN('Données projet'!$E$9:$E$18),O73+1,"STOP")</f>
        <v>41</v>
      </c>
      <c r="P74" s="193">
        <f t="shared" si="5"/>
        <v>115.16755096764312</v>
      </c>
      <c r="Q74" s="262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57"/>
      <c r="G75" s="219"/>
      <c r="H75" s="199"/>
      <c r="I75" s="200"/>
      <c r="J75" s="5"/>
      <c r="K75" s="179"/>
      <c r="L75" s="5"/>
      <c r="M75" s="5"/>
      <c r="N75" s="5"/>
      <c r="O75" s="203">
        <f>IF(O74+1&lt;=MIN('Données projet'!$E$9:$E$18),O74+1,"STOP")</f>
        <v>42</v>
      </c>
      <c r="P75" s="193">
        <f t="shared" si="5"/>
        <v>110.20818274415612</v>
      </c>
      <c r="Q75" s="262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2" t="str">
        <f>IF('Données projet'!B11="","",'Données projet'!B11)</f>
        <v>Pin maritime</v>
      </c>
      <c r="C76" s="5"/>
      <c r="D76" s="5"/>
      <c r="E76" s="5"/>
      <c r="F76" s="257"/>
      <c r="G76" s="219"/>
      <c r="H76" s="199"/>
      <c r="I76" s="200"/>
      <c r="J76" s="5"/>
      <c r="K76" s="179"/>
      <c r="L76" s="5"/>
      <c r="M76" s="5"/>
      <c r="N76" s="5"/>
      <c r="O76" s="203">
        <f>IF(O75+1&lt;=MIN('Données projet'!$E$9:$E$18),O75+1,"STOP")</f>
        <v>43</v>
      </c>
      <c r="P76" s="193">
        <f t="shared" si="5"/>
        <v>105.46237583172834</v>
      </c>
      <c r="Q76" s="262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57"/>
      <c r="G77" s="219"/>
      <c r="H77" s="199"/>
      <c r="I77" s="200"/>
      <c r="J77" s="5"/>
      <c r="K77" s="179"/>
      <c r="L77" s="5"/>
      <c r="M77" s="5"/>
      <c r="N77" s="5"/>
      <c r="O77" s="203">
        <f>IF(O76+1&lt;=MIN('Données projet'!$E$9:$E$18),O76+1,"STOP")</f>
        <v>44</v>
      </c>
      <c r="P77" s="193">
        <f t="shared" si="5"/>
        <v>100.92093381026638</v>
      </c>
      <c r="Q77" s="262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3" t="s">
        <v>180</v>
      </c>
      <c r="B78" s="51" t="s">
        <v>256</v>
      </c>
      <c r="C78" s="51" t="s">
        <v>255</v>
      </c>
      <c r="D78" s="253" t="s">
        <v>252</v>
      </c>
      <c r="E78" s="253" t="s">
        <v>320</v>
      </c>
      <c r="F78" s="258"/>
      <c r="G78" s="219"/>
      <c r="H78" s="199"/>
      <c r="I78" s="200"/>
      <c r="J78" s="5"/>
      <c r="K78" s="179"/>
      <c r="L78" s="5"/>
      <c r="M78" s="5"/>
      <c r="N78" s="5"/>
      <c r="O78" s="203" t="str">
        <f>IF(O77+1&lt;=MIN('Données projet'!$E$9:$E$18),O77+1,"STOP")</f>
        <v>STOP</v>
      </c>
      <c r="P78" s="193" t="e">
        <f t="shared" si="5"/>
        <v>#VALUE!</v>
      </c>
      <c r="Q78" s="262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6">
        <v>0</v>
      </c>
      <c r="B79" s="209" t="s">
        <v>132</v>
      </c>
      <c r="C79" s="208" t="s">
        <v>132</v>
      </c>
      <c r="D79" s="207" t="s">
        <v>132</v>
      </c>
      <c r="E79" s="202"/>
      <c r="F79" s="258"/>
      <c r="G79" s="219"/>
      <c r="H79" s="199"/>
      <c r="I79" s="200"/>
      <c r="J79" s="5"/>
      <c r="K79" s="179"/>
      <c r="L79" s="5"/>
      <c r="M79" s="5"/>
      <c r="N79" s="5"/>
      <c r="O79" s="203" t="e">
        <f>IF(O78+1&lt;=MIN('Données projet'!$E$9:$E$18),O78+1,"STOP")</f>
        <v>#VALUE!</v>
      </c>
      <c r="P79" s="193" t="e">
        <f t="shared" si="5"/>
        <v>#VALUE!</v>
      </c>
      <c r="Q79" s="262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6">
        <v>1</v>
      </c>
      <c r="B80" s="209" t="s">
        <v>132</v>
      </c>
      <c r="C80" s="208" t="s">
        <v>132</v>
      </c>
      <c r="D80" s="207" t="s">
        <v>132</v>
      </c>
      <c r="E80" s="202"/>
      <c r="F80" s="258"/>
      <c r="G80" s="217"/>
      <c r="H80" s="199"/>
      <c r="I80" s="200"/>
      <c r="J80" s="5"/>
      <c r="K80" s="179"/>
      <c r="L80" s="5"/>
      <c r="M80" s="5"/>
      <c r="N80" s="5"/>
      <c r="O80" s="203" t="e">
        <f>IF(O79+1&lt;=MIN('Données projet'!$E$9:$E$18),O79+1,"STOP")</f>
        <v>#VALUE!</v>
      </c>
      <c r="P80" s="193" t="e">
        <f t="shared" si="5"/>
        <v>#VALUE!</v>
      </c>
      <c r="Q80" s="262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6">
        <v>2</v>
      </c>
      <c r="B81" s="209" t="s">
        <v>132</v>
      </c>
      <c r="C81" s="208" t="s">
        <v>132</v>
      </c>
      <c r="D81" s="207" t="s">
        <v>132</v>
      </c>
      <c r="E81" s="202"/>
      <c r="F81" s="258"/>
      <c r="G81" s="217"/>
      <c r="H81" s="199"/>
      <c r="I81" s="200"/>
      <c r="J81" s="5"/>
      <c r="K81" s="179"/>
      <c r="L81" s="5"/>
      <c r="M81" s="5"/>
      <c r="N81" s="5"/>
      <c r="O81" s="203" t="e">
        <f>IF(O80+1&lt;=MIN('Données projet'!$E$9:$E$18),O80+1,"STOP")</f>
        <v>#VALUE!</v>
      </c>
      <c r="P81" s="193" t="e">
        <f t="shared" si="5"/>
        <v>#VALUE!</v>
      </c>
      <c r="Q81" s="262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6">
        <v>3</v>
      </c>
      <c r="B82" s="209" t="s">
        <v>132</v>
      </c>
      <c r="C82" s="208" t="s">
        <v>132</v>
      </c>
      <c r="D82" s="207" t="s">
        <v>132</v>
      </c>
      <c r="E82" s="202"/>
      <c r="F82" s="258"/>
      <c r="G82" s="217"/>
      <c r="H82" s="199"/>
      <c r="I82" s="200"/>
      <c r="J82" s="5"/>
      <c r="K82" s="179"/>
      <c r="L82" s="5"/>
      <c r="M82" s="5"/>
      <c r="N82" s="5"/>
      <c r="O82" s="203" t="e">
        <f>IF(O81+1&lt;=MIN('Données projet'!$E$9:$E$18),O81+1,"STOP")</f>
        <v>#VALUE!</v>
      </c>
      <c r="P82" s="193" t="e">
        <f t="shared" si="5"/>
        <v>#VALUE!</v>
      </c>
      <c r="Q82" s="262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6">
        <v>4</v>
      </c>
      <c r="B83" s="209" t="s">
        <v>132</v>
      </c>
      <c r="C83" s="208" t="s">
        <v>132</v>
      </c>
      <c r="D83" s="207" t="s">
        <v>132</v>
      </c>
      <c r="E83" s="202"/>
      <c r="F83" s="258"/>
      <c r="G83" s="217"/>
      <c r="H83" s="199"/>
      <c r="I83" s="200"/>
      <c r="J83" s="5"/>
      <c r="K83" s="179"/>
      <c r="L83" s="5"/>
      <c r="M83" s="5"/>
      <c r="N83" s="5"/>
      <c r="O83" s="203" t="e">
        <f>IF(O82+1&lt;=MIN('Données projet'!$E$9:$E$18),O82+1,"STOP")</f>
        <v>#VALUE!</v>
      </c>
      <c r="P83" s="193" t="e">
        <f t="shared" si="5"/>
        <v>#VALUE!</v>
      </c>
      <c r="Q83" s="262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6">
        <v>5</v>
      </c>
      <c r="B84" s="209" t="s">
        <v>132</v>
      </c>
      <c r="C84" s="208" t="s">
        <v>132</v>
      </c>
      <c r="D84" s="207" t="s">
        <v>132</v>
      </c>
      <c r="E84" s="202"/>
      <c r="F84" s="258"/>
      <c r="G84" s="218"/>
      <c r="H84" s="199"/>
      <c r="I84" s="200"/>
      <c r="J84" s="5"/>
      <c r="K84" s="179"/>
      <c r="L84" s="5"/>
      <c r="M84" s="5"/>
      <c r="N84" s="5"/>
      <c r="O84" s="203" t="e">
        <f>IF(O83+1&lt;=MIN('Données projet'!$E$9:$E$18),O83+1,"STOP")</f>
        <v>#VALUE!</v>
      </c>
      <c r="P84" s="193" t="e">
        <f t="shared" si="5"/>
        <v>#VALUE!</v>
      </c>
      <c r="Q84" s="262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88">
        <f>'Données projet'!A88</f>
        <v>12</v>
      </c>
      <c r="B85" s="189">
        <f>'Données projet'!D88</f>
        <v>0</v>
      </c>
      <c r="C85" s="200"/>
      <c r="D85" s="187">
        <f>B85*C85</f>
        <v>0</v>
      </c>
      <c r="E85" s="202"/>
      <c r="F85" s="259"/>
      <c r="G85" s="218"/>
      <c r="H85" s="199"/>
      <c r="I85" s="200"/>
      <c r="J85" s="5"/>
      <c r="K85" s="179"/>
      <c r="L85" s="5"/>
      <c r="M85" s="5"/>
      <c r="N85" s="5"/>
      <c r="O85" s="203" t="e">
        <f>IF(O84+1&lt;=MIN('Données projet'!$E$9:$E$18),O84+1,"STOP")</f>
        <v>#VALUE!</v>
      </c>
      <c r="P85" s="193" t="e">
        <f t="shared" si="5"/>
        <v>#VALUE!</v>
      </c>
      <c r="Q85" s="262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88">
        <f>'Données projet'!A89</f>
        <v>13</v>
      </c>
      <c r="B86" s="189">
        <f>'Données projet'!D89</f>
        <v>0</v>
      </c>
      <c r="C86" s="200"/>
      <c r="D86" s="187">
        <f t="shared" ref="D86:D104" si="6">B86*C86</f>
        <v>0</v>
      </c>
      <c r="E86" s="202"/>
      <c r="F86" s="259"/>
      <c r="G86" s="218"/>
      <c r="H86" s="199"/>
      <c r="I86" s="200"/>
      <c r="J86" s="5"/>
      <c r="K86" s="179"/>
      <c r="L86" s="5"/>
      <c r="M86" s="5"/>
      <c r="N86" s="5"/>
      <c r="O86" s="203" t="e">
        <f>IF(O85+1&lt;=MIN('Données projet'!$E$9:$E$18),O85+1,"STOP")</f>
        <v>#VALUE!</v>
      </c>
      <c r="P86" s="193" t="e">
        <f t="shared" si="5"/>
        <v>#VALUE!</v>
      </c>
      <c r="Q86" s="262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88">
        <f>'Données projet'!A90</f>
        <v>14</v>
      </c>
      <c r="B87" s="189">
        <f>'Données projet'!D90</f>
        <v>0</v>
      </c>
      <c r="C87" s="200"/>
      <c r="D87" s="187">
        <f t="shared" si="6"/>
        <v>0</v>
      </c>
      <c r="E87" s="202"/>
      <c r="F87" s="259"/>
      <c r="G87" s="218"/>
      <c r="H87" s="199"/>
      <c r="I87" s="200"/>
      <c r="J87" s="5"/>
      <c r="K87" s="179"/>
      <c r="L87" s="5"/>
      <c r="M87" s="5"/>
      <c r="N87" s="5"/>
      <c r="O87" s="203" t="e">
        <f>IF(O86+1&lt;=MIN('Données projet'!$E$9:$E$18),O86+1,"STOP")</f>
        <v>#VALUE!</v>
      </c>
      <c r="P87" s="193" t="e">
        <f t="shared" si="5"/>
        <v>#VALUE!</v>
      </c>
      <c r="Q87" s="262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88">
        <f>'Données projet'!A91</f>
        <v>15</v>
      </c>
      <c r="B88" s="189">
        <f>'Données projet'!D91</f>
        <v>23.3155</v>
      </c>
      <c r="C88" s="202">
        <v>10</v>
      </c>
      <c r="D88" s="187">
        <f t="shared" si="6"/>
        <v>233.155</v>
      </c>
      <c r="E88" s="202"/>
      <c r="F88" s="259"/>
      <c r="G88" s="218"/>
      <c r="H88" s="199"/>
      <c r="I88" s="200"/>
      <c r="J88" s="5"/>
      <c r="K88" s="179"/>
      <c r="L88" s="5"/>
      <c r="M88" s="5"/>
      <c r="N88" s="5"/>
      <c r="O88" s="203" t="e">
        <f>IF(O87+1&lt;=MIN('Données projet'!$E$9:$E$18),O87+1,"STOP")</f>
        <v>#VALUE!</v>
      </c>
      <c r="P88" s="193" t="e">
        <f t="shared" si="5"/>
        <v>#VALUE!</v>
      </c>
      <c r="Q88" s="262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88">
        <f>'Données projet'!A92</f>
        <v>16</v>
      </c>
      <c r="B89" s="189">
        <f>'Données projet'!D92</f>
        <v>0</v>
      </c>
      <c r="C89" s="202"/>
      <c r="D89" s="187">
        <f t="shared" si="6"/>
        <v>0</v>
      </c>
      <c r="E89" s="202"/>
      <c r="F89" s="259"/>
      <c r="G89" s="218"/>
      <c r="H89" s="199"/>
      <c r="I89" s="200"/>
      <c r="J89" s="5"/>
      <c r="K89" s="179"/>
      <c r="L89" s="5"/>
      <c r="M89" s="5"/>
      <c r="N89" s="5"/>
      <c r="O89" s="203" t="e">
        <f>IF(O88+1&lt;=MIN('Données projet'!$E$9:$E$18),O88+1,"STOP")</f>
        <v>#VALUE!</v>
      </c>
      <c r="P89" s="193" t="e">
        <f t="shared" si="5"/>
        <v>#VALUE!</v>
      </c>
      <c r="Q89" s="262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88">
        <f>'Données projet'!A93</f>
        <v>17</v>
      </c>
      <c r="B90" s="189">
        <f>'Données projet'!D93</f>
        <v>0</v>
      </c>
      <c r="C90" s="202"/>
      <c r="D90" s="187">
        <f t="shared" si="6"/>
        <v>0</v>
      </c>
      <c r="E90" s="202"/>
      <c r="F90" s="259"/>
      <c r="G90" s="218"/>
      <c r="H90" s="199"/>
      <c r="I90" s="200"/>
      <c r="J90" s="5"/>
      <c r="K90" s="179"/>
      <c r="L90" s="5"/>
      <c r="M90" s="5"/>
      <c r="N90" s="5"/>
      <c r="O90" s="203" t="e">
        <f>IF(O89+1&lt;=MIN('Données projet'!$E$9:$E$18),O89+1,"STOP")</f>
        <v>#VALUE!</v>
      </c>
      <c r="P90" s="193" t="e">
        <f t="shared" si="5"/>
        <v>#VALUE!</v>
      </c>
      <c r="Q90" s="262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88">
        <f>'Données projet'!A94</f>
        <v>18</v>
      </c>
      <c r="B91" s="189">
        <f>'Données projet'!D94</f>
        <v>0</v>
      </c>
      <c r="C91" s="202"/>
      <c r="D91" s="187">
        <f t="shared" si="6"/>
        <v>0</v>
      </c>
      <c r="E91" s="202"/>
      <c r="F91" s="259"/>
      <c r="G91" s="219"/>
      <c r="H91" s="199"/>
      <c r="I91" s="200"/>
      <c r="J91" s="5"/>
      <c r="K91" s="179"/>
      <c r="L91" s="5"/>
      <c r="M91" s="5"/>
      <c r="N91" s="5"/>
      <c r="O91" s="203" t="e">
        <f>IF(O90+1&lt;=MIN('Données projet'!$E$9:$E$18),O90+1,"STOP")</f>
        <v>#VALUE!</v>
      </c>
      <c r="P91" s="193" t="e">
        <f t="shared" si="5"/>
        <v>#VALUE!</v>
      </c>
      <c r="Q91" s="262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88">
        <f>'Données projet'!A95</f>
        <v>19</v>
      </c>
      <c r="B92" s="189">
        <f>'Données projet'!D95</f>
        <v>0</v>
      </c>
      <c r="C92" s="202"/>
      <c r="D92" s="187">
        <f t="shared" si="6"/>
        <v>0</v>
      </c>
      <c r="E92" s="202"/>
      <c r="F92" s="259"/>
      <c r="G92" s="219"/>
      <c r="H92" s="199"/>
      <c r="I92" s="200"/>
      <c r="J92" s="5"/>
      <c r="K92" s="179"/>
      <c r="L92" s="5"/>
      <c r="M92" s="5"/>
      <c r="N92" s="5"/>
      <c r="O92" s="203" t="e">
        <f>IF(O91+1&lt;=MIN('Données projet'!$E$9:$E$18),O91+1,"STOP")</f>
        <v>#VALUE!</v>
      </c>
      <c r="P92" s="193" t="e">
        <f t="shared" si="5"/>
        <v>#VALUE!</v>
      </c>
      <c r="Q92" s="262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88">
        <f>'Données projet'!A96</f>
        <v>20</v>
      </c>
      <c r="B93" s="189">
        <f>'Données projet'!D96</f>
        <v>34.110500000000002</v>
      </c>
      <c r="C93" s="202">
        <v>15</v>
      </c>
      <c r="D93" s="187">
        <f t="shared" si="6"/>
        <v>511.65750000000003</v>
      </c>
      <c r="E93" s="202"/>
      <c r="F93" s="259"/>
      <c r="G93" s="219"/>
      <c r="H93" s="199"/>
      <c r="I93" s="200"/>
      <c r="J93" s="5"/>
      <c r="K93" s="179"/>
      <c r="L93" s="5"/>
      <c r="M93" s="5"/>
      <c r="N93" s="5"/>
      <c r="O93" s="203" t="e">
        <f>IF(O92+1&lt;=MIN('Données projet'!$E$9:$E$18),O92+1,"STOP")</f>
        <v>#VALUE!</v>
      </c>
      <c r="P93" s="193" t="e">
        <f t="shared" si="5"/>
        <v>#VALUE!</v>
      </c>
      <c r="Q93" s="262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88">
        <f>'Données projet'!A97</f>
        <v>21</v>
      </c>
      <c r="B94" s="189">
        <f>'Données projet'!D97</f>
        <v>0</v>
      </c>
      <c r="C94" s="202"/>
      <c r="D94" s="187">
        <f t="shared" si="6"/>
        <v>0</v>
      </c>
      <c r="E94" s="202"/>
      <c r="F94" s="259"/>
      <c r="G94" s="219"/>
      <c r="H94" s="199"/>
      <c r="I94" s="200"/>
      <c r="J94" s="5"/>
      <c r="K94" s="179"/>
      <c r="L94" s="5"/>
      <c r="M94" s="5"/>
      <c r="N94" s="5"/>
      <c r="O94" s="203" t="e">
        <f>IF(O93+1&lt;=MIN('Données projet'!$E$9:$E$18),O93+1,"STOP")</f>
        <v>#VALUE!</v>
      </c>
      <c r="P94" s="193" t="e">
        <f t="shared" si="5"/>
        <v>#VALUE!</v>
      </c>
      <c r="Q94" s="262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88">
        <f>'Données projet'!A98</f>
        <v>22</v>
      </c>
      <c r="B95" s="189">
        <f>'Données projet'!D98</f>
        <v>0</v>
      </c>
      <c r="C95" s="202"/>
      <c r="D95" s="187">
        <f t="shared" si="6"/>
        <v>0</v>
      </c>
      <c r="E95" s="202"/>
      <c r="F95" s="259"/>
      <c r="G95" s="219"/>
      <c r="H95" s="199"/>
      <c r="I95" s="200"/>
      <c r="J95" s="5"/>
      <c r="K95" s="179"/>
      <c r="L95" s="5"/>
      <c r="M95" s="5"/>
      <c r="N95" s="5"/>
      <c r="O95" s="203" t="e">
        <f>IF(O94+1&lt;=MIN('Données projet'!$E$9:$E$18),O94+1,"STOP")</f>
        <v>#VALUE!</v>
      </c>
      <c r="P95" s="193" t="e">
        <f t="shared" si="5"/>
        <v>#VALUE!</v>
      </c>
      <c r="Q95" s="262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88">
        <f>'Données projet'!A99</f>
        <v>23</v>
      </c>
      <c r="B96" s="189">
        <f>'Données projet'!D99</f>
        <v>0</v>
      </c>
      <c r="C96" s="202"/>
      <c r="D96" s="187">
        <f t="shared" si="6"/>
        <v>0</v>
      </c>
      <c r="E96" s="202"/>
      <c r="F96" s="259"/>
      <c r="G96" s="219"/>
      <c r="H96" s="199"/>
      <c r="I96" s="200"/>
      <c r="J96" s="5"/>
      <c r="K96" s="179"/>
      <c r="L96" s="5"/>
      <c r="M96" s="5"/>
      <c r="N96" s="5"/>
      <c r="O96" s="203" t="e">
        <f>IF(O95+1&lt;=MIN('Données projet'!$E$9:$E$18),O95+1,"STOP")</f>
        <v>#VALUE!</v>
      </c>
      <c r="P96" s="193" t="e">
        <f t="shared" si="5"/>
        <v>#VALUE!</v>
      </c>
      <c r="Q96" s="262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88">
        <f>'Données projet'!A100</f>
        <v>24</v>
      </c>
      <c r="B97" s="189">
        <f>'Données projet'!D100</f>
        <v>0</v>
      </c>
      <c r="C97" s="202"/>
      <c r="D97" s="187">
        <f t="shared" si="6"/>
        <v>0</v>
      </c>
      <c r="E97" s="202"/>
      <c r="F97" s="259"/>
      <c r="G97" s="219"/>
      <c r="H97" s="199"/>
      <c r="I97" s="200"/>
      <c r="J97" s="5"/>
      <c r="K97" s="179"/>
      <c r="L97" s="5"/>
      <c r="M97" s="5"/>
      <c r="N97" s="5"/>
      <c r="O97" s="203" t="e">
        <f>IF(O96+1&lt;=MIN('Données projet'!$E$9:$E$18),O96+1,"STOP")</f>
        <v>#VALUE!</v>
      </c>
      <c r="P97" s="193" t="e">
        <f t="shared" ref="P97:P128" si="7">$P$25/(1+$M$4)^O97</f>
        <v>#VALUE!</v>
      </c>
      <c r="Q97" s="262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88">
        <f>'Données projet'!A101</f>
        <v>25</v>
      </c>
      <c r="B98" s="189">
        <f>'Données projet'!D101</f>
        <v>0</v>
      </c>
      <c r="C98" s="202"/>
      <c r="D98" s="187">
        <f t="shared" si="6"/>
        <v>0</v>
      </c>
      <c r="E98" s="202"/>
      <c r="F98" s="259"/>
      <c r="G98" s="219"/>
      <c r="H98" s="199"/>
      <c r="I98" s="200"/>
      <c r="J98" s="5"/>
      <c r="K98" s="179"/>
      <c r="L98" s="5"/>
      <c r="M98" s="5"/>
      <c r="N98" s="5"/>
      <c r="O98" s="203" t="e">
        <f>IF(O97+1&lt;=MIN('Données projet'!$E$9:$E$18),O97+1,"STOP")</f>
        <v>#VALUE!</v>
      </c>
      <c r="P98" s="193" t="e">
        <f t="shared" si="7"/>
        <v>#VALUE!</v>
      </c>
      <c r="Q98" s="262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88">
        <f>'Données projet'!A102</f>
        <v>27</v>
      </c>
      <c r="B99" s="189">
        <f>'Données projet'!D102</f>
        <v>54.518999999999998</v>
      </c>
      <c r="C99" s="202">
        <v>20</v>
      </c>
      <c r="D99" s="187">
        <f t="shared" si="6"/>
        <v>1090.3799999999999</v>
      </c>
      <c r="E99" s="202"/>
      <c r="F99" s="259"/>
      <c r="G99" s="219"/>
      <c r="H99" s="199"/>
      <c r="I99" s="200"/>
      <c r="J99" s="5"/>
      <c r="K99" s="179"/>
      <c r="L99" s="5"/>
      <c r="M99" s="5"/>
      <c r="N99" s="5"/>
      <c r="O99" s="203" t="e">
        <f>IF(O98+1&lt;=MIN('Données projet'!$E$9:$E$18),O98+1,"STOP")</f>
        <v>#VALUE!</v>
      </c>
      <c r="P99" s="193" t="e">
        <f t="shared" si="7"/>
        <v>#VALUE!</v>
      </c>
      <c r="Q99" s="262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88">
        <f>'Données projet'!A103</f>
        <v>30</v>
      </c>
      <c r="B100" s="189">
        <f>'Données projet'!D103</f>
        <v>0</v>
      </c>
      <c r="C100" s="202"/>
      <c r="D100" s="187">
        <f t="shared" si="6"/>
        <v>0</v>
      </c>
      <c r="E100" s="202"/>
      <c r="F100" s="259"/>
      <c r="G100" s="219"/>
      <c r="H100" s="199"/>
      <c r="I100" s="200"/>
      <c r="J100" s="5"/>
      <c r="K100" s="179"/>
      <c r="L100" s="5"/>
      <c r="M100" s="5"/>
      <c r="N100" s="5"/>
      <c r="O100" s="203" t="e">
        <f>IF(O99+1&lt;=MIN('Données projet'!$E$9:$E$18),O99+1,"STOP")</f>
        <v>#VALUE!</v>
      </c>
      <c r="P100" s="193" t="e">
        <f t="shared" si="7"/>
        <v>#VALUE!</v>
      </c>
      <c r="Q100" s="262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88">
        <f>'Données projet'!A104</f>
        <v>32</v>
      </c>
      <c r="B101" s="189">
        <f>'Données projet'!D104</f>
        <v>62.73</v>
      </c>
      <c r="C101" s="202">
        <v>25</v>
      </c>
      <c r="D101" s="187">
        <f t="shared" si="6"/>
        <v>1568.25</v>
      </c>
      <c r="E101" s="202"/>
      <c r="F101" s="259"/>
      <c r="G101" s="219"/>
      <c r="H101" s="199"/>
      <c r="I101" s="200"/>
      <c r="J101" s="5"/>
      <c r="K101" s="179"/>
      <c r="L101" s="5"/>
      <c r="M101" s="5"/>
      <c r="N101" s="5"/>
      <c r="O101" s="203" t="e">
        <f>IF(O100+1&lt;=MIN('Données projet'!$E$9:$E$18),O100+1,"STOP")</f>
        <v>#VALUE!</v>
      </c>
      <c r="P101" s="193" t="e">
        <f t="shared" si="7"/>
        <v>#VALUE!</v>
      </c>
      <c r="Q101" s="262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88">
        <f>'Données projet'!A105</f>
        <v>37</v>
      </c>
      <c r="B102" s="189">
        <f>'Données projet'!D105</f>
        <v>0</v>
      </c>
      <c r="C102" s="202"/>
      <c r="D102" s="187">
        <f t="shared" si="6"/>
        <v>0</v>
      </c>
      <c r="E102" s="202"/>
      <c r="F102" s="259"/>
      <c r="G102" s="219"/>
      <c r="H102" s="199"/>
      <c r="I102" s="200"/>
      <c r="J102" s="5"/>
      <c r="K102" s="179"/>
      <c r="L102" s="5"/>
      <c r="M102" s="5"/>
      <c r="N102" s="5"/>
      <c r="O102" s="203" t="e">
        <f>IF(O101+1&lt;=MIN('Données projet'!$E$9:$E$18),O101+1,"STOP")</f>
        <v>#VALUE!</v>
      </c>
      <c r="P102" s="193" t="e">
        <f t="shared" si="7"/>
        <v>#VALUE!</v>
      </c>
      <c r="Q102" s="262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88">
        <f>'Données projet'!A106</f>
        <v>42</v>
      </c>
      <c r="B103" s="189">
        <f>'Données projet'!D106</f>
        <v>0</v>
      </c>
      <c r="C103" s="202"/>
      <c r="D103" s="187">
        <f t="shared" si="6"/>
        <v>0</v>
      </c>
      <c r="E103" s="202"/>
      <c r="F103" s="259"/>
      <c r="G103" s="219"/>
      <c r="H103" s="199"/>
      <c r="I103" s="200"/>
      <c r="J103" s="5"/>
      <c r="K103" s="179"/>
      <c r="L103" s="5"/>
      <c r="M103" s="5"/>
      <c r="N103" s="5"/>
      <c r="O103" s="203" t="e">
        <f>IF(O102+1&lt;=MIN('Données projet'!$E$9:$E$18),O102+1,"STOP")</f>
        <v>#VALUE!</v>
      </c>
      <c r="P103" s="193" t="e">
        <f t="shared" si="7"/>
        <v>#VALUE!</v>
      </c>
      <c r="Q103" s="262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88">
        <f>'Données projet'!A107</f>
        <v>44</v>
      </c>
      <c r="B104" s="189">
        <f>'Données projet'!D107</f>
        <v>337.78999999999996</v>
      </c>
      <c r="C104" s="202">
        <v>40</v>
      </c>
      <c r="D104" s="187">
        <f t="shared" si="6"/>
        <v>13511.599999999999</v>
      </c>
      <c r="E104" s="202"/>
      <c r="F104" s="259"/>
      <c r="G104" s="219"/>
      <c r="H104" s="199"/>
      <c r="I104" s="200"/>
      <c r="J104" s="5"/>
      <c r="K104" s="179"/>
      <c r="L104" s="5"/>
      <c r="M104" s="5"/>
      <c r="N104" s="5"/>
      <c r="O104" s="203" t="e">
        <f>IF(O103+1&lt;=MIN('Données projet'!$E$9:$E$18),O103+1,"STOP")</f>
        <v>#VALUE!</v>
      </c>
      <c r="P104" s="193" t="e">
        <f t="shared" si="7"/>
        <v>#VALUE!</v>
      </c>
      <c r="Q104" s="262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57"/>
      <c r="G105" s="219"/>
      <c r="H105" s="199"/>
      <c r="I105" s="200"/>
      <c r="J105" s="5"/>
      <c r="K105" s="179"/>
      <c r="L105" s="5"/>
      <c r="M105" s="5"/>
      <c r="N105" s="5"/>
      <c r="O105" s="203" t="e">
        <f>IF(O104+1&lt;=MIN('Données projet'!$E$9:$E$18),O104+1,"STOP")</f>
        <v>#VALUE!</v>
      </c>
      <c r="P105" s="193" t="e">
        <f t="shared" si="7"/>
        <v>#VALUE!</v>
      </c>
      <c r="Q105" s="262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57"/>
      <c r="G106" s="219"/>
      <c r="H106" s="199"/>
      <c r="I106" s="200"/>
      <c r="J106" s="5"/>
      <c r="K106" s="179"/>
      <c r="L106" s="5"/>
      <c r="M106" s="5"/>
      <c r="N106" s="5"/>
      <c r="O106" s="203" t="e">
        <f>IF(O105+1&lt;=MIN('Données projet'!$E$9:$E$18),O105+1,"STOP")</f>
        <v>#VALUE!</v>
      </c>
      <c r="P106" s="193" t="e">
        <f t="shared" si="7"/>
        <v>#VALUE!</v>
      </c>
      <c r="Q106" s="262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2" t="str">
        <f>IF('Données projet'!B12="","",'Données projet'!B12)</f>
        <v>Alisier torminal</v>
      </c>
      <c r="C107" s="5"/>
      <c r="D107" s="5"/>
      <c r="E107" s="5"/>
      <c r="F107" s="257"/>
      <c r="G107" s="219"/>
      <c r="H107" s="199"/>
      <c r="I107" s="200"/>
      <c r="J107" s="5"/>
      <c r="K107" s="179"/>
      <c r="L107" s="5"/>
      <c r="M107" s="5"/>
      <c r="N107" s="5"/>
      <c r="O107" s="203" t="e">
        <f>IF(O106+1&lt;=MIN('Données projet'!$E$9:$E$18),O106+1,"STOP")</f>
        <v>#VALUE!</v>
      </c>
      <c r="P107" s="193" t="e">
        <f t="shared" si="7"/>
        <v>#VALUE!</v>
      </c>
      <c r="Q107" s="262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57"/>
      <c r="G108" s="219"/>
      <c r="H108" s="199"/>
      <c r="I108" s="200"/>
      <c r="J108" s="5"/>
      <c r="K108" s="179"/>
      <c r="L108" s="5"/>
      <c r="M108" s="5"/>
      <c r="N108" s="5"/>
      <c r="O108" s="203" t="e">
        <f>IF(O107+1&lt;=MIN('Données projet'!$E$9:$E$18),O107+1,"STOP")</f>
        <v>#VALUE!</v>
      </c>
      <c r="P108" s="193" t="e">
        <f t="shared" si="7"/>
        <v>#VALUE!</v>
      </c>
      <c r="Q108" s="262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3" t="s">
        <v>180</v>
      </c>
      <c r="B109" s="51" t="s">
        <v>256</v>
      </c>
      <c r="C109" s="51" t="s">
        <v>255</v>
      </c>
      <c r="D109" s="253" t="s">
        <v>252</v>
      </c>
      <c r="E109" s="253" t="s">
        <v>320</v>
      </c>
      <c r="F109" s="258"/>
      <c r="G109" s="219"/>
      <c r="H109" s="199"/>
      <c r="I109" s="200"/>
      <c r="J109" s="5"/>
      <c r="K109" s="179"/>
      <c r="L109" s="5"/>
      <c r="M109" s="5"/>
      <c r="N109" s="5"/>
      <c r="O109" s="203" t="e">
        <f>IF(O108+1&lt;=MIN('Données projet'!$E$9:$E$18),O108+1,"STOP")</f>
        <v>#VALUE!</v>
      </c>
      <c r="P109" s="193" t="e">
        <f t="shared" si="7"/>
        <v>#VALUE!</v>
      </c>
      <c r="Q109" s="262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6">
        <v>0</v>
      </c>
      <c r="B110" s="209" t="s">
        <v>132</v>
      </c>
      <c r="C110" s="208" t="s">
        <v>132</v>
      </c>
      <c r="D110" s="207" t="s">
        <v>132</v>
      </c>
      <c r="E110" s="202"/>
      <c r="F110" s="258"/>
      <c r="G110" s="219"/>
      <c r="H110" s="199"/>
      <c r="I110" s="200"/>
      <c r="J110" s="5"/>
      <c r="K110" s="179"/>
      <c r="L110" s="5"/>
      <c r="M110" s="5"/>
      <c r="N110" s="5"/>
      <c r="O110" s="203" t="e">
        <f>IF(O109+1&lt;=MIN('Données projet'!$E$9:$E$18),O109+1,"STOP")</f>
        <v>#VALUE!</v>
      </c>
      <c r="P110" s="193" t="e">
        <f t="shared" si="7"/>
        <v>#VALUE!</v>
      </c>
      <c r="Q110" s="262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6">
        <v>1</v>
      </c>
      <c r="B111" s="209" t="s">
        <v>132</v>
      </c>
      <c r="C111" s="208" t="s">
        <v>132</v>
      </c>
      <c r="D111" s="207" t="s">
        <v>132</v>
      </c>
      <c r="E111" s="202"/>
      <c r="F111" s="258"/>
      <c r="G111" s="217"/>
      <c r="H111" s="199"/>
      <c r="I111" s="200"/>
      <c r="J111" s="5"/>
      <c r="K111" s="179"/>
      <c r="L111" s="5"/>
      <c r="M111" s="5"/>
      <c r="N111" s="5"/>
      <c r="O111" s="203" t="e">
        <f>IF(O110+1&lt;=MIN('Données projet'!$E$9:$E$18),O110+1,"STOP")</f>
        <v>#VALUE!</v>
      </c>
      <c r="P111" s="193" t="e">
        <f t="shared" si="7"/>
        <v>#VALUE!</v>
      </c>
      <c r="Q111" s="262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6">
        <v>2</v>
      </c>
      <c r="B112" s="209" t="s">
        <v>132</v>
      </c>
      <c r="C112" s="208" t="s">
        <v>132</v>
      </c>
      <c r="D112" s="207" t="s">
        <v>132</v>
      </c>
      <c r="E112" s="202"/>
      <c r="F112" s="258"/>
      <c r="G112" s="217"/>
      <c r="H112" s="199"/>
      <c r="I112" s="200"/>
      <c r="J112" s="5"/>
      <c r="K112" s="179"/>
      <c r="L112" s="5"/>
      <c r="M112" s="5"/>
      <c r="N112" s="5"/>
      <c r="O112" s="203" t="e">
        <f>IF(O111+1&lt;=MIN('Données projet'!$E$9:$E$18),O111+1,"STOP")</f>
        <v>#VALUE!</v>
      </c>
      <c r="P112" s="193" t="e">
        <f t="shared" si="7"/>
        <v>#VALUE!</v>
      </c>
      <c r="Q112" s="262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6">
        <v>3</v>
      </c>
      <c r="B113" s="209" t="s">
        <v>132</v>
      </c>
      <c r="C113" s="208" t="s">
        <v>132</v>
      </c>
      <c r="D113" s="207" t="s">
        <v>132</v>
      </c>
      <c r="E113" s="202"/>
      <c r="F113" s="258"/>
      <c r="G113" s="217"/>
      <c r="H113" s="199"/>
      <c r="I113" s="200"/>
      <c r="J113" s="5"/>
      <c r="K113" s="179"/>
      <c r="L113" s="5"/>
      <c r="M113" s="5"/>
      <c r="N113" s="5"/>
      <c r="O113" s="203" t="e">
        <f>IF(O112+1&lt;=MIN('Données projet'!$E$9:$E$18),O112+1,"STOP")</f>
        <v>#VALUE!</v>
      </c>
      <c r="P113" s="193" t="e">
        <f t="shared" si="7"/>
        <v>#VALUE!</v>
      </c>
      <c r="Q113" s="262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6">
        <v>4</v>
      </c>
      <c r="B114" s="209" t="s">
        <v>132</v>
      </c>
      <c r="C114" s="208" t="s">
        <v>132</v>
      </c>
      <c r="D114" s="207" t="s">
        <v>132</v>
      </c>
      <c r="E114" s="202"/>
      <c r="F114" s="258"/>
      <c r="G114" s="217"/>
      <c r="H114" s="199"/>
      <c r="I114" s="200"/>
      <c r="J114" s="5"/>
      <c r="K114" s="179"/>
      <c r="L114" s="5"/>
      <c r="M114" s="5"/>
      <c r="N114" s="5"/>
      <c r="O114" s="203" t="e">
        <f>IF(O113+1&lt;=MIN('Données projet'!$E$9:$E$18),O113+1,"STOP")</f>
        <v>#VALUE!</v>
      </c>
      <c r="P114" s="193" t="e">
        <f t="shared" si="7"/>
        <v>#VALUE!</v>
      </c>
      <c r="Q114" s="262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6">
        <v>5</v>
      </c>
      <c r="B115" s="209" t="s">
        <v>132</v>
      </c>
      <c r="C115" s="208" t="s">
        <v>132</v>
      </c>
      <c r="D115" s="207" t="s">
        <v>132</v>
      </c>
      <c r="E115" s="202"/>
      <c r="F115" s="258"/>
      <c r="G115" s="218"/>
      <c r="H115" s="199"/>
      <c r="I115" s="200"/>
      <c r="J115" s="5"/>
      <c r="K115" s="179"/>
      <c r="L115" s="5"/>
      <c r="M115" s="5"/>
      <c r="N115" s="5"/>
      <c r="O115" s="203" t="e">
        <f>IF(O114+1&lt;=MIN('Données projet'!$E$9:$E$18),O114+1,"STOP")</f>
        <v>#VALUE!</v>
      </c>
      <c r="P115" s="193" t="e">
        <f t="shared" si="7"/>
        <v>#VALUE!</v>
      </c>
      <c r="Q115" s="262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88">
        <f>'Données projet'!A114</f>
        <v>20</v>
      </c>
      <c r="B116" s="189">
        <f>'Données projet'!D114</f>
        <v>0</v>
      </c>
      <c r="C116" s="200"/>
      <c r="D116" s="187">
        <f>B116*C116</f>
        <v>0</v>
      </c>
      <c r="E116" s="202"/>
      <c r="F116" s="259"/>
      <c r="G116" s="218"/>
      <c r="H116" s="199"/>
      <c r="I116" s="200"/>
      <c r="J116" s="5"/>
      <c r="K116" s="179"/>
      <c r="L116" s="5"/>
      <c r="M116" s="5"/>
      <c r="N116" s="5"/>
      <c r="O116" s="203" t="e">
        <f>IF(O115+1&lt;=MIN('Données projet'!$E$9:$E$18),O115+1,"STOP")</f>
        <v>#VALUE!</v>
      </c>
      <c r="P116" s="193" t="e">
        <f t="shared" si="7"/>
        <v>#VALUE!</v>
      </c>
      <c r="Q116" s="262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88">
        <f>'Données projet'!A115</f>
        <v>25</v>
      </c>
      <c r="B117" s="189">
        <f>'Données projet'!D115</f>
        <v>0</v>
      </c>
      <c r="C117" s="200"/>
      <c r="D117" s="187">
        <f t="shared" ref="D117:D135" si="8">B117*C117</f>
        <v>0</v>
      </c>
      <c r="E117" s="202"/>
      <c r="F117" s="259"/>
      <c r="G117" s="218"/>
      <c r="H117" s="199"/>
      <c r="I117" s="200"/>
      <c r="J117" s="5"/>
      <c r="K117" s="179"/>
      <c r="L117" s="5"/>
      <c r="M117" s="5"/>
      <c r="N117" s="5"/>
      <c r="O117" s="203" t="e">
        <f>IF(O116+1&lt;=MIN('Données projet'!$E$9:$E$18),O116+1,"STOP")</f>
        <v>#VALUE!</v>
      </c>
      <c r="P117" s="193" t="e">
        <f t="shared" si="7"/>
        <v>#VALUE!</v>
      </c>
      <c r="Q117" s="262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88">
        <f>'Données projet'!A116</f>
        <v>30</v>
      </c>
      <c r="B118" s="189">
        <f>'Données projet'!D116</f>
        <v>29</v>
      </c>
      <c r="C118" s="200">
        <v>10</v>
      </c>
      <c r="D118" s="187">
        <f t="shared" si="8"/>
        <v>290</v>
      </c>
      <c r="E118" s="202"/>
      <c r="F118" s="259"/>
      <c r="G118" s="218"/>
      <c r="H118" s="199"/>
      <c r="I118" s="200"/>
      <c r="J118" s="5"/>
      <c r="K118" s="179"/>
      <c r="L118" s="5"/>
      <c r="M118" s="5"/>
      <c r="N118" s="5"/>
      <c r="O118" s="203" t="e">
        <f>IF(O117+1&lt;=MIN('Données projet'!$E$9:$E$18),O117+1,"STOP")</f>
        <v>#VALUE!</v>
      </c>
      <c r="P118" s="193" t="e">
        <f t="shared" si="7"/>
        <v>#VALUE!</v>
      </c>
      <c r="Q118" s="262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88">
        <f>'Données projet'!A117</f>
        <v>35</v>
      </c>
      <c r="B119" s="189">
        <f>'Données projet'!D117</f>
        <v>0</v>
      </c>
      <c r="C119" s="200"/>
      <c r="D119" s="187">
        <f t="shared" si="8"/>
        <v>0</v>
      </c>
      <c r="E119" s="202"/>
      <c r="F119" s="259"/>
      <c r="G119" s="218"/>
      <c r="H119" s="199"/>
      <c r="I119" s="200"/>
      <c r="J119" s="5"/>
      <c r="K119" s="179"/>
      <c r="L119" s="5"/>
      <c r="M119" s="5"/>
      <c r="N119" s="5"/>
      <c r="O119" s="203" t="e">
        <f>IF(O118+1&lt;=MIN('Données projet'!$E$9:$E$18),O118+1,"STOP")</f>
        <v>#VALUE!</v>
      </c>
      <c r="P119" s="193" t="e">
        <f t="shared" si="7"/>
        <v>#VALUE!</v>
      </c>
      <c r="Q119" s="262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88">
        <f>'Données projet'!A118</f>
        <v>40</v>
      </c>
      <c r="B120" s="189">
        <f>'Données projet'!D118</f>
        <v>42</v>
      </c>
      <c r="C120" s="200">
        <v>10</v>
      </c>
      <c r="D120" s="187">
        <f t="shared" si="8"/>
        <v>420</v>
      </c>
      <c r="E120" s="202"/>
      <c r="F120" s="259"/>
      <c r="G120" s="218"/>
      <c r="H120" s="199"/>
      <c r="I120" s="200"/>
      <c r="J120" s="5"/>
      <c r="K120" s="179"/>
      <c r="L120" s="5"/>
      <c r="M120" s="5"/>
      <c r="N120" s="5"/>
      <c r="O120" s="203" t="e">
        <f>IF(O119+1&lt;=MIN('Données projet'!$E$9:$E$18),O119+1,"STOP")</f>
        <v>#VALUE!</v>
      </c>
      <c r="P120" s="193" t="e">
        <f t="shared" si="7"/>
        <v>#VALUE!</v>
      </c>
      <c r="Q120" s="262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88">
        <f>'Données projet'!A119</f>
        <v>45</v>
      </c>
      <c r="B121" s="189">
        <f>'Données projet'!D119</f>
        <v>0</v>
      </c>
      <c r="C121" s="200"/>
      <c r="D121" s="187">
        <f t="shared" si="8"/>
        <v>0</v>
      </c>
      <c r="E121" s="202"/>
      <c r="F121" s="259"/>
      <c r="G121" s="218"/>
      <c r="H121" s="199"/>
      <c r="I121" s="200"/>
      <c r="J121" s="5"/>
      <c r="K121" s="179"/>
      <c r="L121" s="5"/>
      <c r="M121" s="5"/>
      <c r="N121" s="5"/>
      <c r="O121" s="203" t="e">
        <f>IF(O120+1&lt;=MIN('Données projet'!$E$9:$E$18),O120+1,"STOP")</f>
        <v>#VALUE!</v>
      </c>
      <c r="P121" s="193" t="e">
        <f t="shared" si="7"/>
        <v>#VALUE!</v>
      </c>
      <c r="Q121" s="262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88">
        <f>'Données projet'!A120</f>
        <v>50</v>
      </c>
      <c r="B122" s="189">
        <f>'Données projet'!D120</f>
        <v>42</v>
      </c>
      <c r="C122" s="200">
        <v>15</v>
      </c>
      <c r="D122" s="187">
        <f t="shared" si="8"/>
        <v>630</v>
      </c>
      <c r="E122" s="202"/>
      <c r="F122" s="259"/>
      <c r="G122" s="219"/>
      <c r="H122" s="199"/>
      <c r="I122" s="200"/>
      <c r="J122" s="5"/>
      <c r="K122" s="179"/>
      <c r="L122" s="5"/>
      <c r="M122" s="5"/>
      <c r="N122" s="5"/>
      <c r="O122" s="203" t="e">
        <f>IF(O121+1&lt;=MIN('Données projet'!$E$9:$E$18),O121+1,"STOP")</f>
        <v>#VALUE!</v>
      </c>
      <c r="P122" s="193" t="e">
        <f t="shared" si="7"/>
        <v>#VALUE!</v>
      </c>
      <c r="Q122" s="262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88">
        <f>'Données projet'!A121</f>
        <v>55</v>
      </c>
      <c r="B123" s="189">
        <f>'Données projet'!D121</f>
        <v>0</v>
      </c>
      <c r="C123" s="200"/>
      <c r="D123" s="187">
        <f t="shared" si="8"/>
        <v>0</v>
      </c>
      <c r="E123" s="202"/>
      <c r="F123" s="259"/>
      <c r="G123" s="219"/>
      <c r="H123" s="199"/>
      <c r="I123" s="200"/>
      <c r="J123" s="5"/>
      <c r="K123" s="179"/>
      <c r="L123" s="5"/>
      <c r="M123" s="5"/>
      <c r="N123" s="5"/>
      <c r="O123" s="203" t="e">
        <f>IF(O122+1&lt;=MIN('Données projet'!$E$9:$E$18),O122+1,"STOP")</f>
        <v>#VALUE!</v>
      </c>
      <c r="P123" s="193" t="e">
        <f t="shared" si="7"/>
        <v>#VALUE!</v>
      </c>
      <c r="Q123" s="262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88">
        <f>'Données projet'!A122</f>
        <v>60</v>
      </c>
      <c r="B124" s="189">
        <f>'Données projet'!D122</f>
        <v>42</v>
      </c>
      <c r="C124" s="200">
        <v>20</v>
      </c>
      <c r="D124" s="187">
        <f t="shared" si="8"/>
        <v>840</v>
      </c>
      <c r="E124" s="202"/>
      <c r="F124" s="259"/>
      <c r="G124" s="219"/>
      <c r="H124" s="199"/>
      <c r="I124" s="200"/>
      <c r="J124" s="5"/>
      <c r="K124" s="179"/>
      <c r="L124" s="5"/>
      <c r="M124" s="5"/>
      <c r="N124" s="5"/>
      <c r="O124" s="203" t="e">
        <f>IF(O123+1&lt;=MIN('Données projet'!$E$9:$E$18),O123+1,"STOP")</f>
        <v>#VALUE!</v>
      </c>
      <c r="P124" s="193" t="e">
        <f t="shared" si="7"/>
        <v>#VALUE!</v>
      </c>
      <c r="Q124" s="262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88">
        <f>'Données projet'!A123</f>
        <v>65</v>
      </c>
      <c r="B125" s="189">
        <f>'Données projet'!D123</f>
        <v>0</v>
      </c>
      <c r="C125" s="200"/>
      <c r="D125" s="187">
        <f t="shared" si="8"/>
        <v>0</v>
      </c>
      <c r="E125" s="202"/>
      <c r="F125" s="259"/>
      <c r="G125" s="219"/>
      <c r="H125" s="199"/>
      <c r="I125" s="200"/>
      <c r="J125" s="5"/>
      <c r="K125" s="179"/>
      <c r="L125" s="5"/>
      <c r="M125" s="5"/>
      <c r="N125" s="5"/>
      <c r="O125" s="203" t="e">
        <f>IF(O124+1&lt;=MIN('Données projet'!$E$9:$E$18),O124+1,"STOP")</f>
        <v>#VALUE!</v>
      </c>
      <c r="P125" s="193" t="e">
        <f t="shared" si="7"/>
        <v>#VALUE!</v>
      </c>
      <c r="Q125" s="262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88">
        <f>'Données projet'!A124</f>
        <v>70</v>
      </c>
      <c r="B126" s="189">
        <f>'Données projet'!D124</f>
        <v>42</v>
      </c>
      <c r="C126" s="200">
        <v>40</v>
      </c>
      <c r="D126" s="187">
        <f t="shared" si="8"/>
        <v>1680</v>
      </c>
      <c r="E126" s="202"/>
      <c r="F126" s="259"/>
      <c r="G126" s="219"/>
      <c r="H126" s="199"/>
      <c r="I126" s="200"/>
      <c r="J126" s="5"/>
      <c r="K126" s="179"/>
      <c r="L126" s="5"/>
      <c r="M126" s="5"/>
      <c r="N126" s="5"/>
      <c r="O126" s="203" t="e">
        <f>IF(O125+1&lt;=MIN('Données projet'!$E$9:$E$18),O125+1,"STOP")</f>
        <v>#VALUE!</v>
      </c>
      <c r="P126" s="193" t="e">
        <f t="shared" si="7"/>
        <v>#VALUE!</v>
      </c>
      <c r="Q126" s="262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88">
        <f>'Données projet'!A125</f>
        <v>75</v>
      </c>
      <c r="B127" s="189">
        <f>'Données projet'!D125</f>
        <v>0</v>
      </c>
      <c r="C127" s="200"/>
      <c r="D127" s="187">
        <f t="shared" si="8"/>
        <v>0</v>
      </c>
      <c r="E127" s="202"/>
      <c r="F127" s="259"/>
      <c r="G127" s="219"/>
      <c r="H127" s="199"/>
      <c r="I127" s="200"/>
      <c r="J127" s="5"/>
      <c r="K127" s="179"/>
      <c r="L127" s="5"/>
      <c r="M127" s="5"/>
      <c r="N127" s="5"/>
      <c r="O127" s="203" t="e">
        <f>IF(O126+1&lt;=MIN('Données projet'!$E$9:$E$18),O126+1,"STOP")</f>
        <v>#VALUE!</v>
      </c>
      <c r="P127" s="193" t="e">
        <f t="shared" si="7"/>
        <v>#VALUE!</v>
      </c>
      <c r="Q127" s="262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88">
        <f>'Données projet'!A126</f>
        <v>80</v>
      </c>
      <c r="B128" s="189">
        <f>'Données projet'!D126</f>
        <v>42</v>
      </c>
      <c r="C128" s="200">
        <v>60</v>
      </c>
      <c r="D128" s="187">
        <f t="shared" si="8"/>
        <v>2520</v>
      </c>
      <c r="E128" s="202"/>
      <c r="F128" s="259"/>
      <c r="G128" s="219"/>
      <c r="H128" s="199"/>
      <c r="I128" s="200"/>
      <c r="J128" s="5"/>
      <c r="K128" s="179"/>
      <c r="L128" s="5"/>
      <c r="M128" s="5"/>
      <c r="N128" s="5"/>
      <c r="O128" s="203" t="e">
        <f>IF(O127+1&lt;=MIN('Données projet'!$E$9:$E$18),O127+1,"STOP")</f>
        <v>#VALUE!</v>
      </c>
      <c r="P128" s="193" t="e">
        <f t="shared" si="7"/>
        <v>#VALUE!</v>
      </c>
      <c r="Q128" s="262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88">
        <f>'Données projet'!A127</f>
        <v>90</v>
      </c>
      <c r="B129" s="189">
        <f>'Données projet'!D127</f>
        <v>42</v>
      </c>
      <c r="C129" s="200">
        <v>80</v>
      </c>
      <c r="D129" s="187">
        <f t="shared" si="8"/>
        <v>3360</v>
      </c>
      <c r="E129" s="202"/>
      <c r="F129" s="259"/>
      <c r="G129" s="219"/>
      <c r="H129" s="199"/>
      <c r="I129" s="200"/>
      <c r="J129" s="5"/>
      <c r="K129" s="179"/>
      <c r="L129" s="5"/>
      <c r="M129" s="5"/>
      <c r="N129" s="5"/>
      <c r="O129" s="203" t="e">
        <f>IF(O128+1&lt;=MIN('Données projet'!$E$9:$E$18),O128+1,"STOP")</f>
        <v>#VALUE!</v>
      </c>
      <c r="P129" s="193" t="e">
        <f t="shared" ref="P129:P132" si="9">$P$25/(1+$M$4)^O129</f>
        <v>#VALUE!</v>
      </c>
      <c r="Q129" s="262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88">
        <f>'Données projet'!A128</f>
        <v>100</v>
      </c>
      <c r="B130" s="189">
        <f>'Données projet'!D128</f>
        <v>42</v>
      </c>
      <c r="C130" s="200">
        <v>100</v>
      </c>
      <c r="D130" s="187">
        <f t="shared" si="8"/>
        <v>4200</v>
      </c>
      <c r="E130" s="202"/>
      <c r="F130" s="259"/>
      <c r="G130" s="219"/>
      <c r="H130" s="199"/>
      <c r="I130" s="200"/>
      <c r="J130" s="5"/>
      <c r="K130" s="179"/>
      <c r="L130" s="5"/>
      <c r="M130" s="5"/>
      <c r="N130" s="5"/>
      <c r="O130" s="203" t="e">
        <f>IF(O129+1&lt;=MIN('Données projet'!$E$9:$E$18),O129+1,"STOP")</f>
        <v>#VALUE!</v>
      </c>
      <c r="P130" s="193" t="e">
        <f t="shared" si="9"/>
        <v>#VALUE!</v>
      </c>
      <c r="Q130" s="262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88">
        <f>'Données projet'!A129</f>
        <v>110</v>
      </c>
      <c r="B131" s="189">
        <f>'Données projet'!D129</f>
        <v>39</v>
      </c>
      <c r="C131" s="200">
        <v>110</v>
      </c>
      <c r="D131" s="187">
        <f t="shared" si="8"/>
        <v>4290</v>
      </c>
      <c r="E131" s="202"/>
      <c r="F131" s="259"/>
      <c r="G131" s="219"/>
      <c r="H131" s="199"/>
      <c r="I131" s="200"/>
      <c r="J131" s="5"/>
      <c r="K131" s="179"/>
      <c r="L131" s="5"/>
      <c r="M131" s="5"/>
      <c r="N131" s="5"/>
      <c r="O131" s="203" t="e">
        <f>IF(O130+1&lt;=MIN('Données projet'!$E$9:$E$18),O130+1,"STOP")</f>
        <v>#VALUE!</v>
      </c>
      <c r="P131" s="193" t="e">
        <f t="shared" si="9"/>
        <v>#VALUE!</v>
      </c>
      <c r="Q131" s="262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88">
        <f>'Données projet'!A130</f>
        <v>120</v>
      </c>
      <c r="B132" s="189">
        <f>'Données projet'!D130</f>
        <v>35</v>
      </c>
      <c r="C132" s="200">
        <v>130</v>
      </c>
      <c r="D132" s="187">
        <f t="shared" si="8"/>
        <v>4550</v>
      </c>
      <c r="E132" s="202"/>
      <c r="F132" s="259"/>
      <c r="G132" s="219"/>
      <c r="H132" s="199"/>
      <c r="I132" s="200"/>
      <c r="J132" s="5"/>
      <c r="K132" s="179"/>
      <c r="L132" s="5"/>
      <c r="M132" s="5"/>
      <c r="N132" s="5"/>
      <c r="O132" s="203" t="e">
        <f>IF(O131+1&lt;=MIN('Données projet'!$E$9:$E$18),O131+1,"STOP")</f>
        <v>#VALUE!</v>
      </c>
      <c r="P132" s="193" t="e">
        <f t="shared" si="9"/>
        <v>#VALUE!</v>
      </c>
      <c r="Q132" s="262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88">
        <f>'Données projet'!A131</f>
        <v>130</v>
      </c>
      <c r="B133" s="189">
        <f>'Données projet'!D131</f>
        <v>31</v>
      </c>
      <c r="C133" s="200">
        <v>140</v>
      </c>
      <c r="D133" s="187">
        <f t="shared" si="8"/>
        <v>4340</v>
      </c>
      <c r="E133" s="202"/>
      <c r="F133" s="259"/>
      <c r="G133" s="219"/>
      <c r="H133" s="199"/>
      <c r="I133" s="200"/>
      <c r="J133" s="5"/>
      <c r="K133" s="179"/>
      <c r="Q133" s="262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88">
        <f>'Données projet'!A132</f>
        <v>140</v>
      </c>
      <c r="B134" s="189">
        <f>'Données projet'!D132</f>
        <v>27</v>
      </c>
      <c r="C134" s="200">
        <v>150</v>
      </c>
      <c r="D134" s="187">
        <f t="shared" si="8"/>
        <v>4050</v>
      </c>
      <c r="E134" s="202"/>
      <c r="F134" s="259"/>
      <c r="G134" s="219"/>
      <c r="H134" s="199"/>
      <c r="I134" s="200"/>
      <c r="J134" s="5"/>
      <c r="K134" s="179"/>
      <c r="Q134" s="262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88">
        <f>'Données projet'!A133</f>
        <v>150</v>
      </c>
      <c r="B135" s="189">
        <f>'Données projet'!D133</f>
        <v>293</v>
      </c>
      <c r="C135" s="200">
        <v>200</v>
      </c>
      <c r="D135" s="187">
        <f t="shared" si="8"/>
        <v>58600</v>
      </c>
      <c r="E135" s="202"/>
      <c r="F135" s="259"/>
      <c r="G135" s="219"/>
      <c r="H135" s="199"/>
      <c r="I135" s="200"/>
      <c r="J135" s="5"/>
      <c r="K135" s="179"/>
      <c r="Q135" s="262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57"/>
      <c r="G136" s="219"/>
      <c r="H136" s="199"/>
      <c r="I136" s="200"/>
      <c r="J136" s="5"/>
      <c r="K136" s="179"/>
      <c r="L136" s="5"/>
      <c r="M136" s="5"/>
      <c r="N136" s="5"/>
      <c r="Q136" s="262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57"/>
      <c r="G137" s="219"/>
      <c r="H137" s="199"/>
      <c r="I137" s="200"/>
      <c r="J137" s="5"/>
      <c r="K137" s="179"/>
      <c r="L137" s="5"/>
      <c r="M137" s="5"/>
      <c r="N137" s="5"/>
      <c r="Q137" s="262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2" t="str">
        <f>IF('Données projet'!B13="","",'Données projet'!B13)</f>
        <v>Cormier</v>
      </c>
      <c r="C138" s="5"/>
      <c r="D138" s="5"/>
      <c r="E138" s="5"/>
      <c r="F138" s="257"/>
      <c r="G138" s="219"/>
      <c r="H138" s="199"/>
      <c r="I138" s="200"/>
      <c r="J138" s="5"/>
      <c r="K138" s="179"/>
      <c r="L138" s="5"/>
      <c r="M138" s="5"/>
      <c r="N138" s="5"/>
      <c r="Q138" s="262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57"/>
      <c r="G139" s="219"/>
      <c r="H139" s="199"/>
      <c r="I139" s="200"/>
      <c r="J139" s="5"/>
      <c r="K139" s="179"/>
      <c r="L139" s="5"/>
      <c r="M139" s="5"/>
      <c r="N139" s="5"/>
      <c r="Q139" s="262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3" t="s">
        <v>180</v>
      </c>
      <c r="B140" s="51" t="s">
        <v>256</v>
      </c>
      <c r="C140" s="51" t="s">
        <v>255</v>
      </c>
      <c r="D140" s="253" t="s">
        <v>252</v>
      </c>
      <c r="E140" s="253" t="s">
        <v>320</v>
      </c>
      <c r="F140" s="258"/>
      <c r="G140" s="219"/>
      <c r="H140" s="199"/>
      <c r="I140" s="200"/>
      <c r="J140" s="5"/>
      <c r="K140" s="179"/>
      <c r="L140" s="5"/>
      <c r="M140" s="5"/>
      <c r="N140" s="5"/>
      <c r="Q140" s="262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6">
        <v>0</v>
      </c>
      <c r="B141" s="209" t="s">
        <v>132</v>
      </c>
      <c r="C141" s="208" t="s">
        <v>132</v>
      </c>
      <c r="D141" s="207" t="s">
        <v>132</v>
      </c>
      <c r="E141" s="202"/>
      <c r="F141" s="258"/>
      <c r="G141" s="219"/>
      <c r="H141" s="199"/>
      <c r="I141" s="200"/>
      <c r="J141" s="5"/>
      <c r="K141" s="179"/>
      <c r="L141" s="5"/>
      <c r="M141" s="5"/>
      <c r="N141" s="5"/>
      <c r="Q141" s="262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6">
        <v>1</v>
      </c>
      <c r="B142" s="209" t="s">
        <v>132</v>
      </c>
      <c r="C142" s="208" t="s">
        <v>132</v>
      </c>
      <c r="D142" s="207" t="s">
        <v>132</v>
      </c>
      <c r="E142" s="202"/>
      <c r="F142" s="258"/>
      <c r="G142" s="217"/>
      <c r="H142" s="199"/>
      <c r="I142" s="200"/>
      <c r="J142" s="5"/>
      <c r="K142" s="179"/>
      <c r="L142" s="5"/>
      <c r="M142" s="5"/>
      <c r="N142" s="5"/>
      <c r="Q142" s="262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6">
        <v>2</v>
      </c>
      <c r="B143" s="209" t="s">
        <v>132</v>
      </c>
      <c r="C143" s="208" t="s">
        <v>132</v>
      </c>
      <c r="D143" s="207" t="s">
        <v>132</v>
      </c>
      <c r="E143" s="202"/>
      <c r="F143" s="258"/>
      <c r="G143" s="217"/>
      <c r="H143" s="199"/>
      <c r="I143" s="200"/>
      <c r="J143" s="5"/>
      <c r="K143" s="179"/>
      <c r="L143" s="5"/>
      <c r="M143" s="5"/>
      <c r="N143" s="5"/>
      <c r="Q143" s="262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6">
        <v>3</v>
      </c>
      <c r="B144" s="209" t="s">
        <v>132</v>
      </c>
      <c r="C144" s="208" t="s">
        <v>132</v>
      </c>
      <c r="D144" s="207" t="s">
        <v>132</v>
      </c>
      <c r="E144" s="202"/>
      <c r="F144" s="258"/>
      <c r="G144" s="217"/>
      <c r="H144" s="199"/>
      <c r="I144" s="200"/>
      <c r="J144" s="5"/>
      <c r="K144" s="179"/>
      <c r="L144" s="5"/>
      <c r="M144" s="5"/>
      <c r="N144" s="5"/>
      <c r="Q144" s="262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6">
        <v>4</v>
      </c>
      <c r="B145" s="209" t="s">
        <v>132</v>
      </c>
      <c r="C145" s="208" t="s">
        <v>132</v>
      </c>
      <c r="D145" s="207" t="s">
        <v>132</v>
      </c>
      <c r="E145" s="202"/>
      <c r="F145" s="258"/>
      <c r="G145" s="217"/>
      <c r="H145" s="199"/>
      <c r="I145" s="200"/>
      <c r="J145" s="5"/>
      <c r="K145" s="179"/>
      <c r="L145" s="5"/>
      <c r="M145" s="5"/>
      <c r="N145" s="5"/>
      <c r="Q145" s="262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6">
        <v>5</v>
      </c>
      <c r="B146" s="209" t="s">
        <v>132</v>
      </c>
      <c r="C146" s="208" t="s">
        <v>132</v>
      </c>
      <c r="D146" s="207" t="s">
        <v>132</v>
      </c>
      <c r="E146" s="202"/>
      <c r="F146" s="258"/>
      <c r="G146" s="218"/>
      <c r="H146" s="199"/>
      <c r="I146" s="200"/>
      <c r="J146" s="5"/>
      <c r="K146" s="179"/>
      <c r="L146" s="5"/>
      <c r="M146" s="5"/>
      <c r="N146" s="5"/>
      <c r="Q146" s="262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20</v>
      </c>
      <c r="B147" s="183">
        <f>'Données projet'!D140</f>
        <v>0</v>
      </c>
      <c r="C147" s="200"/>
      <c r="D147" s="190">
        <f>B147*C147</f>
        <v>0</v>
      </c>
      <c r="E147" s="202"/>
      <c r="F147" s="260"/>
      <c r="G147" s="218"/>
      <c r="H147" s="199"/>
      <c r="I147" s="200"/>
      <c r="J147" s="5"/>
      <c r="K147" s="179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25</v>
      </c>
      <c r="B148" s="183">
        <f>'Données projet'!D141</f>
        <v>0</v>
      </c>
      <c r="C148" s="200"/>
      <c r="D148" s="190">
        <f t="shared" ref="D148:D166" si="10">B148*C148</f>
        <v>0</v>
      </c>
      <c r="E148" s="202"/>
      <c r="F148" s="260"/>
      <c r="G148" s="218"/>
      <c r="H148" s="199"/>
      <c r="I148" s="200"/>
      <c r="J148" s="5"/>
      <c r="K148" s="179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30</v>
      </c>
      <c r="B149" s="183">
        <f>'Données projet'!D142</f>
        <v>29</v>
      </c>
      <c r="C149" s="200">
        <v>10</v>
      </c>
      <c r="D149" s="190">
        <f t="shared" si="10"/>
        <v>290</v>
      </c>
      <c r="E149" s="202"/>
      <c r="F149" s="260"/>
      <c r="G149" s="218"/>
      <c r="H149" s="199"/>
      <c r="I149" s="200"/>
      <c r="J149" s="5"/>
      <c r="K149" s="179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35</v>
      </c>
      <c r="B150" s="183">
        <f>'Données projet'!D143</f>
        <v>0</v>
      </c>
      <c r="C150" s="200"/>
      <c r="D150" s="190">
        <f t="shared" si="10"/>
        <v>0</v>
      </c>
      <c r="E150" s="202"/>
      <c r="F150" s="260"/>
      <c r="G150" s="218"/>
      <c r="H150" s="199"/>
      <c r="I150" s="200"/>
      <c r="J150" s="5"/>
      <c r="K150" s="179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40</v>
      </c>
      <c r="B151" s="183">
        <f>'Données projet'!D144</f>
        <v>42</v>
      </c>
      <c r="C151" s="200">
        <v>10</v>
      </c>
      <c r="D151" s="190">
        <f t="shared" si="10"/>
        <v>420</v>
      </c>
      <c r="E151" s="202"/>
      <c r="F151" s="260"/>
      <c r="G151" s="218"/>
      <c r="H151" s="199"/>
      <c r="I151" s="200"/>
      <c r="J151" s="5"/>
      <c r="K151" s="179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45</v>
      </c>
      <c r="B152" s="183">
        <f>'Données projet'!D145</f>
        <v>0</v>
      </c>
      <c r="C152" s="200"/>
      <c r="D152" s="190">
        <f t="shared" si="10"/>
        <v>0</v>
      </c>
      <c r="E152" s="202"/>
      <c r="F152" s="260"/>
      <c r="G152" s="218"/>
      <c r="H152" s="199"/>
      <c r="I152" s="200"/>
      <c r="J152" s="5"/>
      <c r="K152" s="179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50</v>
      </c>
      <c r="B153" s="183">
        <f>'Données projet'!D146</f>
        <v>42</v>
      </c>
      <c r="C153" s="200">
        <v>15</v>
      </c>
      <c r="D153" s="190">
        <f t="shared" si="10"/>
        <v>630</v>
      </c>
      <c r="E153" s="202"/>
      <c r="F153" s="260"/>
      <c r="G153" s="214"/>
      <c r="H153" s="199"/>
      <c r="I153" s="200"/>
      <c r="J153" s="5"/>
      <c r="K153" s="179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55</v>
      </c>
      <c r="B154" s="183">
        <f>'Données projet'!D147</f>
        <v>0</v>
      </c>
      <c r="C154" s="200"/>
      <c r="D154" s="190">
        <f t="shared" si="10"/>
        <v>0</v>
      </c>
      <c r="E154" s="202"/>
      <c r="F154" s="260"/>
      <c r="G154" s="214"/>
      <c r="H154" s="199"/>
      <c r="I154" s="200"/>
      <c r="J154" s="5"/>
      <c r="K154" s="179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60</v>
      </c>
      <c r="B155" s="183">
        <f>'Données projet'!D148</f>
        <v>42</v>
      </c>
      <c r="C155" s="200">
        <v>20</v>
      </c>
      <c r="D155" s="190">
        <f t="shared" si="10"/>
        <v>840</v>
      </c>
      <c r="E155" s="202"/>
      <c r="F155" s="260"/>
      <c r="G155" s="214"/>
      <c r="H155" s="199"/>
      <c r="I155" s="200"/>
      <c r="J155" s="5"/>
      <c r="K155" s="179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65</v>
      </c>
      <c r="B156" s="183">
        <f>'Données projet'!D149</f>
        <v>0</v>
      </c>
      <c r="C156" s="200"/>
      <c r="D156" s="190">
        <f t="shared" si="10"/>
        <v>0</v>
      </c>
      <c r="E156" s="202"/>
      <c r="F156" s="260"/>
      <c r="G156" s="214"/>
      <c r="H156" s="199"/>
      <c r="I156" s="200"/>
      <c r="J156" s="5"/>
      <c r="K156" s="179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70</v>
      </c>
      <c r="B157" s="183">
        <f>'Données projet'!D150</f>
        <v>42</v>
      </c>
      <c r="C157" s="200">
        <v>40</v>
      </c>
      <c r="D157" s="190">
        <f t="shared" si="10"/>
        <v>1680</v>
      </c>
      <c r="E157" s="202"/>
      <c r="F157" s="260"/>
      <c r="G157" s="214"/>
      <c r="H157" s="199"/>
      <c r="I157" s="200"/>
      <c r="J157" s="5"/>
      <c r="K157" s="179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75</v>
      </c>
      <c r="B158" s="183">
        <f>'Données projet'!D151</f>
        <v>0</v>
      </c>
      <c r="C158" s="200"/>
      <c r="D158" s="190">
        <f t="shared" si="10"/>
        <v>0</v>
      </c>
      <c r="E158" s="202"/>
      <c r="F158" s="260"/>
      <c r="G158" s="214"/>
      <c r="H158" s="199"/>
      <c r="I158" s="200"/>
      <c r="J158" s="5"/>
      <c r="K158" s="179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80</v>
      </c>
      <c r="B159" s="183">
        <f>'Données projet'!D152</f>
        <v>42</v>
      </c>
      <c r="C159" s="200">
        <v>60</v>
      </c>
      <c r="D159" s="190">
        <f t="shared" si="10"/>
        <v>2520</v>
      </c>
      <c r="E159" s="202"/>
      <c r="F159" s="260"/>
      <c r="G159" s="214"/>
      <c r="H159" s="199"/>
      <c r="I159" s="200"/>
      <c r="J159" s="5"/>
      <c r="K159" s="179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90</v>
      </c>
      <c r="B160" s="183">
        <f>'Données projet'!D153</f>
        <v>42</v>
      </c>
      <c r="C160" s="200">
        <v>80</v>
      </c>
      <c r="D160" s="190">
        <f t="shared" si="10"/>
        <v>3360</v>
      </c>
      <c r="E160" s="202"/>
      <c r="F160" s="260"/>
      <c r="G160" s="214"/>
      <c r="H160" s="199"/>
      <c r="I160" s="200"/>
      <c r="J160" s="5"/>
      <c r="K160" s="179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100</v>
      </c>
      <c r="B161" s="183">
        <f>'Données projet'!D154</f>
        <v>42</v>
      </c>
      <c r="C161" s="200">
        <v>100</v>
      </c>
      <c r="D161" s="190">
        <f t="shared" si="10"/>
        <v>4200</v>
      </c>
      <c r="E161" s="202"/>
      <c r="F161" s="260"/>
      <c r="G161" s="214"/>
      <c r="H161" s="199"/>
      <c r="I161" s="200"/>
      <c r="J161" s="5"/>
      <c r="K161" s="179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110</v>
      </c>
      <c r="B162" s="183">
        <f>'Données projet'!D155</f>
        <v>39</v>
      </c>
      <c r="C162" s="200">
        <v>110</v>
      </c>
      <c r="D162" s="190">
        <f t="shared" si="10"/>
        <v>4290</v>
      </c>
      <c r="E162" s="202"/>
      <c r="F162" s="260"/>
      <c r="G162" s="214"/>
      <c r="H162" s="199"/>
      <c r="I162" s="200"/>
      <c r="J162" s="5"/>
      <c r="K162" s="179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120</v>
      </c>
      <c r="B163" s="183">
        <f>'Données projet'!D156</f>
        <v>35</v>
      </c>
      <c r="C163" s="200">
        <v>130</v>
      </c>
      <c r="D163" s="190">
        <f t="shared" si="10"/>
        <v>4550</v>
      </c>
      <c r="E163" s="202"/>
      <c r="F163" s="260"/>
      <c r="G163" s="214"/>
      <c r="H163" s="199"/>
      <c r="I163" s="200"/>
      <c r="J163" s="5"/>
      <c r="K163" s="179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130</v>
      </c>
      <c r="B164" s="183">
        <f>'Données projet'!D157</f>
        <v>31</v>
      </c>
      <c r="C164" s="200">
        <v>140</v>
      </c>
      <c r="D164" s="190">
        <f t="shared" si="10"/>
        <v>4340</v>
      </c>
      <c r="E164" s="202"/>
      <c r="F164" s="260"/>
      <c r="G164" s="214"/>
      <c r="H164" s="199"/>
      <c r="I164" s="200"/>
      <c r="J164" s="5"/>
      <c r="K164" s="179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140</v>
      </c>
      <c r="B165" s="183">
        <f>'Données projet'!D158</f>
        <v>27</v>
      </c>
      <c r="C165" s="200">
        <v>150</v>
      </c>
      <c r="D165" s="190">
        <f t="shared" si="10"/>
        <v>4050</v>
      </c>
      <c r="E165" s="202"/>
      <c r="F165" s="260"/>
      <c r="G165" s="214"/>
      <c r="H165" s="199"/>
      <c r="I165" s="200"/>
      <c r="J165" s="5"/>
      <c r="K165" s="179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150</v>
      </c>
      <c r="B166" s="183">
        <f>'Données projet'!D159</f>
        <v>293</v>
      </c>
      <c r="C166" s="200">
        <v>200</v>
      </c>
      <c r="D166" s="190">
        <f t="shared" si="10"/>
        <v>58600</v>
      </c>
      <c r="E166" s="202"/>
      <c r="F166" s="260"/>
      <c r="G166" s="214"/>
      <c r="H166" s="199"/>
      <c r="I166" s="200"/>
      <c r="J166" s="5"/>
      <c r="K166" s="179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57"/>
      <c r="G167" s="214"/>
      <c r="H167" s="199"/>
      <c r="I167" s="200"/>
      <c r="J167" s="5"/>
      <c r="K167" s="179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57"/>
      <c r="G168" s="214"/>
      <c r="H168" s="199"/>
      <c r="I168" s="200"/>
      <c r="J168" s="5"/>
      <c r="K168" s="179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2" t="str">
        <f>IF('Données projet'!B14="","",'Données projet'!B14)</f>
        <v/>
      </c>
      <c r="C169" s="5"/>
      <c r="D169" s="5"/>
      <c r="E169" s="5"/>
      <c r="F169" s="257"/>
      <c r="G169" s="214"/>
      <c r="H169" s="199"/>
      <c r="I169" s="200"/>
      <c r="J169" s="5"/>
      <c r="K169" s="179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57"/>
      <c r="G170" s="214"/>
      <c r="H170" s="199"/>
      <c r="I170" s="200"/>
      <c r="J170" s="5"/>
      <c r="K170" s="179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3" t="s">
        <v>180</v>
      </c>
      <c r="B171" s="51" t="s">
        <v>256</v>
      </c>
      <c r="C171" s="51" t="s">
        <v>255</v>
      </c>
      <c r="D171" s="253" t="s">
        <v>252</v>
      </c>
      <c r="E171" s="253" t="s">
        <v>320</v>
      </c>
      <c r="F171" s="258"/>
      <c r="G171" s="214"/>
      <c r="H171" s="199"/>
      <c r="I171" s="200"/>
      <c r="J171" s="5"/>
      <c r="K171" s="179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6">
        <v>0</v>
      </c>
      <c r="B172" s="209" t="s">
        <v>132</v>
      </c>
      <c r="C172" s="208" t="s">
        <v>132</v>
      </c>
      <c r="D172" s="207" t="s">
        <v>132</v>
      </c>
      <c r="E172" s="202"/>
      <c r="F172" s="258"/>
      <c r="G172" s="214"/>
      <c r="H172" s="199"/>
      <c r="I172" s="200"/>
      <c r="J172" s="5"/>
      <c r="K172" s="179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6">
        <v>1</v>
      </c>
      <c r="B173" s="209" t="s">
        <v>132</v>
      </c>
      <c r="C173" s="208" t="s">
        <v>132</v>
      </c>
      <c r="D173" s="207" t="s">
        <v>132</v>
      </c>
      <c r="E173" s="202"/>
      <c r="F173" s="258"/>
      <c r="G173" s="217"/>
      <c r="H173" s="199"/>
      <c r="I173" s="200"/>
      <c r="J173" s="5"/>
      <c r="K173" s="179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6">
        <v>2</v>
      </c>
      <c r="B174" s="209" t="s">
        <v>132</v>
      </c>
      <c r="C174" s="208" t="s">
        <v>132</v>
      </c>
      <c r="D174" s="207" t="s">
        <v>132</v>
      </c>
      <c r="E174" s="202"/>
      <c r="F174" s="258"/>
      <c r="G174" s="217"/>
      <c r="H174" s="199"/>
      <c r="I174" s="200"/>
      <c r="J174" s="5"/>
      <c r="K174" s="179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6">
        <v>3</v>
      </c>
      <c r="B175" s="209" t="s">
        <v>132</v>
      </c>
      <c r="C175" s="208" t="s">
        <v>132</v>
      </c>
      <c r="D175" s="207" t="s">
        <v>132</v>
      </c>
      <c r="E175" s="202"/>
      <c r="F175" s="258"/>
      <c r="G175" s="217"/>
      <c r="H175" s="199"/>
      <c r="I175" s="200"/>
      <c r="J175" s="5"/>
      <c r="K175" s="179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6">
        <v>4</v>
      </c>
      <c r="B176" s="209" t="s">
        <v>132</v>
      </c>
      <c r="C176" s="208" t="s">
        <v>132</v>
      </c>
      <c r="D176" s="207" t="s">
        <v>132</v>
      </c>
      <c r="E176" s="202"/>
      <c r="F176" s="258"/>
      <c r="G176" s="217"/>
      <c r="H176" s="199"/>
      <c r="I176" s="200"/>
      <c r="J176" s="5"/>
      <c r="K176" s="179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6">
        <v>5</v>
      </c>
      <c r="B177" s="209" t="s">
        <v>132</v>
      </c>
      <c r="C177" s="208" t="s">
        <v>132</v>
      </c>
      <c r="D177" s="207" t="s">
        <v>132</v>
      </c>
      <c r="E177" s="202"/>
      <c r="F177" s="258"/>
      <c r="G177" s="218"/>
      <c r="H177" s="199"/>
      <c r="I177" s="200"/>
      <c r="J177" s="5"/>
      <c r="K177" s="179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88">
        <f>'Données projet'!A166</f>
        <v>0</v>
      </c>
      <c r="B178" s="189">
        <f>'Données projet'!D166</f>
        <v>0</v>
      </c>
      <c r="C178" s="202"/>
      <c r="D178" s="187">
        <f>B178*C178</f>
        <v>0</v>
      </c>
      <c r="E178" s="202"/>
      <c r="F178" s="259"/>
      <c r="G178" s="218"/>
      <c r="H178" s="199"/>
      <c r="I178" s="200"/>
      <c r="J178" s="5"/>
      <c r="K178" s="179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88">
        <f>'Données projet'!A167</f>
        <v>0</v>
      </c>
      <c r="B179" s="189">
        <f>'Données projet'!D167</f>
        <v>0</v>
      </c>
      <c r="C179" s="202"/>
      <c r="D179" s="187">
        <f t="shared" ref="D179:D197" si="11">B179*C179</f>
        <v>0</v>
      </c>
      <c r="E179" s="202"/>
      <c r="F179" s="259"/>
      <c r="G179" s="218"/>
      <c r="H179" s="199"/>
      <c r="I179" s="200"/>
      <c r="J179" s="5"/>
      <c r="K179" s="179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88">
        <f>'Données projet'!A168</f>
        <v>0</v>
      </c>
      <c r="B180" s="189">
        <f>'Données projet'!D168</f>
        <v>0</v>
      </c>
      <c r="C180" s="202"/>
      <c r="D180" s="187">
        <f t="shared" si="11"/>
        <v>0</v>
      </c>
      <c r="E180" s="202"/>
      <c r="F180" s="259"/>
      <c r="G180" s="218"/>
      <c r="H180" s="199"/>
      <c r="I180" s="200"/>
      <c r="J180" s="5"/>
      <c r="K180" s="179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88">
        <f>'Données projet'!A169</f>
        <v>0</v>
      </c>
      <c r="B181" s="189">
        <f>'Données projet'!D169</f>
        <v>0</v>
      </c>
      <c r="C181" s="202"/>
      <c r="D181" s="187">
        <f t="shared" si="11"/>
        <v>0</v>
      </c>
      <c r="E181" s="202"/>
      <c r="F181" s="259"/>
      <c r="G181" s="218"/>
      <c r="H181" s="199"/>
      <c r="I181" s="200"/>
      <c r="J181" s="5"/>
      <c r="K181" s="179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88">
        <f>'Données projet'!A170</f>
        <v>0</v>
      </c>
      <c r="B182" s="189">
        <f>'Données projet'!D170</f>
        <v>0</v>
      </c>
      <c r="C182" s="202"/>
      <c r="D182" s="187">
        <f t="shared" si="11"/>
        <v>0</v>
      </c>
      <c r="E182" s="202"/>
      <c r="F182" s="259"/>
      <c r="G182" s="218"/>
      <c r="H182" s="199"/>
      <c r="I182" s="200"/>
      <c r="J182" s="5"/>
      <c r="K182" s="179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88">
        <f>'Données projet'!A171</f>
        <v>0</v>
      </c>
      <c r="B183" s="189">
        <f>'Données projet'!D171</f>
        <v>0</v>
      </c>
      <c r="C183" s="202"/>
      <c r="D183" s="187">
        <f t="shared" si="11"/>
        <v>0</v>
      </c>
      <c r="E183" s="202"/>
      <c r="F183" s="259"/>
      <c r="G183" s="218"/>
      <c r="H183" s="199"/>
      <c r="I183" s="200"/>
      <c r="J183" s="5"/>
      <c r="K183" s="179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88">
        <f>'Données projet'!A172</f>
        <v>0</v>
      </c>
      <c r="B184" s="189">
        <f>'Données projet'!D172</f>
        <v>0</v>
      </c>
      <c r="C184" s="202"/>
      <c r="D184" s="187">
        <f t="shared" si="11"/>
        <v>0</v>
      </c>
      <c r="E184" s="202"/>
      <c r="F184" s="259"/>
      <c r="G184" s="219"/>
      <c r="H184" s="199"/>
      <c r="I184" s="200"/>
      <c r="J184" s="5"/>
      <c r="K184" s="179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88">
        <f>'Données projet'!A173</f>
        <v>0</v>
      </c>
      <c r="B185" s="189">
        <f>'Données projet'!D173</f>
        <v>0</v>
      </c>
      <c r="C185" s="202"/>
      <c r="D185" s="187">
        <f t="shared" si="11"/>
        <v>0</v>
      </c>
      <c r="E185" s="202"/>
      <c r="F185" s="259"/>
      <c r="G185" s="219"/>
      <c r="H185" s="199"/>
      <c r="I185" s="200"/>
      <c r="J185" s="5"/>
      <c r="K185" s="179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88">
        <f>'Données projet'!A174</f>
        <v>0</v>
      </c>
      <c r="B186" s="189">
        <f>'Données projet'!D174</f>
        <v>0</v>
      </c>
      <c r="C186" s="202"/>
      <c r="D186" s="187">
        <f t="shared" si="11"/>
        <v>0</v>
      </c>
      <c r="E186" s="202"/>
      <c r="F186" s="259"/>
      <c r="G186" s="219"/>
      <c r="H186" s="199"/>
      <c r="I186" s="200"/>
      <c r="J186" s="5"/>
      <c r="K186" s="179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88">
        <f>'Données projet'!A175</f>
        <v>0</v>
      </c>
      <c r="B187" s="189">
        <f>'Données projet'!D175</f>
        <v>0</v>
      </c>
      <c r="C187" s="202"/>
      <c r="D187" s="187">
        <f t="shared" si="11"/>
        <v>0</v>
      </c>
      <c r="E187" s="202"/>
      <c r="F187" s="259"/>
      <c r="G187" s="219"/>
      <c r="H187" s="199"/>
      <c r="I187" s="200"/>
      <c r="J187" s="5"/>
      <c r="K187" s="179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88">
        <f>'Données projet'!A176</f>
        <v>0</v>
      </c>
      <c r="B188" s="189">
        <f>'Données projet'!D176</f>
        <v>0</v>
      </c>
      <c r="C188" s="202"/>
      <c r="D188" s="187">
        <f t="shared" si="11"/>
        <v>0</v>
      </c>
      <c r="E188" s="202"/>
      <c r="F188" s="259"/>
      <c r="G188" s="219"/>
      <c r="H188" s="199"/>
      <c r="I188" s="200"/>
      <c r="J188" s="5"/>
      <c r="K188" s="179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88">
        <f>'Données projet'!A177</f>
        <v>0</v>
      </c>
      <c r="B189" s="189">
        <f>'Données projet'!D177</f>
        <v>0</v>
      </c>
      <c r="C189" s="202"/>
      <c r="D189" s="187">
        <f t="shared" si="11"/>
        <v>0</v>
      </c>
      <c r="E189" s="202"/>
      <c r="F189" s="259"/>
      <c r="G189" s="219"/>
      <c r="H189" s="199"/>
      <c r="I189" s="200"/>
      <c r="J189" s="5"/>
      <c r="K189" s="179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88">
        <f>'Données projet'!A178</f>
        <v>0</v>
      </c>
      <c r="B190" s="189">
        <f>'Données projet'!D178</f>
        <v>0</v>
      </c>
      <c r="C190" s="202"/>
      <c r="D190" s="187">
        <f t="shared" si="11"/>
        <v>0</v>
      </c>
      <c r="E190" s="202"/>
      <c r="F190" s="259"/>
      <c r="G190" s="219"/>
      <c r="H190" s="199"/>
      <c r="I190" s="200"/>
      <c r="J190" s="5"/>
      <c r="K190" s="179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88">
        <f>'Données projet'!A179</f>
        <v>0</v>
      </c>
      <c r="B191" s="189">
        <f>'Données projet'!D179</f>
        <v>0</v>
      </c>
      <c r="C191" s="202"/>
      <c r="D191" s="187">
        <f t="shared" si="11"/>
        <v>0</v>
      </c>
      <c r="E191" s="202"/>
      <c r="F191" s="259"/>
      <c r="G191" s="219"/>
      <c r="H191" s="199"/>
      <c r="I191" s="200"/>
      <c r="J191" s="5"/>
      <c r="K191" s="179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88">
        <f>'Données projet'!A180</f>
        <v>0</v>
      </c>
      <c r="B192" s="189">
        <f>'Données projet'!D180</f>
        <v>0</v>
      </c>
      <c r="C192" s="202"/>
      <c r="D192" s="187">
        <f t="shared" si="11"/>
        <v>0</v>
      </c>
      <c r="E192" s="202"/>
      <c r="F192" s="259"/>
      <c r="G192" s="219"/>
      <c r="H192" s="199"/>
      <c r="I192" s="200"/>
      <c r="J192" s="5"/>
      <c r="K192" s="179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88">
        <f>'Données projet'!A181</f>
        <v>0</v>
      </c>
      <c r="B193" s="189">
        <f>'Données projet'!D181</f>
        <v>0</v>
      </c>
      <c r="C193" s="202"/>
      <c r="D193" s="187">
        <f t="shared" si="11"/>
        <v>0</v>
      </c>
      <c r="E193" s="202"/>
      <c r="F193" s="259"/>
      <c r="G193" s="219"/>
      <c r="H193" s="199"/>
      <c r="I193" s="200"/>
      <c r="J193" s="5"/>
      <c r="K193" s="179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88">
        <f>'Données projet'!A182</f>
        <v>0</v>
      </c>
      <c r="B194" s="189">
        <f>'Données projet'!D182</f>
        <v>0</v>
      </c>
      <c r="C194" s="202"/>
      <c r="D194" s="187">
        <f t="shared" si="11"/>
        <v>0</v>
      </c>
      <c r="E194" s="202"/>
      <c r="F194" s="259"/>
      <c r="G194" s="219"/>
      <c r="H194" s="199"/>
      <c r="I194" s="200"/>
      <c r="J194" s="5"/>
      <c r="K194" s="179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88">
        <f>'Données projet'!A183</f>
        <v>0</v>
      </c>
      <c r="B195" s="189">
        <f>'Données projet'!D183</f>
        <v>0</v>
      </c>
      <c r="C195" s="202"/>
      <c r="D195" s="187">
        <f t="shared" si="11"/>
        <v>0</v>
      </c>
      <c r="E195" s="202"/>
      <c r="F195" s="259"/>
      <c r="G195" s="219"/>
      <c r="H195" s="199"/>
      <c r="I195" s="200"/>
      <c r="J195" s="5"/>
      <c r="K195" s="179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88">
        <f>'Données projet'!A184</f>
        <v>0</v>
      </c>
      <c r="B196" s="189">
        <f>'Données projet'!D184</f>
        <v>0</v>
      </c>
      <c r="C196" s="202"/>
      <c r="D196" s="187">
        <f t="shared" si="11"/>
        <v>0</v>
      </c>
      <c r="E196" s="202"/>
      <c r="F196" s="259"/>
      <c r="G196" s="219"/>
      <c r="H196" s="199"/>
      <c r="I196" s="200"/>
      <c r="J196" s="5"/>
      <c r="K196" s="179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88">
        <f>'Données projet'!A185</f>
        <v>0</v>
      </c>
      <c r="B197" s="189">
        <f>'Données projet'!D185</f>
        <v>0</v>
      </c>
      <c r="C197" s="202"/>
      <c r="D197" s="187">
        <f t="shared" si="11"/>
        <v>0</v>
      </c>
      <c r="E197" s="202"/>
      <c r="F197" s="259"/>
      <c r="G197" s="219"/>
      <c r="H197" s="199"/>
      <c r="I197" s="200"/>
      <c r="J197" s="5"/>
      <c r="K197" s="179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57"/>
      <c r="G198" s="219"/>
      <c r="H198" s="199"/>
      <c r="I198" s="200"/>
      <c r="J198" s="5"/>
      <c r="K198" s="179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57"/>
      <c r="G199" s="219"/>
      <c r="H199" s="199"/>
      <c r="I199" s="200"/>
      <c r="J199" s="5"/>
      <c r="K199" s="179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2" t="str">
        <f>IF('Données projet'!$B$15="","",'Données projet'!$B$15)</f>
        <v/>
      </c>
      <c r="C200" s="5"/>
      <c r="D200" s="5"/>
      <c r="E200" s="5"/>
      <c r="F200" s="257"/>
      <c r="G200" s="219"/>
      <c r="H200" s="199"/>
      <c r="I200" s="200"/>
      <c r="J200" s="5"/>
      <c r="K200" s="179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57"/>
      <c r="G201" s="219"/>
      <c r="H201" s="199"/>
      <c r="I201" s="200"/>
      <c r="J201" s="5"/>
      <c r="K201" s="179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3" t="s">
        <v>180</v>
      </c>
      <c r="B202" s="51" t="s">
        <v>256</v>
      </c>
      <c r="C202" s="51" t="s">
        <v>255</v>
      </c>
      <c r="D202" s="253" t="s">
        <v>252</v>
      </c>
      <c r="E202" s="253" t="s">
        <v>320</v>
      </c>
      <c r="F202" s="258"/>
      <c r="G202" s="219"/>
      <c r="H202" s="199"/>
      <c r="I202" s="200"/>
      <c r="J202" s="5"/>
      <c r="K202" s="179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6">
        <v>0</v>
      </c>
      <c r="B203" s="209" t="s">
        <v>132</v>
      </c>
      <c r="C203" s="208" t="s">
        <v>132</v>
      </c>
      <c r="D203" s="207" t="s">
        <v>132</v>
      </c>
      <c r="E203" s="202"/>
      <c r="F203" s="258"/>
      <c r="G203" s="219"/>
      <c r="H203" s="199"/>
      <c r="I203" s="200"/>
      <c r="J203" s="5"/>
      <c r="K203" s="179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6">
        <v>1</v>
      </c>
      <c r="B204" s="209" t="s">
        <v>132</v>
      </c>
      <c r="C204" s="208" t="s">
        <v>132</v>
      </c>
      <c r="D204" s="207" t="s">
        <v>132</v>
      </c>
      <c r="E204" s="202"/>
      <c r="F204" s="258"/>
      <c r="G204" s="217"/>
      <c r="H204" s="199"/>
      <c r="I204" s="200"/>
      <c r="J204" s="5"/>
      <c r="K204" s="179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6">
        <v>2</v>
      </c>
      <c r="B205" s="209" t="s">
        <v>132</v>
      </c>
      <c r="C205" s="208" t="s">
        <v>132</v>
      </c>
      <c r="D205" s="207" t="s">
        <v>132</v>
      </c>
      <c r="E205" s="202"/>
      <c r="F205" s="258"/>
      <c r="G205" s="217"/>
      <c r="H205" s="199"/>
      <c r="I205" s="200"/>
      <c r="J205" s="5"/>
      <c r="K205" s="179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6">
        <v>3</v>
      </c>
      <c r="B206" s="209" t="s">
        <v>132</v>
      </c>
      <c r="C206" s="208" t="s">
        <v>132</v>
      </c>
      <c r="D206" s="207" t="s">
        <v>132</v>
      </c>
      <c r="E206" s="202"/>
      <c r="F206" s="258"/>
      <c r="G206" s="217"/>
      <c r="H206" s="199"/>
      <c r="I206" s="200"/>
      <c r="J206" s="5"/>
      <c r="K206" s="179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6">
        <v>4</v>
      </c>
      <c r="B207" s="209" t="s">
        <v>132</v>
      </c>
      <c r="C207" s="208" t="s">
        <v>132</v>
      </c>
      <c r="D207" s="207" t="s">
        <v>132</v>
      </c>
      <c r="E207" s="202"/>
      <c r="F207" s="258"/>
      <c r="G207" s="217"/>
      <c r="H207" s="199"/>
      <c r="I207" s="200"/>
      <c r="J207" s="5"/>
      <c r="K207" s="179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6">
        <v>5</v>
      </c>
      <c r="B208" s="209" t="s">
        <v>132</v>
      </c>
      <c r="C208" s="208" t="s">
        <v>132</v>
      </c>
      <c r="D208" s="207" t="s">
        <v>132</v>
      </c>
      <c r="E208" s="202"/>
      <c r="F208" s="258"/>
      <c r="G208" s="218"/>
      <c r="H208" s="199"/>
      <c r="I208" s="200"/>
      <c r="J208" s="5"/>
      <c r="K208" s="179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88">
        <f>'Données projet'!A192</f>
        <v>0</v>
      </c>
      <c r="B209" s="189">
        <f>'Données projet'!D192</f>
        <v>0</v>
      </c>
      <c r="C209" s="202"/>
      <c r="D209" s="187">
        <f>B209*C209</f>
        <v>0</v>
      </c>
      <c r="E209" s="202"/>
      <c r="F209" s="259"/>
      <c r="G209" s="218"/>
      <c r="H209" s="199"/>
      <c r="I209" s="200"/>
      <c r="J209" s="5"/>
      <c r="K209" s="179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88">
        <f>'Données projet'!A193</f>
        <v>0</v>
      </c>
      <c r="B210" s="189">
        <f>'Données projet'!D193</f>
        <v>0</v>
      </c>
      <c r="C210" s="202"/>
      <c r="D210" s="187">
        <f t="shared" ref="D210:D228" si="12">B210*C210</f>
        <v>0</v>
      </c>
      <c r="E210" s="202"/>
      <c r="F210" s="259"/>
      <c r="G210" s="218"/>
      <c r="H210" s="199"/>
      <c r="I210" s="200"/>
      <c r="J210" s="5"/>
      <c r="K210" s="179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88">
        <f>'Données projet'!A194</f>
        <v>0</v>
      </c>
      <c r="B211" s="189">
        <f>'Données projet'!D194</f>
        <v>0</v>
      </c>
      <c r="C211" s="202"/>
      <c r="D211" s="187">
        <f t="shared" si="12"/>
        <v>0</v>
      </c>
      <c r="E211" s="202"/>
      <c r="F211" s="259"/>
      <c r="G211" s="218"/>
      <c r="H211" s="199"/>
      <c r="I211" s="200"/>
      <c r="J211" s="5"/>
      <c r="K211" s="179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88">
        <f>'Données projet'!A195</f>
        <v>0</v>
      </c>
      <c r="B212" s="189">
        <f>'Données projet'!D195</f>
        <v>0</v>
      </c>
      <c r="C212" s="202"/>
      <c r="D212" s="187">
        <f t="shared" si="12"/>
        <v>0</v>
      </c>
      <c r="E212" s="202"/>
      <c r="F212" s="259"/>
      <c r="G212" s="218"/>
      <c r="H212" s="199"/>
      <c r="I212" s="200"/>
      <c r="J212" s="5"/>
      <c r="K212" s="179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88">
        <f>'Données projet'!A196</f>
        <v>0</v>
      </c>
      <c r="B213" s="189">
        <f>'Données projet'!D196</f>
        <v>0</v>
      </c>
      <c r="C213" s="202"/>
      <c r="D213" s="187">
        <f t="shared" si="12"/>
        <v>0</v>
      </c>
      <c r="E213" s="202"/>
      <c r="F213" s="259"/>
      <c r="G213" s="218"/>
      <c r="H213" s="199"/>
      <c r="I213" s="200"/>
      <c r="J213" s="5"/>
      <c r="K213" s="179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88">
        <f>'Données projet'!A197</f>
        <v>0</v>
      </c>
      <c r="B214" s="189">
        <f>'Données projet'!D197</f>
        <v>0</v>
      </c>
      <c r="C214" s="202"/>
      <c r="D214" s="187">
        <f t="shared" si="12"/>
        <v>0</v>
      </c>
      <c r="E214" s="202"/>
      <c r="F214" s="259"/>
      <c r="G214" s="218"/>
      <c r="H214" s="199"/>
      <c r="I214" s="200"/>
      <c r="J214" s="5"/>
      <c r="K214" s="179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88">
        <f>'Données projet'!A198</f>
        <v>0</v>
      </c>
      <c r="B215" s="189">
        <f>'Données projet'!D198</f>
        <v>0</v>
      </c>
      <c r="C215" s="202"/>
      <c r="D215" s="187">
        <f t="shared" si="12"/>
        <v>0</v>
      </c>
      <c r="E215" s="202"/>
      <c r="F215" s="259"/>
      <c r="G215" s="219"/>
      <c r="H215" s="199"/>
      <c r="I215" s="200"/>
      <c r="J215" s="5"/>
      <c r="K215" s="179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88">
        <f>'Données projet'!A199</f>
        <v>0</v>
      </c>
      <c r="B216" s="189">
        <f>'Données projet'!D199</f>
        <v>0</v>
      </c>
      <c r="C216" s="202"/>
      <c r="D216" s="187">
        <f t="shared" si="12"/>
        <v>0</v>
      </c>
      <c r="E216" s="202"/>
      <c r="F216" s="259"/>
      <c r="G216" s="219"/>
      <c r="H216" s="199"/>
      <c r="I216" s="200"/>
      <c r="J216" s="5"/>
      <c r="K216" s="179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88">
        <f>'Données projet'!A200</f>
        <v>0</v>
      </c>
      <c r="B217" s="189">
        <f>'Données projet'!D200</f>
        <v>0</v>
      </c>
      <c r="C217" s="202"/>
      <c r="D217" s="187">
        <f t="shared" si="12"/>
        <v>0</v>
      </c>
      <c r="E217" s="202"/>
      <c r="F217" s="259"/>
      <c r="G217" s="219"/>
      <c r="H217" s="199"/>
      <c r="I217" s="200"/>
      <c r="J217" s="5"/>
      <c r="K217" s="179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88">
        <f>'Données projet'!A201</f>
        <v>0</v>
      </c>
      <c r="B218" s="189">
        <f>'Données projet'!D201</f>
        <v>0</v>
      </c>
      <c r="C218" s="202"/>
      <c r="D218" s="187">
        <f t="shared" si="12"/>
        <v>0</v>
      </c>
      <c r="E218" s="202"/>
      <c r="F218" s="259"/>
      <c r="G218" s="219"/>
      <c r="H218" s="199"/>
      <c r="I218" s="200"/>
      <c r="J218" s="5"/>
      <c r="K218" s="179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88">
        <f>'Données projet'!A202</f>
        <v>0</v>
      </c>
      <c r="B219" s="189">
        <f>'Données projet'!D202</f>
        <v>0</v>
      </c>
      <c r="C219" s="202"/>
      <c r="D219" s="187">
        <f t="shared" si="12"/>
        <v>0</v>
      </c>
      <c r="E219" s="202"/>
      <c r="F219" s="259"/>
      <c r="G219" s="219"/>
      <c r="H219" s="199"/>
      <c r="I219" s="200"/>
      <c r="J219" s="5"/>
      <c r="K219" s="179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88">
        <f>'Données projet'!A203</f>
        <v>0</v>
      </c>
      <c r="B220" s="189">
        <f>'Données projet'!D203</f>
        <v>0</v>
      </c>
      <c r="C220" s="202"/>
      <c r="D220" s="187">
        <f t="shared" si="12"/>
        <v>0</v>
      </c>
      <c r="E220" s="202"/>
      <c r="F220" s="259"/>
      <c r="G220" s="219"/>
      <c r="H220" s="5"/>
      <c r="I220" s="5"/>
      <c r="J220" s="5"/>
      <c r="K220" s="179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88">
        <f>'Données projet'!A204</f>
        <v>0</v>
      </c>
      <c r="B221" s="189">
        <f>'Données projet'!D204</f>
        <v>0</v>
      </c>
      <c r="C221" s="202"/>
      <c r="D221" s="187">
        <f t="shared" si="12"/>
        <v>0</v>
      </c>
      <c r="E221" s="202"/>
      <c r="F221" s="259"/>
      <c r="G221" s="219"/>
      <c r="H221" s="5"/>
      <c r="I221" s="5"/>
      <c r="J221" s="5"/>
      <c r="K221" s="179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88">
        <f>'Données projet'!A205</f>
        <v>0</v>
      </c>
      <c r="B222" s="189">
        <f>'Données projet'!D205</f>
        <v>0</v>
      </c>
      <c r="C222" s="202"/>
      <c r="D222" s="187">
        <f t="shared" si="12"/>
        <v>0</v>
      </c>
      <c r="E222" s="202"/>
      <c r="F222" s="259"/>
      <c r="G222" s="219"/>
      <c r="H222" s="5"/>
      <c r="I222" s="5"/>
      <c r="J222" s="5"/>
      <c r="K222" s="179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88">
        <f>'Données projet'!A206</f>
        <v>0</v>
      </c>
      <c r="B223" s="189">
        <f>'Données projet'!D206</f>
        <v>0</v>
      </c>
      <c r="C223" s="202"/>
      <c r="D223" s="187">
        <f t="shared" si="12"/>
        <v>0</v>
      </c>
      <c r="E223" s="202"/>
      <c r="F223" s="259"/>
      <c r="G223" s="219"/>
      <c r="H223" s="5"/>
      <c r="I223" s="5"/>
      <c r="J223" s="5"/>
      <c r="K223" s="179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88">
        <f>'Données projet'!A207</f>
        <v>0</v>
      </c>
      <c r="B224" s="189">
        <f>'Données projet'!D207</f>
        <v>0</v>
      </c>
      <c r="C224" s="202"/>
      <c r="D224" s="187">
        <f t="shared" si="12"/>
        <v>0</v>
      </c>
      <c r="E224" s="202"/>
      <c r="F224" s="259"/>
      <c r="G224" s="219"/>
      <c r="H224" s="5"/>
      <c r="I224" s="5"/>
      <c r="J224" s="5"/>
      <c r="K224" s="179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88">
        <f>'Données projet'!A208</f>
        <v>0</v>
      </c>
      <c r="B225" s="189">
        <f>'Données projet'!D208</f>
        <v>0</v>
      </c>
      <c r="C225" s="202"/>
      <c r="D225" s="187">
        <f t="shared" si="12"/>
        <v>0</v>
      </c>
      <c r="E225" s="202"/>
      <c r="F225" s="259"/>
      <c r="G225" s="219"/>
      <c r="H225" s="5"/>
      <c r="I225" s="5"/>
      <c r="J225" s="5"/>
      <c r="K225" s="179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88">
        <f>'Données projet'!A209</f>
        <v>0</v>
      </c>
      <c r="B226" s="189">
        <f>'Données projet'!D209</f>
        <v>0</v>
      </c>
      <c r="C226" s="202"/>
      <c r="D226" s="187">
        <f t="shared" si="12"/>
        <v>0</v>
      </c>
      <c r="E226" s="202"/>
      <c r="F226" s="259"/>
      <c r="G226" s="219"/>
      <c r="H226" s="5"/>
      <c r="I226" s="5"/>
      <c r="J226" s="5"/>
      <c r="K226" s="179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88">
        <f>'Données projet'!A210</f>
        <v>0</v>
      </c>
      <c r="B227" s="189">
        <f>'Données projet'!D210</f>
        <v>0</v>
      </c>
      <c r="C227" s="202"/>
      <c r="D227" s="187">
        <f t="shared" si="12"/>
        <v>0</v>
      </c>
      <c r="E227" s="202"/>
      <c r="F227" s="259"/>
      <c r="G227" s="219"/>
      <c r="H227" s="5"/>
      <c r="I227" s="5"/>
      <c r="J227" s="5"/>
      <c r="K227" s="179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88">
        <f>'Données projet'!A211</f>
        <v>0</v>
      </c>
      <c r="B228" s="189">
        <f>'Données projet'!D211</f>
        <v>0</v>
      </c>
      <c r="C228" s="202"/>
      <c r="D228" s="187">
        <f t="shared" si="12"/>
        <v>0</v>
      </c>
      <c r="E228" s="202"/>
      <c r="F228" s="259"/>
      <c r="G228" s="219"/>
      <c r="H228" s="5"/>
      <c r="I228" s="5"/>
      <c r="J228" s="5"/>
      <c r="K228" s="179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57"/>
      <c r="G229" s="219"/>
      <c r="H229" s="5"/>
      <c r="I229" s="5"/>
      <c r="J229" s="5"/>
      <c r="K229" s="179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57"/>
      <c r="G230" s="219"/>
      <c r="H230" s="5"/>
      <c r="I230" s="5"/>
      <c r="J230" s="5"/>
      <c r="K230" s="179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2" t="str">
        <f>IF('Données projet'!$B$16="","",'Données projet'!$B$16)</f>
        <v/>
      </c>
      <c r="C231" s="5"/>
      <c r="D231" s="5"/>
      <c r="E231" s="5"/>
      <c r="F231" s="257"/>
      <c r="G231" s="219"/>
      <c r="H231" s="5"/>
      <c r="I231" s="5"/>
      <c r="J231" s="5"/>
      <c r="K231" s="179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57"/>
      <c r="G232" s="219"/>
      <c r="H232" s="5"/>
      <c r="I232" s="5"/>
      <c r="J232" s="5"/>
      <c r="K232" s="179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3" t="s">
        <v>180</v>
      </c>
      <c r="B233" s="51" t="s">
        <v>256</v>
      </c>
      <c r="C233" s="51" t="s">
        <v>255</v>
      </c>
      <c r="D233" s="253" t="s">
        <v>252</v>
      </c>
      <c r="E233" s="253" t="s">
        <v>320</v>
      </c>
      <c r="F233" s="258"/>
      <c r="G233" s="219"/>
      <c r="H233" s="5"/>
      <c r="I233" s="5"/>
      <c r="J233" s="5"/>
      <c r="K233" s="179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6">
        <v>0</v>
      </c>
      <c r="B234" s="209" t="s">
        <v>132</v>
      </c>
      <c r="C234" s="208" t="s">
        <v>132</v>
      </c>
      <c r="D234" s="207" t="s">
        <v>132</v>
      </c>
      <c r="E234" s="202"/>
      <c r="F234" s="258"/>
      <c r="G234" s="219"/>
      <c r="H234" s="5"/>
      <c r="I234" s="5"/>
      <c r="J234" s="5"/>
      <c r="K234" s="179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6">
        <v>1</v>
      </c>
      <c r="B235" s="209" t="s">
        <v>132</v>
      </c>
      <c r="C235" s="208" t="s">
        <v>132</v>
      </c>
      <c r="D235" s="207" t="s">
        <v>132</v>
      </c>
      <c r="E235" s="202"/>
      <c r="F235" s="258"/>
      <c r="G235" s="217"/>
      <c r="H235" s="5"/>
      <c r="I235" s="5"/>
      <c r="J235" s="5"/>
      <c r="K235" s="179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6">
        <v>2</v>
      </c>
      <c r="B236" s="209" t="s">
        <v>132</v>
      </c>
      <c r="C236" s="208" t="s">
        <v>132</v>
      </c>
      <c r="D236" s="207" t="s">
        <v>132</v>
      </c>
      <c r="E236" s="202"/>
      <c r="F236" s="258"/>
      <c r="G236" s="217"/>
      <c r="H236" s="5"/>
      <c r="I236" s="5"/>
      <c r="J236" s="5"/>
      <c r="K236" s="179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6">
        <v>3</v>
      </c>
      <c r="B237" s="209" t="s">
        <v>132</v>
      </c>
      <c r="C237" s="208" t="s">
        <v>132</v>
      </c>
      <c r="D237" s="207" t="s">
        <v>132</v>
      </c>
      <c r="E237" s="202"/>
      <c r="F237" s="258"/>
      <c r="G237" s="217"/>
      <c r="H237" s="5"/>
      <c r="I237" s="5"/>
      <c r="J237" s="5"/>
      <c r="K237" s="179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6">
        <v>4</v>
      </c>
      <c r="B238" s="209" t="s">
        <v>132</v>
      </c>
      <c r="C238" s="208" t="s">
        <v>132</v>
      </c>
      <c r="D238" s="207" t="s">
        <v>132</v>
      </c>
      <c r="E238" s="202"/>
      <c r="F238" s="258"/>
      <c r="G238" s="217"/>
      <c r="H238" s="5"/>
      <c r="I238" s="5"/>
      <c r="J238" s="5"/>
      <c r="K238" s="179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6">
        <v>5</v>
      </c>
      <c r="B239" s="209" t="s">
        <v>132</v>
      </c>
      <c r="C239" s="208" t="s">
        <v>132</v>
      </c>
      <c r="D239" s="207" t="s">
        <v>132</v>
      </c>
      <c r="E239" s="202"/>
      <c r="F239" s="258"/>
      <c r="G239" s="218"/>
      <c r="H239" s="5"/>
      <c r="I239" s="5"/>
      <c r="J239" s="5"/>
      <c r="K239" s="179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88">
        <f>'Données projet'!A218</f>
        <v>0</v>
      </c>
      <c r="B240" s="189">
        <f>'Données projet'!D218</f>
        <v>0</v>
      </c>
      <c r="C240" s="202"/>
      <c r="D240" s="187">
        <f>B240*C240</f>
        <v>0</v>
      </c>
      <c r="E240" s="202"/>
      <c r="F240" s="259"/>
      <c r="G240" s="218"/>
      <c r="H240" s="5"/>
      <c r="I240" s="5"/>
      <c r="J240" s="5"/>
      <c r="K240" s="179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88">
        <f>'Données projet'!A219</f>
        <v>0</v>
      </c>
      <c r="B241" s="189">
        <f>'Données projet'!D219</f>
        <v>0</v>
      </c>
      <c r="C241" s="202"/>
      <c r="D241" s="187">
        <f t="shared" ref="D241:D259" si="13">B241*C241</f>
        <v>0</v>
      </c>
      <c r="E241" s="202"/>
      <c r="F241" s="259"/>
      <c r="G241" s="218"/>
      <c r="H241" s="5"/>
      <c r="I241" s="5"/>
      <c r="J241" s="5"/>
      <c r="K241" s="179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88">
        <f>'Données projet'!A220</f>
        <v>0</v>
      </c>
      <c r="B242" s="189">
        <f>'Données projet'!D220</f>
        <v>0</v>
      </c>
      <c r="C242" s="202"/>
      <c r="D242" s="187">
        <f t="shared" si="13"/>
        <v>0</v>
      </c>
      <c r="E242" s="202"/>
      <c r="F242" s="259"/>
      <c r="G242" s="218"/>
      <c r="H242" s="5"/>
      <c r="I242" s="5"/>
      <c r="J242" s="5"/>
      <c r="K242" s="179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88">
        <f>'Données projet'!A221</f>
        <v>0</v>
      </c>
      <c r="B243" s="189">
        <f>'Données projet'!D221</f>
        <v>0</v>
      </c>
      <c r="C243" s="202"/>
      <c r="D243" s="187">
        <f t="shared" si="13"/>
        <v>0</v>
      </c>
      <c r="E243" s="202"/>
      <c r="F243" s="259"/>
      <c r="G243" s="218"/>
      <c r="H243" s="5"/>
      <c r="I243" s="5"/>
      <c r="J243" s="5"/>
      <c r="K243" s="179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88">
        <f>'Données projet'!A222</f>
        <v>0</v>
      </c>
      <c r="B244" s="189">
        <f>'Données projet'!D222</f>
        <v>0</v>
      </c>
      <c r="C244" s="202"/>
      <c r="D244" s="187">
        <f t="shared" si="13"/>
        <v>0</v>
      </c>
      <c r="E244" s="202"/>
      <c r="F244" s="259"/>
      <c r="G244" s="218"/>
      <c r="H244" s="5"/>
      <c r="I244" s="5"/>
      <c r="J244" s="5"/>
      <c r="K244" s="179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88">
        <f>'Données projet'!A223</f>
        <v>0</v>
      </c>
      <c r="B245" s="189">
        <f>'Données projet'!D223</f>
        <v>0</v>
      </c>
      <c r="C245" s="202"/>
      <c r="D245" s="187">
        <f t="shared" si="13"/>
        <v>0</v>
      </c>
      <c r="E245" s="202"/>
      <c r="F245" s="259"/>
      <c r="G245" s="218"/>
      <c r="H245" s="5"/>
      <c r="I245" s="5"/>
      <c r="J245" s="5"/>
      <c r="K245" s="179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88">
        <f>'Données projet'!A224</f>
        <v>0</v>
      </c>
      <c r="B246" s="189">
        <f>'Données projet'!D224</f>
        <v>0</v>
      </c>
      <c r="C246" s="202"/>
      <c r="D246" s="187">
        <f t="shared" si="13"/>
        <v>0</v>
      </c>
      <c r="E246" s="202"/>
      <c r="F246" s="259"/>
      <c r="G246" s="219"/>
      <c r="H246" s="5"/>
      <c r="I246" s="5"/>
      <c r="J246" s="5"/>
      <c r="K246" s="179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88">
        <f>'Données projet'!A225</f>
        <v>0</v>
      </c>
      <c r="B247" s="189">
        <f>'Données projet'!D225</f>
        <v>0</v>
      </c>
      <c r="C247" s="202"/>
      <c r="D247" s="187">
        <f t="shared" si="13"/>
        <v>0</v>
      </c>
      <c r="E247" s="202"/>
      <c r="F247" s="259"/>
      <c r="G247" s="219"/>
      <c r="H247" s="5"/>
      <c r="I247" s="5"/>
      <c r="J247" s="5"/>
      <c r="K247" s="179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88">
        <f>'Données projet'!A226</f>
        <v>0</v>
      </c>
      <c r="B248" s="189">
        <f>'Données projet'!D226</f>
        <v>0</v>
      </c>
      <c r="C248" s="202"/>
      <c r="D248" s="187">
        <f t="shared" si="13"/>
        <v>0</v>
      </c>
      <c r="E248" s="202"/>
      <c r="F248" s="259"/>
      <c r="G248" s="219"/>
      <c r="H248" s="5"/>
      <c r="I248" s="5"/>
      <c r="J248" s="5"/>
      <c r="K248" s="179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88">
        <f>'Données projet'!A227</f>
        <v>0</v>
      </c>
      <c r="B249" s="189">
        <f>'Données projet'!D227</f>
        <v>0</v>
      </c>
      <c r="C249" s="202"/>
      <c r="D249" s="187">
        <f t="shared" si="13"/>
        <v>0</v>
      </c>
      <c r="E249" s="202"/>
      <c r="F249" s="259"/>
      <c r="G249" s="219"/>
      <c r="H249" s="5"/>
      <c r="I249" s="5"/>
      <c r="J249" s="5"/>
      <c r="K249" s="179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88">
        <f>'Données projet'!A228</f>
        <v>0</v>
      </c>
      <c r="B250" s="189">
        <f>'Données projet'!D228</f>
        <v>0</v>
      </c>
      <c r="C250" s="202"/>
      <c r="D250" s="187">
        <f t="shared" si="13"/>
        <v>0</v>
      </c>
      <c r="E250" s="202"/>
      <c r="F250" s="259"/>
      <c r="G250" s="219"/>
      <c r="H250" s="5"/>
      <c r="I250" s="5"/>
      <c r="J250" s="5"/>
      <c r="K250" s="179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88">
        <f>'Données projet'!A229</f>
        <v>0</v>
      </c>
      <c r="B251" s="189">
        <f>'Données projet'!D229</f>
        <v>0</v>
      </c>
      <c r="C251" s="202"/>
      <c r="D251" s="187">
        <f t="shared" si="13"/>
        <v>0</v>
      </c>
      <c r="E251" s="202"/>
      <c r="F251" s="259"/>
      <c r="G251" s="219"/>
      <c r="H251" s="5"/>
      <c r="I251" s="5"/>
      <c r="J251" s="5"/>
      <c r="K251" s="179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88">
        <f>'Données projet'!A230</f>
        <v>0</v>
      </c>
      <c r="B252" s="189">
        <f>'Données projet'!D230</f>
        <v>0</v>
      </c>
      <c r="C252" s="202"/>
      <c r="D252" s="187">
        <f t="shared" si="13"/>
        <v>0</v>
      </c>
      <c r="E252" s="202"/>
      <c r="F252" s="259"/>
      <c r="G252" s="219"/>
      <c r="H252" s="5"/>
      <c r="I252" s="5"/>
      <c r="J252" s="5"/>
      <c r="K252" s="179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88">
        <f>'Données projet'!A231</f>
        <v>0</v>
      </c>
      <c r="B253" s="189">
        <f>'Données projet'!D231</f>
        <v>0</v>
      </c>
      <c r="C253" s="202"/>
      <c r="D253" s="187">
        <f t="shared" si="13"/>
        <v>0</v>
      </c>
      <c r="E253" s="202"/>
      <c r="F253" s="259"/>
      <c r="G253" s="219"/>
      <c r="H253" s="5"/>
      <c r="I253" s="5"/>
      <c r="J253" s="5"/>
      <c r="K253" s="179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88">
        <f>'Données projet'!A232</f>
        <v>0</v>
      </c>
      <c r="B254" s="189">
        <f>'Données projet'!D232</f>
        <v>0</v>
      </c>
      <c r="C254" s="202"/>
      <c r="D254" s="187">
        <f t="shared" si="13"/>
        <v>0</v>
      </c>
      <c r="E254" s="202"/>
      <c r="F254" s="259"/>
      <c r="G254" s="219"/>
      <c r="H254" s="5"/>
      <c r="I254" s="5"/>
      <c r="J254" s="5"/>
      <c r="K254" s="179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88">
        <f>'Données projet'!A233</f>
        <v>0</v>
      </c>
      <c r="B255" s="189">
        <f>'Données projet'!D233</f>
        <v>0</v>
      </c>
      <c r="C255" s="202"/>
      <c r="D255" s="187">
        <f t="shared" si="13"/>
        <v>0</v>
      </c>
      <c r="E255" s="202"/>
      <c r="F255" s="259"/>
      <c r="G255" s="219"/>
      <c r="H255" s="5"/>
      <c r="I255" s="5"/>
      <c r="J255" s="5"/>
      <c r="K255" s="179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88">
        <f>'Données projet'!A234</f>
        <v>0</v>
      </c>
      <c r="B256" s="189">
        <f>'Données projet'!D234</f>
        <v>0</v>
      </c>
      <c r="C256" s="202"/>
      <c r="D256" s="187">
        <f t="shared" si="13"/>
        <v>0</v>
      </c>
      <c r="E256" s="202"/>
      <c r="F256" s="259"/>
      <c r="G256" s="219"/>
      <c r="H256" s="5"/>
      <c r="I256" s="5"/>
      <c r="J256" s="5"/>
      <c r="K256" s="179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88">
        <f>'Données projet'!A235</f>
        <v>0</v>
      </c>
      <c r="B257" s="189">
        <f>'Données projet'!D235</f>
        <v>0</v>
      </c>
      <c r="C257" s="202"/>
      <c r="D257" s="187">
        <f t="shared" si="13"/>
        <v>0</v>
      </c>
      <c r="E257" s="202"/>
      <c r="F257" s="259"/>
      <c r="G257" s="219"/>
      <c r="H257" s="5"/>
      <c r="I257" s="5"/>
      <c r="J257" s="5"/>
      <c r="K257" s="179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88">
        <f>'Données projet'!A236</f>
        <v>0</v>
      </c>
      <c r="B258" s="189">
        <f>'Données projet'!D236</f>
        <v>0</v>
      </c>
      <c r="C258" s="202"/>
      <c r="D258" s="187">
        <f t="shared" si="13"/>
        <v>0</v>
      </c>
      <c r="E258" s="202"/>
      <c r="F258" s="259"/>
      <c r="G258" s="219"/>
      <c r="H258" s="5"/>
      <c r="I258" s="5"/>
      <c r="J258" s="5"/>
      <c r="K258" s="179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88">
        <f>'Données projet'!A237</f>
        <v>0</v>
      </c>
      <c r="B259" s="189">
        <f>'Données projet'!D237</f>
        <v>0</v>
      </c>
      <c r="C259" s="202"/>
      <c r="D259" s="187">
        <f t="shared" si="13"/>
        <v>0</v>
      </c>
      <c r="E259" s="202"/>
      <c r="F259" s="259"/>
      <c r="G259" s="219"/>
      <c r="H259" s="5"/>
      <c r="I259" s="5"/>
      <c r="J259" s="5"/>
      <c r="K259" s="179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57"/>
      <c r="G260" s="219"/>
      <c r="H260" s="5"/>
      <c r="I260" s="5"/>
      <c r="J260" s="5"/>
      <c r="K260" s="179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57"/>
      <c r="G261" s="219"/>
      <c r="H261" s="5"/>
      <c r="I261" s="5"/>
      <c r="J261" s="5"/>
      <c r="K261" s="179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2" t="str">
        <f>IF('Données projet'!$B$17="","",'Données projet'!$B$17)</f>
        <v/>
      </c>
      <c r="C262" s="5"/>
      <c r="D262" s="5"/>
      <c r="E262" s="5"/>
      <c r="F262" s="257"/>
      <c r="G262" s="219"/>
      <c r="H262" s="5"/>
      <c r="I262" s="5"/>
      <c r="J262" s="5"/>
      <c r="K262" s="179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57"/>
      <c r="G263" s="219"/>
      <c r="H263" s="5"/>
      <c r="I263" s="5"/>
      <c r="J263" s="5"/>
      <c r="K263" s="179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3" t="s">
        <v>180</v>
      </c>
      <c r="B264" s="51" t="s">
        <v>256</v>
      </c>
      <c r="C264" s="51" t="s">
        <v>255</v>
      </c>
      <c r="D264" s="253" t="s">
        <v>252</v>
      </c>
      <c r="E264" s="253" t="s">
        <v>320</v>
      </c>
      <c r="F264" s="258"/>
      <c r="G264" s="219"/>
      <c r="H264" s="5"/>
      <c r="I264" s="5"/>
      <c r="J264" s="5"/>
      <c r="K264" s="179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6">
        <v>0</v>
      </c>
      <c r="B265" s="209" t="s">
        <v>132</v>
      </c>
      <c r="C265" s="208" t="s">
        <v>132</v>
      </c>
      <c r="D265" s="207" t="s">
        <v>132</v>
      </c>
      <c r="E265" s="202"/>
      <c r="F265" s="258"/>
      <c r="G265" s="219"/>
      <c r="H265" s="5"/>
      <c r="I265" s="5"/>
      <c r="J265" s="5"/>
      <c r="K265" s="179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6">
        <v>1</v>
      </c>
      <c r="B266" s="209" t="s">
        <v>132</v>
      </c>
      <c r="C266" s="208" t="s">
        <v>132</v>
      </c>
      <c r="D266" s="207" t="s">
        <v>132</v>
      </c>
      <c r="E266" s="202"/>
      <c r="F266" s="258"/>
      <c r="G266" s="217"/>
      <c r="H266" s="5"/>
      <c r="I266" s="5"/>
      <c r="J266" s="5"/>
      <c r="K266" s="179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6">
        <v>2</v>
      </c>
      <c r="B267" s="209" t="s">
        <v>132</v>
      </c>
      <c r="C267" s="208" t="s">
        <v>132</v>
      </c>
      <c r="D267" s="207" t="s">
        <v>132</v>
      </c>
      <c r="E267" s="202"/>
      <c r="F267" s="258"/>
      <c r="G267" s="217"/>
      <c r="H267" s="5"/>
      <c r="I267" s="5"/>
      <c r="J267" s="5"/>
      <c r="K267" s="179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6">
        <v>3</v>
      </c>
      <c r="B268" s="209" t="s">
        <v>132</v>
      </c>
      <c r="C268" s="208" t="s">
        <v>132</v>
      </c>
      <c r="D268" s="207" t="s">
        <v>132</v>
      </c>
      <c r="E268" s="202"/>
      <c r="F268" s="258"/>
      <c r="G268" s="217"/>
      <c r="H268" s="5"/>
      <c r="I268" s="5"/>
      <c r="J268" s="5"/>
      <c r="K268" s="179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6">
        <v>4</v>
      </c>
      <c r="B269" s="209" t="s">
        <v>132</v>
      </c>
      <c r="C269" s="208" t="s">
        <v>132</v>
      </c>
      <c r="D269" s="207" t="s">
        <v>132</v>
      </c>
      <c r="E269" s="202"/>
      <c r="F269" s="258"/>
      <c r="G269" s="217"/>
      <c r="H269" s="5"/>
      <c r="I269" s="5"/>
      <c r="J269" s="5"/>
      <c r="K269" s="179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6">
        <v>5</v>
      </c>
      <c r="B270" s="209" t="s">
        <v>132</v>
      </c>
      <c r="C270" s="208" t="s">
        <v>132</v>
      </c>
      <c r="D270" s="207" t="s">
        <v>132</v>
      </c>
      <c r="E270" s="202"/>
      <c r="F270" s="258"/>
      <c r="G270" s="218"/>
      <c r="H270" s="5"/>
      <c r="I270" s="5"/>
      <c r="J270" s="5"/>
      <c r="K270" s="179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88">
        <f>'Données projet'!A244</f>
        <v>0</v>
      </c>
      <c r="B271" s="189">
        <f>'Données projet'!D244</f>
        <v>0</v>
      </c>
      <c r="C271" s="202"/>
      <c r="D271" s="187">
        <f>B271*C271</f>
        <v>0</v>
      </c>
      <c r="E271" s="202"/>
      <c r="F271" s="259"/>
      <c r="G271" s="218"/>
      <c r="H271" s="5"/>
      <c r="I271" s="5"/>
      <c r="J271" s="5"/>
      <c r="K271" s="179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88">
        <f>'Données projet'!A245</f>
        <v>0</v>
      </c>
      <c r="B272" s="189">
        <f>'Données projet'!D245</f>
        <v>0</v>
      </c>
      <c r="C272" s="202"/>
      <c r="D272" s="187">
        <f t="shared" ref="D272:D290" si="14">B272*C272</f>
        <v>0</v>
      </c>
      <c r="E272" s="202"/>
      <c r="F272" s="259"/>
      <c r="G272" s="218"/>
      <c r="H272" s="5"/>
      <c r="I272" s="5"/>
      <c r="J272" s="5"/>
      <c r="K272" s="179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88">
        <f>'Données projet'!A246</f>
        <v>0</v>
      </c>
      <c r="B273" s="189">
        <f>'Données projet'!D246</f>
        <v>0</v>
      </c>
      <c r="C273" s="202"/>
      <c r="D273" s="187">
        <f t="shared" si="14"/>
        <v>0</v>
      </c>
      <c r="E273" s="202"/>
      <c r="F273" s="259"/>
      <c r="G273" s="218"/>
      <c r="H273" s="5"/>
      <c r="I273" s="5"/>
      <c r="J273" s="5"/>
      <c r="K273" s="179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88">
        <f>'Données projet'!A247</f>
        <v>0</v>
      </c>
      <c r="B274" s="189">
        <f>'Données projet'!D247</f>
        <v>0</v>
      </c>
      <c r="C274" s="202"/>
      <c r="D274" s="187">
        <f t="shared" si="14"/>
        <v>0</v>
      </c>
      <c r="E274" s="202"/>
      <c r="F274" s="259"/>
      <c r="G274" s="218"/>
      <c r="H274" s="5"/>
      <c r="I274" s="5"/>
      <c r="J274" s="5"/>
      <c r="K274" s="179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88">
        <f>'Données projet'!A248</f>
        <v>0</v>
      </c>
      <c r="B275" s="189">
        <f>'Données projet'!D248</f>
        <v>0</v>
      </c>
      <c r="C275" s="202"/>
      <c r="D275" s="187">
        <f t="shared" si="14"/>
        <v>0</v>
      </c>
      <c r="E275" s="202"/>
      <c r="F275" s="259"/>
      <c r="G275" s="218"/>
      <c r="H275" s="5"/>
      <c r="I275" s="5"/>
      <c r="J275" s="5"/>
      <c r="K275" s="179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88">
        <f>'Données projet'!A249</f>
        <v>0</v>
      </c>
      <c r="B276" s="189">
        <f>'Données projet'!D249</f>
        <v>0</v>
      </c>
      <c r="C276" s="202"/>
      <c r="D276" s="187">
        <f t="shared" si="14"/>
        <v>0</v>
      </c>
      <c r="E276" s="202"/>
      <c r="F276" s="259"/>
      <c r="G276" s="218"/>
      <c r="H276" s="5"/>
      <c r="I276" s="5"/>
      <c r="J276" s="5"/>
      <c r="K276" s="179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88">
        <f>'Données projet'!A250</f>
        <v>0</v>
      </c>
      <c r="B277" s="189">
        <f>'Données projet'!D250</f>
        <v>0</v>
      </c>
      <c r="C277" s="202"/>
      <c r="D277" s="187">
        <f t="shared" si="14"/>
        <v>0</v>
      </c>
      <c r="E277" s="202"/>
      <c r="F277" s="259"/>
      <c r="G277" s="219"/>
      <c r="H277" s="5"/>
      <c r="I277" s="5"/>
      <c r="J277" s="5"/>
      <c r="K277" s="179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88">
        <f>'Données projet'!A251</f>
        <v>0</v>
      </c>
      <c r="B278" s="189">
        <f>'Données projet'!D251</f>
        <v>0</v>
      </c>
      <c r="C278" s="202"/>
      <c r="D278" s="187">
        <f t="shared" si="14"/>
        <v>0</v>
      </c>
      <c r="E278" s="202"/>
      <c r="F278" s="259"/>
      <c r="G278" s="219"/>
      <c r="H278" s="5"/>
      <c r="I278" s="5"/>
      <c r="J278" s="5"/>
      <c r="K278" s="179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88">
        <f>'Données projet'!A252</f>
        <v>0</v>
      </c>
      <c r="B279" s="189">
        <f>'Données projet'!D252</f>
        <v>0</v>
      </c>
      <c r="C279" s="202"/>
      <c r="D279" s="187">
        <f t="shared" si="14"/>
        <v>0</v>
      </c>
      <c r="E279" s="202"/>
      <c r="F279" s="259"/>
      <c r="G279" s="219"/>
      <c r="H279" s="5"/>
      <c r="I279" s="5"/>
      <c r="J279" s="5"/>
      <c r="K279" s="179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88">
        <f>'Données projet'!A253</f>
        <v>0</v>
      </c>
      <c r="B280" s="189">
        <f>'Données projet'!D253</f>
        <v>0</v>
      </c>
      <c r="C280" s="202"/>
      <c r="D280" s="187">
        <f t="shared" si="14"/>
        <v>0</v>
      </c>
      <c r="E280" s="202"/>
      <c r="F280" s="259"/>
      <c r="G280" s="219"/>
      <c r="H280" s="5"/>
      <c r="I280" s="5"/>
      <c r="J280" s="5"/>
      <c r="K280" s="179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88">
        <f>'Données projet'!A254</f>
        <v>0</v>
      </c>
      <c r="B281" s="189">
        <f>'Données projet'!D254</f>
        <v>0</v>
      </c>
      <c r="C281" s="202"/>
      <c r="D281" s="187">
        <f t="shared" si="14"/>
        <v>0</v>
      </c>
      <c r="E281" s="202"/>
      <c r="F281" s="259"/>
      <c r="G281" s="219"/>
      <c r="H281" s="5"/>
      <c r="I281" s="5"/>
      <c r="J281" s="5"/>
      <c r="K281" s="179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88">
        <f>'Données projet'!A255</f>
        <v>0</v>
      </c>
      <c r="B282" s="189">
        <f>'Données projet'!D255</f>
        <v>0</v>
      </c>
      <c r="C282" s="202"/>
      <c r="D282" s="187">
        <f t="shared" si="14"/>
        <v>0</v>
      </c>
      <c r="E282" s="202"/>
      <c r="F282" s="259"/>
      <c r="G282" s="219"/>
      <c r="H282" s="5"/>
      <c r="I282" s="5"/>
      <c r="J282" s="5"/>
      <c r="K282" s="179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88">
        <f>'Données projet'!A256</f>
        <v>0</v>
      </c>
      <c r="B283" s="189">
        <f>'Données projet'!D256</f>
        <v>0</v>
      </c>
      <c r="C283" s="202"/>
      <c r="D283" s="187">
        <f t="shared" si="14"/>
        <v>0</v>
      </c>
      <c r="E283" s="202"/>
      <c r="F283" s="259"/>
      <c r="G283" s="219"/>
      <c r="H283" s="5"/>
      <c r="I283" s="5"/>
      <c r="J283" s="5"/>
      <c r="K283" s="179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88">
        <f>'Données projet'!A257</f>
        <v>0</v>
      </c>
      <c r="B284" s="189">
        <f>'Données projet'!D257</f>
        <v>0</v>
      </c>
      <c r="C284" s="202"/>
      <c r="D284" s="187">
        <f t="shared" si="14"/>
        <v>0</v>
      </c>
      <c r="E284" s="202"/>
      <c r="F284" s="259"/>
      <c r="G284" s="219"/>
      <c r="H284" s="5"/>
      <c r="I284" s="5"/>
      <c r="J284" s="5"/>
      <c r="K284" s="179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88">
        <f>'Données projet'!A258</f>
        <v>0</v>
      </c>
      <c r="B285" s="189">
        <f>'Données projet'!D258</f>
        <v>0</v>
      </c>
      <c r="C285" s="202"/>
      <c r="D285" s="187">
        <f t="shared" si="14"/>
        <v>0</v>
      </c>
      <c r="E285" s="202"/>
      <c r="F285" s="259"/>
      <c r="G285" s="219"/>
      <c r="H285" s="5"/>
      <c r="I285" s="5"/>
      <c r="J285" s="5"/>
      <c r="K285" s="179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88">
        <f>'Données projet'!A259</f>
        <v>0</v>
      </c>
      <c r="B286" s="189">
        <f>'Données projet'!D259</f>
        <v>0</v>
      </c>
      <c r="C286" s="202"/>
      <c r="D286" s="187">
        <f t="shared" si="14"/>
        <v>0</v>
      </c>
      <c r="E286" s="202"/>
      <c r="F286" s="259"/>
      <c r="G286" s="219"/>
      <c r="H286" s="5"/>
      <c r="I286" s="5"/>
      <c r="J286" s="5"/>
      <c r="K286" s="179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88">
        <f>'Données projet'!A260</f>
        <v>0</v>
      </c>
      <c r="B287" s="189">
        <f>'Données projet'!D260</f>
        <v>0</v>
      </c>
      <c r="C287" s="202"/>
      <c r="D287" s="187">
        <f t="shared" si="14"/>
        <v>0</v>
      </c>
      <c r="E287" s="202"/>
      <c r="F287" s="259"/>
      <c r="G287" s="219"/>
      <c r="H287" s="5"/>
      <c r="I287" s="5"/>
      <c r="J287" s="5"/>
      <c r="K287" s="179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88">
        <f>'Données projet'!A261</f>
        <v>0</v>
      </c>
      <c r="B288" s="189">
        <f>'Données projet'!D261</f>
        <v>0</v>
      </c>
      <c r="C288" s="202"/>
      <c r="D288" s="187">
        <f t="shared" si="14"/>
        <v>0</v>
      </c>
      <c r="E288" s="202"/>
      <c r="F288" s="259"/>
      <c r="G288" s="219"/>
      <c r="H288" s="5"/>
      <c r="I288" s="5"/>
      <c r="J288" s="5"/>
      <c r="K288" s="179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88">
        <f>'Données projet'!A262</f>
        <v>0</v>
      </c>
      <c r="B289" s="189">
        <f>'Données projet'!D262</f>
        <v>0</v>
      </c>
      <c r="C289" s="202"/>
      <c r="D289" s="187">
        <f t="shared" si="14"/>
        <v>0</v>
      </c>
      <c r="E289" s="202"/>
      <c r="F289" s="259"/>
      <c r="G289" s="219"/>
      <c r="H289" s="5"/>
      <c r="I289" s="5"/>
      <c r="J289" s="5"/>
      <c r="K289" s="179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88">
        <f>'Données projet'!A263</f>
        <v>0</v>
      </c>
      <c r="B290" s="189">
        <f>'Données projet'!D263</f>
        <v>0</v>
      </c>
      <c r="C290" s="202"/>
      <c r="D290" s="187">
        <f t="shared" si="14"/>
        <v>0</v>
      </c>
      <c r="E290" s="202"/>
      <c r="F290" s="259"/>
      <c r="G290" s="219"/>
      <c r="H290" s="5"/>
      <c r="I290" s="5"/>
      <c r="J290" s="5"/>
      <c r="K290" s="179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57"/>
      <c r="G291" s="219"/>
      <c r="H291" s="5"/>
      <c r="I291" s="5"/>
      <c r="J291" s="5"/>
      <c r="K291" s="179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57"/>
      <c r="G292" s="219"/>
      <c r="H292" s="5"/>
      <c r="I292" s="5"/>
      <c r="J292" s="5"/>
      <c r="K292" s="179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2" t="str">
        <f>IF('Données projet'!$B$18="","",'Données projet'!$B$18)</f>
        <v/>
      </c>
      <c r="C293" s="5"/>
      <c r="D293" s="5"/>
      <c r="E293" s="5"/>
      <c r="F293" s="257"/>
      <c r="G293" s="219"/>
      <c r="H293" s="5"/>
      <c r="I293" s="5"/>
      <c r="J293" s="5"/>
      <c r="K293" s="179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57"/>
      <c r="G294" s="219"/>
      <c r="H294" s="5"/>
      <c r="I294" s="5"/>
      <c r="J294" s="5"/>
      <c r="K294" s="179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3" t="s">
        <v>180</v>
      </c>
      <c r="B295" s="51" t="s">
        <v>256</v>
      </c>
      <c r="C295" s="51" t="s">
        <v>255</v>
      </c>
      <c r="D295" s="253" t="s">
        <v>252</v>
      </c>
      <c r="E295" s="253" t="s">
        <v>320</v>
      </c>
      <c r="F295" s="258"/>
      <c r="G295" s="219"/>
      <c r="H295" s="5"/>
      <c r="I295" s="5"/>
      <c r="J295" s="5"/>
      <c r="K295" s="179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6">
        <v>0</v>
      </c>
      <c r="B296" s="209" t="s">
        <v>132</v>
      </c>
      <c r="C296" s="208" t="s">
        <v>132</v>
      </c>
      <c r="D296" s="207" t="s">
        <v>132</v>
      </c>
      <c r="E296" s="202"/>
      <c r="F296" s="258"/>
      <c r="G296" s="219"/>
      <c r="H296" s="5"/>
      <c r="I296" s="5"/>
      <c r="J296" s="5"/>
      <c r="K296" s="179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6">
        <v>1</v>
      </c>
      <c r="B297" s="209" t="s">
        <v>132</v>
      </c>
      <c r="C297" s="208" t="s">
        <v>132</v>
      </c>
      <c r="D297" s="207" t="s">
        <v>132</v>
      </c>
      <c r="E297" s="202"/>
      <c r="F297" s="258"/>
      <c r="G297" s="217"/>
      <c r="H297" s="5"/>
      <c r="I297" s="5"/>
      <c r="J297" s="5"/>
      <c r="K297" s="179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6">
        <v>2</v>
      </c>
      <c r="B298" s="209" t="s">
        <v>132</v>
      </c>
      <c r="C298" s="208" t="s">
        <v>132</v>
      </c>
      <c r="D298" s="207" t="s">
        <v>132</v>
      </c>
      <c r="E298" s="202"/>
      <c r="F298" s="258"/>
      <c r="G298" s="217"/>
      <c r="H298" s="5"/>
      <c r="I298" s="5"/>
      <c r="J298" s="5"/>
      <c r="K298" s="179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6">
        <v>3</v>
      </c>
      <c r="B299" s="209" t="s">
        <v>132</v>
      </c>
      <c r="C299" s="208" t="s">
        <v>132</v>
      </c>
      <c r="D299" s="207" t="s">
        <v>132</v>
      </c>
      <c r="E299" s="202"/>
      <c r="F299" s="258"/>
      <c r="G299" s="217"/>
      <c r="H299" s="5"/>
      <c r="I299" s="5"/>
      <c r="J299" s="5"/>
      <c r="K299" s="179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6">
        <v>4</v>
      </c>
      <c r="B300" s="209" t="s">
        <v>132</v>
      </c>
      <c r="C300" s="208" t="s">
        <v>132</v>
      </c>
      <c r="D300" s="207" t="s">
        <v>132</v>
      </c>
      <c r="E300" s="202"/>
      <c r="F300" s="258"/>
      <c r="G300" s="217"/>
      <c r="H300" s="5"/>
      <c r="I300" s="5"/>
      <c r="J300" s="5"/>
      <c r="K300" s="179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6">
        <v>5</v>
      </c>
      <c r="B301" s="209" t="s">
        <v>132</v>
      </c>
      <c r="C301" s="208" t="s">
        <v>132</v>
      </c>
      <c r="D301" s="207" t="s">
        <v>132</v>
      </c>
      <c r="E301" s="202"/>
      <c r="F301" s="258"/>
      <c r="G301" s="218"/>
      <c r="H301" s="5"/>
      <c r="I301" s="5"/>
      <c r="J301" s="5"/>
      <c r="K301" s="179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88">
        <f>'Données projet'!A270</f>
        <v>0</v>
      </c>
      <c r="B302" s="189">
        <f>'Données projet'!D270</f>
        <v>0</v>
      </c>
      <c r="C302" s="200"/>
      <c r="D302" s="190">
        <f>B302*C302</f>
        <v>0</v>
      </c>
      <c r="E302" s="202"/>
      <c r="F302" s="260"/>
      <c r="G302" s="218"/>
      <c r="H302" s="5"/>
      <c r="I302" s="5"/>
      <c r="J302" s="5"/>
      <c r="K302" s="179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88">
        <f>'Données projet'!A271</f>
        <v>0</v>
      </c>
      <c r="B303" s="189">
        <f>'Données projet'!D271</f>
        <v>0</v>
      </c>
      <c r="C303" s="200"/>
      <c r="D303" s="190">
        <f t="shared" ref="D303:D321" si="15">B303*C303</f>
        <v>0</v>
      </c>
      <c r="E303" s="202"/>
      <c r="F303" s="260"/>
      <c r="G303" s="218"/>
      <c r="H303" s="5"/>
      <c r="I303" s="5"/>
      <c r="J303" s="5"/>
      <c r="K303" s="179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88">
        <f>'Données projet'!A272</f>
        <v>0</v>
      </c>
      <c r="B304" s="189">
        <f>'Données projet'!D272</f>
        <v>0</v>
      </c>
      <c r="C304" s="200"/>
      <c r="D304" s="190">
        <f t="shared" si="15"/>
        <v>0</v>
      </c>
      <c r="E304" s="202"/>
      <c r="F304" s="260"/>
      <c r="G304" s="218"/>
      <c r="H304" s="5"/>
      <c r="I304" s="5"/>
      <c r="J304" s="5"/>
      <c r="K304" s="179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88">
        <f>'Données projet'!A273</f>
        <v>0</v>
      </c>
      <c r="B305" s="189">
        <f>'Données projet'!D273</f>
        <v>0</v>
      </c>
      <c r="C305" s="200"/>
      <c r="D305" s="190">
        <f t="shared" si="15"/>
        <v>0</v>
      </c>
      <c r="E305" s="202"/>
      <c r="F305" s="260"/>
      <c r="G305" s="218"/>
      <c r="H305" s="5"/>
      <c r="I305" s="5"/>
      <c r="J305" s="5"/>
      <c r="K305" s="179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88">
        <f>'Données projet'!A274</f>
        <v>0</v>
      </c>
      <c r="B306" s="189">
        <f>'Données projet'!D274</f>
        <v>0</v>
      </c>
      <c r="C306" s="200"/>
      <c r="D306" s="190">
        <f t="shared" si="15"/>
        <v>0</v>
      </c>
      <c r="E306" s="202"/>
      <c r="F306" s="260"/>
      <c r="G306" s="218"/>
      <c r="H306" s="5"/>
      <c r="I306" s="5"/>
      <c r="J306" s="5"/>
      <c r="K306" s="179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88">
        <f>'Données projet'!A275</f>
        <v>0</v>
      </c>
      <c r="B307" s="189">
        <f>'Données projet'!D275</f>
        <v>0</v>
      </c>
      <c r="C307" s="200"/>
      <c r="D307" s="190">
        <f t="shared" si="15"/>
        <v>0</v>
      </c>
      <c r="E307" s="202"/>
      <c r="F307" s="260"/>
      <c r="G307" s="218"/>
      <c r="H307" s="5"/>
      <c r="I307" s="5"/>
      <c r="J307" s="5"/>
      <c r="K307" s="179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88">
        <f>'Données projet'!A276</f>
        <v>0</v>
      </c>
      <c r="B308" s="189">
        <f>'Données projet'!D276</f>
        <v>0</v>
      </c>
      <c r="C308" s="200"/>
      <c r="D308" s="190">
        <f t="shared" si="15"/>
        <v>0</v>
      </c>
      <c r="E308" s="202"/>
      <c r="F308" s="260"/>
      <c r="G308" s="214"/>
      <c r="H308" s="5"/>
      <c r="I308" s="5"/>
      <c r="J308" s="5"/>
      <c r="K308" s="179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88">
        <f>'Données projet'!A277</f>
        <v>0</v>
      </c>
      <c r="B309" s="189">
        <f>'Données projet'!D277</f>
        <v>0</v>
      </c>
      <c r="C309" s="200"/>
      <c r="D309" s="190">
        <f t="shared" si="15"/>
        <v>0</v>
      </c>
      <c r="E309" s="202"/>
      <c r="F309" s="260"/>
      <c r="G309" s="214"/>
      <c r="H309" s="5"/>
      <c r="I309" s="5"/>
      <c r="J309" s="5"/>
      <c r="K309" s="179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88">
        <f>'Données projet'!A278</f>
        <v>0</v>
      </c>
      <c r="B310" s="189">
        <f>'Données projet'!D278</f>
        <v>0</v>
      </c>
      <c r="C310" s="200"/>
      <c r="D310" s="190">
        <f t="shared" si="15"/>
        <v>0</v>
      </c>
      <c r="E310" s="202"/>
      <c r="F310" s="260"/>
      <c r="G310" s="214"/>
      <c r="H310" s="5"/>
      <c r="I310" s="5"/>
      <c r="J310" s="5"/>
      <c r="K310" s="179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88">
        <f>'Données projet'!A279</f>
        <v>0</v>
      </c>
      <c r="B311" s="189">
        <f>'Données projet'!D279</f>
        <v>0</v>
      </c>
      <c r="C311" s="200"/>
      <c r="D311" s="190">
        <f t="shared" si="15"/>
        <v>0</v>
      </c>
      <c r="E311" s="202"/>
      <c r="F311" s="260"/>
      <c r="G311" s="214"/>
      <c r="H311" s="5"/>
      <c r="I311" s="5"/>
      <c r="J311" s="5"/>
      <c r="K311" s="179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88">
        <f>'Données projet'!A280</f>
        <v>0</v>
      </c>
      <c r="B312" s="189">
        <f>'Données projet'!D280</f>
        <v>0</v>
      </c>
      <c r="C312" s="200"/>
      <c r="D312" s="190">
        <f t="shared" si="15"/>
        <v>0</v>
      </c>
      <c r="E312" s="202"/>
      <c r="F312" s="260"/>
      <c r="G312" s="214"/>
      <c r="H312" s="5"/>
      <c r="I312" s="5"/>
      <c r="J312" s="5"/>
      <c r="K312" s="179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88">
        <f>'Données projet'!A281</f>
        <v>0</v>
      </c>
      <c r="B313" s="189">
        <f>'Données projet'!D281</f>
        <v>0</v>
      </c>
      <c r="C313" s="200"/>
      <c r="D313" s="190">
        <f t="shared" si="15"/>
        <v>0</v>
      </c>
      <c r="E313" s="202"/>
      <c r="F313" s="260"/>
      <c r="G313" s="214"/>
      <c r="H313" s="5"/>
      <c r="I313" s="5"/>
      <c r="J313" s="5"/>
      <c r="K313" s="179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88">
        <f>'Données projet'!A282</f>
        <v>0</v>
      </c>
      <c r="B314" s="189">
        <f>'Données projet'!D282</f>
        <v>0</v>
      </c>
      <c r="C314" s="200"/>
      <c r="D314" s="190">
        <f t="shared" si="15"/>
        <v>0</v>
      </c>
      <c r="E314" s="202"/>
      <c r="F314" s="260"/>
      <c r="G314" s="214"/>
      <c r="H314" s="5"/>
      <c r="I314" s="5"/>
      <c r="J314" s="5"/>
      <c r="K314" s="179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88">
        <f>'Données projet'!A283</f>
        <v>0</v>
      </c>
      <c r="B315" s="189">
        <f>'Données projet'!D283</f>
        <v>0</v>
      </c>
      <c r="C315" s="200"/>
      <c r="D315" s="190">
        <f t="shared" si="15"/>
        <v>0</v>
      </c>
      <c r="E315" s="202"/>
      <c r="F315" s="260"/>
      <c r="G315" s="214"/>
      <c r="H315" s="5"/>
      <c r="I315" s="5"/>
      <c r="J315" s="5"/>
      <c r="K315" s="179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88">
        <f>'Données projet'!A284</f>
        <v>0</v>
      </c>
      <c r="B316" s="189">
        <f>'Données projet'!D284</f>
        <v>0</v>
      </c>
      <c r="C316" s="200"/>
      <c r="D316" s="190">
        <f t="shared" si="15"/>
        <v>0</v>
      </c>
      <c r="E316" s="202"/>
      <c r="F316" s="260"/>
      <c r="G316" s="214"/>
      <c r="H316" s="5"/>
      <c r="I316" s="5"/>
      <c r="J316" s="5"/>
      <c r="K316" s="179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88">
        <f>'Données projet'!A285</f>
        <v>0</v>
      </c>
      <c r="B317" s="189">
        <f>'Données projet'!D285</f>
        <v>0</v>
      </c>
      <c r="C317" s="200"/>
      <c r="D317" s="190">
        <f t="shared" si="15"/>
        <v>0</v>
      </c>
      <c r="E317" s="202"/>
      <c r="F317" s="260"/>
      <c r="G317" s="214"/>
      <c r="H317" s="5"/>
      <c r="I317" s="5"/>
      <c r="J317" s="5"/>
      <c r="K317" s="179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88">
        <f>'Données projet'!A286</f>
        <v>0</v>
      </c>
      <c r="B318" s="189">
        <f>'Données projet'!D286</f>
        <v>0</v>
      </c>
      <c r="C318" s="200"/>
      <c r="D318" s="190">
        <f t="shared" si="15"/>
        <v>0</v>
      </c>
      <c r="E318" s="202"/>
      <c r="F318" s="260"/>
      <c r="G318" s="214"/>
      <c r="H318" s="5"/>
      <c r="I318" s="5"/>
      <c r="J318" s="5"/>
      <c r="K318" s="179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88">
        <f>'Données projet'!A287</f>
        <v>0</v>
      </c>
      <c r="B319" s="189">
        <f>'Données projet'!D287</f>
        <v>0</v>
      </c>
      <c r="C319" s="200"/>
      <c r="D319" s="190">
        <f t="shared" si="15"/>
        <v>0</v>
      </c>
      <c r="E319" s="202"/>
      <c r="F319" s="260"/>
      <c r="G319" s="214"/>
      <c r="H319" s="5"/>
      <c r="I319" s="5"/>
      <c r="J319" s="5"/>
      <c r="K319" s="179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88">
        <f>'Données projet'!A288</f>
        <v>0</v>
      </c>
      <c r="B320" s="189">
        <f>'Données projet'!D288</f>
        <v>0</v>
      </c>
      <c r="C320" s="200"/>
      <c r="D320" s="190">
        <f t="shared" si="15"/>
        <v>0</v>
      </c>
      <c r="E320" s="202"/>
      <c r="F320" s="260"/>
      <c r="G320" s="214"/>
      <c r="H320" s="5"/>
      <c r="I320" s="5"/>
      <c r="J320" s="5"/>
      <c r="K320" s="179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88">
        <f>'Données projet'!A289</f>
        <v>0</v>
      </c>
      <c r="B321" s="189">
        <f>'Données projet'!D289</f>
        <v>0</v>
      </c>
      <c r="C321" s="205"/>
      <c r="D321" s="190">
        <f t="shared" si="15"/>
        <v>0</v>
      </c>
      <c r="E321" s="202"/>
      <c r="F321" s="260"/>
      <c r="G321" s="214"/>
      <c r="H321" s="5"/>
      <c r="I321" s="5"/>
      <c r="J321" s="5"/>
      <c r="K321" s="179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4"/>
      <c r="H322" s="5"/>
      <c r="I322" s="5"/>
      <c r="J322" s="5"/>
      <c r="K322" s="179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4"/>
      <c r="H323" s="5"/>
      <c r="I323" s="5"/>
      <c r="J323" s="5"/>
      <c r="K323" s="179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4"/>
      <c r="H324" s="5"/>
      <c r="I324" s="5"/>
      <c r="J324" s="5"/>
      <c r="K324" s="179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4"/>
      <c r="H325" s="5"/>
      <c r="I325" s="5"/>
      <c r="J325" s="5"/>
      <c r="K325" s="179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4"/>
      <c r="H326" s="5"/>
      <c r="I326" s="5"/>
      <c r="J326" s="5"/>
      <c r="K326" s="179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4"/>
      <c r="H327" s="5"/>
      <c r="I327" s="5"/>
      <c r="J327" s="5"/>
      <c r="K327" s="179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27"/>
      <c r="G328" s="227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27"/>
      <c r="G329" s="227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27"/>
      <c r="G330" s="227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27"/>
      <c r="G331" s="227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27"/>
      <c r="G332" s="227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27"/>
      <c r="G333" s="227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27"/>
      <c r="G334" s="227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27"/>
      <c r="G335" s="227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27"/>
      <c r="G336" s="227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27"/>
      <c r="G337" s="227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27"/>
      <c r="G338" s="227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27"/>
      <c r="G339" s="227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27"/>
      <c r="G340" s="227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27"/>
      <c r="G341" s="227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27"/>
      <c r="G342" s="227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27"/>
      <c r="G343" s="227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27"/>
      <c r="G344" s="227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27"/>
      <c r="G345" s="227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27"/>
      <c r="G346" s="227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27"/>
      <c r="G347" s="227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27"/>
      <c r="G348" s="227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27"/>
      <c r="G349" s="227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27"/>
      <c r="G350" s="227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27"/>
      <c r="G351" s="227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27"/>
      <c r="G352" s="227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27"/>
      <c r="G353" s="227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27"/>
      <c r="G354" s="227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27"/>
      <c r="G355" s="227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27"/>
      <c r="G356" s="227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27"/>
      <c r="G357" s="227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27"/>
      <c r="G358" s="227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27"/>
      <c r="G359" s="227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27"/>
      <c r="G360" s="227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27"/>
      <c r="G361" s="227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27"/>
      <c r="G362" s="227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27"/>
      <c r="G363" s="227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27"/>
      <c r="G364" s="227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27"/>
      <c r="G365" s="227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27"/>
      <c r="G366" s="227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27"/>
      <c r="G367" s="227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27"/>
      <c r="G368" s="227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27"/>
      <c r="G369" s="227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27"/>
      <c r="G370" s="68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27"/>
      <c r="G371" s="68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27"/>
      <c r="G372" s="68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27"/>
      <c r="G373" s="68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27"/>
      <c r="G374" s="68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27"/>
      <c r="G375" s="68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27"/>
      <c r="G376" s="68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27"/>
      <c r="G377" s="68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27"/>
      <c r="G378" s="68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27"/>
      <c r="G379" s="68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27"/>
      <c r="G380" s="68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27"/>
      <c r="G381" s="68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27"/>
      <c r="G382" s="68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27"/>
      <c r="G383" s="68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27"/>
      <c r="G384" s="68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27"/>
      <c r="G385" s="68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27"/>
      <c r="G386" s="68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27"/>
      <c r="G387" s="68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27"/>
      <c r="G388" s="68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27"/>
      <c r="G389" s="68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27"/>
      <c r="G390" s="68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27"/>
      <c r="G391" s="68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27"/>
      <c r="G392" s="68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27"/>
      <c r="G393" s="68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27"/>
      <c r="G394" s="68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27"/>
      <c r="G395" s="68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68"/>
      <c r="G396" s="68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68"/>
      <c r="G397" s="68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68"/>
      <c r="G398" s="68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68"/>
      <c r="G399" s="68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68"/>
      <c r="G400" s="68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68"/>
      <c r="G401" s="68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68"/>
      <c r="G402" s="68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68"/>
      <c r="G403" s="68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68"/>
      <c r="G404" s="68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68"/>
      <c r="G405" s="68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68"/>
      <c r="G406" s="68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68"/>
      <c r="G407" s="68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68"/>
      <c r="G408" s="68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68"/>
      <c r="G409" s="68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68"/>
      <c r="G410" s="68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68"/>
      <c r="G411" s="68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68"/>
      <c r="G412" s="68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68"/>
      <c r="G413" s="68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68"/>
      <c r="G414" s="68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68"/>
      <c r="G415" s="68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68"/>
      <c r="G416" s="68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68"/>
      <c r="G417" s="68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68"/>
      <c r="G418" s="68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68"/>
      <c r="G419" s="68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68"/>
      <c r="G420" s="68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68"/>
      <c r="G421" s="68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68"/>
      <c r="G422" s="68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68"/>
      <c r="G423" s="68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68"/>
      <c r="G424" s="68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68"/>
      <c r="G425" s="68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68"/>
      <c r="G426" s="68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68"/>
      <c r="G427" s="68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68"/>
      <c r="G428" s="68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68"/>
      <c r="G429" s="68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68"/>
      <c r="G430" s="68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68"/>
      <c r="G431" s="68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68"/>
      <c r="G432" s="68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68"/>
      <c r="G433" s="68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68"/>
      <c r="G434" s="68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68"/>
      <c r="G435" s="68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68"/>
      <c r="G436" s="68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68"/>
      <c r="G437" s="68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68"/>
      <c r="G438" s="68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68"/>
      <c r="G439" s="68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68"/>
      <c r="G440" s="68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68"/>
      <c r="G441" s="68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Geoffrey.Rombaut</cp:lastModifiedBy>
  <dcterms:created xsi:type="dcterms:W3CDTF">2021-02-01T08:22:39Z</dcterms:created>
  <dcterms:modified xsi:type="dcterms:W3CDTF">2023-03-15T17:34:23Z</dcterms:modified>
</cp:coreProperties>
</file>