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Documents\1_Projets\86 - Savigny-Levescault\"/>
    </mc:Choice>
  </mc:AlternateContent>
  <bookViews>
    <workbookView xWindow="0" yWindow="0" windowWidth="11748" windowHeight="5316" tabRatio="730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4" i="1" l="1"/>
  <c r="D94" i="1"/>
  <c r="B93" i="1"/>
  <c r="B92" i="1"/>
  <c r="D91" i="1"/>
  <c r="B91" i="1"/>
  <c r="B105" i="1"/>
  <c r="B103" i="1"/>
  <c r="B101" i="1"/>
  <c r="B99" i="1"/>
  <c r="B97" i="1"/>
  <c r="B95" i="1"/>
  <c r="D100" i="1" l="1"/>
  <c r="B100" i="1"/>
  <c r="D98" i="1"/>
  <c r="B98" i="1"/>
  <c r="D96" i="1"/>
  <c r="B96" i="1"/>
  <c r="B90" i="1"/>
  <c r="B89" i="1"/>
  <c r="B88" i="1"/>
  <c r="B120" i="1" l="1"/>
  <c r="D120" i="1" s="1"/>
  <c r="B119" i="1"/>
  <c r="D119" i="1" s="1"/>
  <c r="B118" i="1"/>
  <c r="D118" i="1" s="1"/>
  <c r="B117" i="1"/>
  <c r="D117" i="1" s="1"/>
  <c r="D116" i="1"/>
  <c r="B116" i="1"/>
  <c r="D115" i="1"/>
  <c r="B115" i="1"/>
  <c r="B114" i="1"/>
  <c r="E22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Q4" i="2"/>
  <c r="FR4" i="2"/>
  <c r="BR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A7" i="2"/>
  <c r="EV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EB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X18" i="2"/>
  <c r="EA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HG20" i="2"/>
  <c r="EV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W22" i="2"/>
  <c r="EC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HG28" i="2"/>
  <c r="EC28" i="2"/>
  <c r="EV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B33" i="2"/>
  <c r="EW33" i="2"/>
  <c r="EV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CM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A38" i="2"/>
  <c r="HH38" i="2"/>
  <c r="EX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A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EV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C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EW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C85" i="2"/>
  <c r="HI85" i="2"/>
  <c r="HG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HH105" i="2"/>
  <c r="EV105" i="2"/>
  <c r="EB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B113" i="2"/>
  <c r="HI113" i="2"/>
  <c r="EX113" i="2"/>
  <c r="EW113" i="2"/>
  <c r="FS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HH122" i="2"/>
  <c r="EW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EA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B128" i="2"/>
  <c r="EX128" i="2"/>
  <c r="FS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EW130" i="2"/>
  <c r="FS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FS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HG140" i="2"/>
  <c r="EB140" i="2"/>
  <c r="EC140" i="2"/>
  <c r="EX140" i="2"/>
  <c r="FS140" i="2"/>
  <c r="FR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A141" i="2"/>
  <c r="EB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HH144" i="2"/>
  <c r="EA144" i="2"/>
  <c r="EX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A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C150" i="2"/>
  <c r="HI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DI154" i="2"/>
  <c r="HH155" i="2"/>
  <c r="HG155" i="2"/>
  <c r="ED154" i="2"/>
  <c r="EX155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HI156" i="2"/>
  <c r="HG156" i="2"/>
  <c r="DH156" i="2"/>
  <c r="HH156" i="2"/>
  <c r="AB156" i="2"/>
  <c r="EX156" i="2"/>
  <c r="FS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C157" i="2"/>
  <c r="EB157" i="2"/>
  <c r="CN156" i="2"/>
  <c r="EX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HH159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EY159" i="2"/>
  <c r="HI160" i="2"/>
  <c r="HG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D161" i="2"/>
  <c r="EC162" i="2"/>
  <c r="HH162" i="2"/>
  <c r="EB162" i="2"/>
  <c r="EW162" i="2"/>
  <c r="EY161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HG163" i="2"/>
  <c r="ED162" i="2"/>
  <c r="HH163" i="2"/>
  <c r="EY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H164" i="2" l="1"/>
  <c r="ED163" i="2"/>
  <c r="HH164" i="2"/>
  <c r="HG164" i="2"/>
  <c r="EY163" i="2"/>
  <c r="EX164" i="2"/>
  <c r="EV164" i="2"/>
  <c r="EA164" i="2"/>
  <c r="FR164" i="2"/>
  <c r="FS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G165" i="2"/>
  <c r="EX165" i="2"/>
  <c r="HH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EC166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DG167" i="2"/>
  <c r="HH167" i="2"/>
  <c r="HI167" i="2"/>
  <c r="EC167" i="2"/>
  <c r="EX167" i="2"/>
  <c r="FR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EC168" i="2"/>
  <c r="DG168" i="2"/>
  <c r="HH168" i="2"/>
  <c r="EB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H169" i="2"/>
  <c r="EY168" i="2"/>
  <c r="EB169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V172" i="2"/>
  <c r="EA172" i="2"/>
  <c r="HI172" i="2"/>
  <c r="EY171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W173" i="2"/>
  <c r="EB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A175" i="2" l="1"/>
  <c r="AA175" i="2"/>
  <c r="ED174" i="2"/>
  <c r="EW175" i="2"/>
  <c r="EB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EC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Q178" i="2"/>
  <c r="FS178" i="2"/>
  <c r="EA178" i="2"/>
  <c r="EB178" i="2"/>
  <c r="ED177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DF179" i="2"/>
  <c r="EA179" i="2"/>
  <c r="HG179" i="2"/>
  <c r="HI179" i="2"/>
  <c r="ED178" i="2"/>
  <c r="EB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HG180" i="2"/>
  <c r="EY179" i="2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HH185" i="2"/>
  <c r="HG185" i="2"/>
  <c r="EY184" i="2"/>
  <c r="EV185" i="2"/>
  <c r="EA185" i="2"/>
  <c r="EB185" i="2"/>
  <c r="ED184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D185" i="2"/>
  <c r="HG186" i="2"/>
  <c r="HH186" i="2"/>
  <c r="EA186" i="2"/>
  <c r="EW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HG187" i="2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Y188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HG190" i="2"/>
  <c r="EY189" i="2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W191" i="2"/>
  <c r="HH191" i="2"/>
  <c r="ED190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Y191" i="2"/>
  <c r="HG192" i="2"/>
  <c r="EV192" i="2"/>
  <c r="HH192" i="2"/>
  <c r="EW192" i="2"/>
  <c r="EC192" i="2"/>
  <c r="EA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HI193" i="2"/>
  <c r="EY192" i="2"/>
  <c r="EB193" i="2"/>
  <c r="EA193" i="2"/>
  <c r="EX193" i="2"/>
  <c r="FQ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HI194" i="2"/>
  <c r="HG194" i="2"/>
  <c r="CN193" i="2"/>
  <c r="FQ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DH195" i="2"/>
  <c r="EB195" i="2"/>
  <c r="AA195" i="2"/>
  <c r="EA195" i="2"/>
  <c r="HI195" i="2"/>
  <c r="EX195" i="2"/>
  <c r="FQ195" i="2"/>
  <c r="EY194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W196" i="2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H197" i="2"/>
  <c r="EA197" i="2"/>
  <c r="EW197" i="2"/>
  <c r="EY196" i="2"/>
  <c r="FS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B199" i="2"/>
  <c r="EV199" i="2"/>
  <c r="HH199" i="2"/>
  <c r="EW199" i="2"/>
  <c r="HG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HH201" i="2"/>
  <c r="HG201" i="2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FS202" i="2"/>
  <c r="HI202" i="2"/>
  <c r="EY201" i="2"/>
  <c r="HG202" i="2"/>
  <c r="HH202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86" i="2" a="1"/>
  <c r="DN186" i="2" s="1"/>
  <c r="DN50" i="2" a="1"/>
  <c r="DN50" i="2" s="1"/>
  <c r="DN66" i="2" a="1"/>
  <c r="DN66" i="2" s="1"/>
  <c r="CS116" i="2" a="1"/>
  <c r="CS116" i="2" s="1"/>
  <c r="EI195" i="2" a="1"/>
  <c r="EI195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" i="2" a="1"/>
  <c r="DN16" i="2" s="1"/>
  <c r="DN190" i="2" a="1"/>
  <c r="DN190" i="2" s="1"/>
  <c r="DN176" i="2" a="1"/>
  <c r="DN176" i="2" s="1"/>
  <c r="DN6" i="2" a="1"/>
  <c r="DN6" i="2" s="1"/>
  <c r="DO6" i="2" s="1"/>
  <c r="DN30" i="2" a="1"/>
  <c r="DN30" i="2" s="1"/>
  <c r="DN45" i="2" a="1"/>
  <c r="DN45" i="2" s="1"/>
  <c r="FD82" i="2" a="1"/>
  <c r="FD82" i="2" s="1"/>
  <c r="DN187" i="2" a="1"/>
  <c r="DN187" i="2" s="1"/>
  <c r="HJ202" i="2"/>
  <c r="AX200" i="2"/>
  <c r="BC34" i="2" l="1" a="1"/>
  <c r="BC34" i="2" s="1"/>
  <c r="CS66" i="2" a="1"/>
  <c r="CS66" i="2" s="1"/>
  <c r="CS38" i="2" a="1"/>
  <c r="CS38" i="2" s="1"/>
  <c r="AH90" i="2" a="1"/>
  <c r="AH90" i="2" s="1"/>
  <c r="DN133" i="2" a="1"/>
  <c r="DN133" i="2" s="1"/>
  <c r="DN162" i="2" a="1"/>
  <c r="DN162" i="2" s="1"/>
  <c r="DN114" i="2" a="1"/>
  <c r="DN114" i="2" s="1"/>
  <c r="DN188" i="2" a="1"/>
  <c r="DN188" i="2" s="1"/>
  <c r="DN113" i="2" a="1"/>
  <c r="DN113" i="2" s="1"/>
  <c r="DN137" i="2" a="1"/>
  <c r="DN137" i="2" s="1"/>
  <c r="DN65" i="2" a="1"/>
  <c r="DN65" i="2" s="1"/>
  <c r="DN49" i="2" a="1"/>
  <c r="DN49" i="2" s="1"/>
  <c r="DN103" i="2" a="1"/>
  <c r="DN103" i="2" s="1"/>
  <c r="DN86" i="2" a="1"/>
  <c r="DN86" i="2" s="1"/>
  <c r="DN25" i="2" a="1"/>
  <c r="DN25" i="2" s="1"/>
  <c r="DN124" i="2" a="1"/>
  <c r="DN124" i="2" s="1"/>
  <c r="DN132" i="2" a="1"/>
  <c r="DN132" i="2" s="1"/>
  <c r="DN70" i="2" a="1"/>
  <c r="DN70" i="2" s="1"/>
  <c r="DN164" i="2" a="1"/>
  <c r="DN164" i="2" s="1"/>
  <c r="DN123" i="2" a="1"/>
  <c r="DN123" i="2" s="1"/>
  <c r="DN177" i="2" a="1"/>
  <c r="DN177" i="2" s="1"/>
  <c r="DN184" i="2" a="1"/>
  <c r="DN184" i="2" s="1"/>
  <c r="DN55" i="2" a="1"/>
  <c r="DN55" i="2" s="1"/>
  <c r="DN135" i="2" a="1"/>
  <c r="DN135" i="2" s="1"/>
  <c r="DN115" i="2" a="1"/>
  <c r="DN115" i="2" s="1"/>
  <c r="DN152" i="2" a="1"/>
  <c r="DN152" i="2" s="1"/>
  <c r="DN155" i="2" a="1"/>
  <c r="DN155" i="2" s="1"/>
  <c r="DN56" i="2" a="1"/>
  <c r="DN56" i="2" s="1"/>
  <c r="DN46" i="2" a="1"/>
  <c r="DN46" i="2" s="1"/>
  <c r="DN110" i="2" a="1"/>
  <c r="DN110" i="2" s="1"/>
  <c r="DN38" i="2" a="1"/>
  <c r="DN38" i="2" s="1"/>
  <c r="DN153" i="2" a="1"/>
  <c r="DN153" i="2" s="1"/>
  <c r="DN29" i="2" a="1"/>
  <c r="DN29" i="2" s="1"/>
  <c r="DN31" i="2" a="1"/>
  <c r="DN31" i="2" s="1"/>
  <c r="DN80" i="2" a="1"/>
  <c r="DN80" i="2" s="1"/>
  <c r="DN150" i="2" a="1"/>
  <c r="DN150" i="2" s="1"/>
  <c r="DN170" i="2" a="1"/>
  <c r="DN170" i="2" s="1"/>
  <c r="DN41" i="2" a="1"/>
  <c r="DN41" i="2" s="1"/>
  <c r="DN167" i="2" a="1"/>
  <c r="DN167" i="2" s="1"/>
  <c r="DN168" i="2" a="1"/>
  <c r="DN168" i="2" s="1"/>
  <c r="DN63" i="2" a="1"/>
  <c r="DN63" i="2" s="1"/>
  <c r="DN192" i="2" a="1"/>
  <c r="DN192" i="2" s="1"/>
  <c r="DN129" i="2" a="1"/>
  <c r="DN129" i="2" s="1"/>
  <c r="DN43" i="2" a="1"/>
  <c r="DN43" i="2" s="1"/>
  <c r="EY202" i="2"/>
  <c r="CS24" i="2" a="1"/>
  <c r="CS24" i="2" s="1"/>
  <c r="CS120" i="2" a="1"/>
  <c r="CS120" i="2" s="1"/>
  <c r="AH19" i="2" a="1"/>
  <c r="AH19" i="2" s="1"/>
  <c r="AH92" i="2" a="1"/>
  <c r="AH92" i="2" s="1"/>
  <c r="CS105" i="2" a="1"/>
  <c r="CS105" i="2" s="1"/>
  <c r="CS77" i="2" a="1"/>
  <c r="CS77" i="2" s="1"/>
  <c r="CS161" i="2" a="1"/>
  <c r="CS161" i="2" s="1"/>
  <c r="BX107" i="2" a="1"/>
  <c r="BX107" i="2" s="1"/>
  <c r="CS114" i="2" a="1"/>
  <c r="CS114" i="2" s="1"/>
  <c r="AH163" i="2" a="1"/>
  <c r="AH163" i="2" s="1"/>
  <c r="CS56" i="2" a="1"/>
  <c r="CS56" i="2" s="1"/>
  <c r="AH62" i="2" a="1"/>
  <c r="AH62" i="2" s="1"/>
  <c r="AH151" i="2" a="1"/>
  <c r="AH151" i="2" s="1"/>
  <c r="CS72" i="2" a="1"/>
  <c r="CS72" i="2" s="1"/>
  <c r="AH199" i="2" a="1"/>
  <c r="AH199" i="2" s="1"/>
  <c r="CS137" i="2" a="1"/>
  <c r="CS137" i="2" s="1"/>
  <c r="CS129" i="2" a="1"/>
  <c r="CS129" i="2" s="1"/>
  <c r="FD144" i="2" a="1"/>
  <c r="FD144" i="2" s="1"/>
  <c r="CS134" i="2" a="1"/>
  <c r="CS134" i="2" s="1"/>
  <c r="CS185" i="2" a="1"/>
  <c r="CS185" i="2" s="1"/>
  <c r="AH166" i="2" a="1"/>
  <c r="AH166" i="2" s="1"/>
  <c r="CS52" i="2" a="1"/>
  <c r="CS52" i="2" s="1"/>
  <c r="FY47" i="2" a="1"/>
  <c r="FY47" i="2" s="1"/>
  <c r="FY58" i="2" a="1"/>
  <c r="FY58" i="2" s="1"/>
  <c r="FY164" i="2" a="1"/>
  <c r="FY164" i="2" s="1"/>
  <c r="FY152" i="2" a="1"/>
  <c r="FY152" i="2" s="1"/>
  <c r="FY80" i="2" a="1"/>
  <c r="FY80" i="2" s="1"/>
  <c r="FY196" i="2" a="1"/>
  <c r="FY196" i="2" s="1"/>
  <c r="FY172" i="2" a="1"/>
  <c r="FY172" i="2" s="1"/>
  <c r="FY102" i="2" a="1"/>
  <c r="FY102" i="2" s="1"/>
  <c r="FY62" i="2" a="1"/>
  <c r="FY62" i="2" s="1"/>
  <c r="FY28" i="2" a="1"/>
  <c r="FY28" i="2" s="1"/>
  <c r="FY99" i="2" a="1"/>
  <c r="FY99" i="2" s="1"/>
  <c r="FY159" i="2" a="1"/>
  <c r="FY159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133" i="2" a="1"/>
  <c r="FY133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121" i="2" a="1"/>
  <c r="FY121" i="2" s="1"/>
  <c r="FY182" i="2" a="1"/>
  <c r="FY182" i="2" s="1"/>
  <c r="FY24" i="2" a="1"/>
  <c r="FY24" i="2" s="1"/>
  <c r="FY55" i="2" a="1"/>
  <c r="FY55" i="2" s="1"/>
  <c r="FY92" i="2" a="1"/>
  <c r="FY92" i="2" s="1"/>
  <c r="FY191" i="2" a="1"/>
  <c r="FY191" i="2" s="1"/>
  <c r="FY167" i="2" a="1"/>
  <c r="FY167" i="2" s="1"/>
  <c r="FY115" i="2" a="1"/>
  <c r="FY115" i="2" s="1"/>
  <c r="FY124" i="2" a="1"/>
  <c r="FY124" i="2" s="1"/>
  <c r="FY126" i="2" a="1"/>
  <c r="FY126" i="2" s="1"/>
  <c r="FY111" i="2" a="1"/>
  <c r="FY111" i="2" s="1"/>
  <c r="FY110" i="2" a="1"/>
  <c r="FY110" i="2" s="1"/>
  <c r="FY142" i="2" a="1"/>
  <c r="FY142" i="2" s="1"/>
  <c r="FY86" i="2" a="1"/>
  <c r="FY86" i="2" s="1"/>
  <c r="FY169" i="2" a="1"/>
  <c r="FY169" i="2" s="1"/>
  <c r="FY188" i="2" a="1"/>
  <c r="FY188" i="2" s="1"/>
  <c r="FY73" i="2" a="1"/>
  <c r="FY73" i="2" s="1"/>
  <c r="FY153" i="2" a="1"/>
  <c r="FY153" i="2" s="1"/>
  <c r="FY30" i="2" a="1"/>
  <c r="FY30" i="2" s="1"/>
  <c r="FY104" i="2" a="1"/>
  <c r="FY104" i="2" s="1"/>
  <c r="FY190" i="2" a="1"/>
  <c r="FY190" i="2" s="1"/>
  <c r="FY78" i="2" a="1"/>
  <c r="FY78" i="2" s="1"/>
  <c r="FY186" i="2" a="1"/>
  <c r="FY186" i="2" s="1"/>
  <c r="FY69" i="2" a="1"/>
  <c r="FY69" i="2" s="1"/>
  <c r="FY50" i="2" a="1"/>
  <c r="FY50" i="2" s="1"/>
  <c r="FY66" i="2" a="1"/>
  <c r="FY66" i="2" s="1"/>
  <c r="FY120" i="2" a="1"/>
  <c r="FY120" i="2" s="1"/>
  <c r="FY71" i="2" a="1"/>
  <c r="FY71" i="2" s="1"/>
  <c r="FY18" i="2" a="1"/>
  <c r="FY18" i="2" s="1"/>
  <c r="FY146" i="2" a="1"/>
  <c r="FY146" i="2" s="1"/>
  <c r="FY140" i="2" a="1"/>
  <c r="FY140" i="2" s="1"/>
  <c r="FY29" i="2" a="1"/>
  <c r="FY29" i="2" s="1"/>
  <c r="FY35" i="2" a="1"/>
  <c r="FY35" i="2" s="1"/>
  <c r="FY165" i="2" a="1"/>
  <c r="FY165" i="2" s="1"/>
  <c r="FY22" i="2" a="1"/>
  <c r="FY22" i="2" s="1"/>
  <c r="FY79" i="2" a="1"/>
  <c r="FY79" i="2" s="1"/>
  <c r="FY32" i="2" a="1"/>
  <c r="FY32" i="2" s="1"/>
  <c r="FY90" i="2" a="1"/>
  <c r="FY90" i="2" s="1"/>
  <c r="FY54" i="2" a="1"/>
  <c r="FY54" i="2" s="1"/>
  <c r="FY109" i="2" a="1"/>
  <c r="FY109" i="2" s="1"/>
  <c r="HG203" i="2"/>
  <c r="FY57" i="2" a="1"/>
  <c r="FY57" i="2" s="1"/>
  <c r="FR203" i="2"/>
  <c r="HH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ED203" i="2"/>
  <c r="FT203" i="2"/>
  <c r="DI203" i="2"/>
  <c r="EY203" i="2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11" i="2" l="1"/>
  <c r="GE85" i="2"/>
  <c r="GE88" i="2"/>
  <c r="GE35" i="2"/>
  <c r="GE135" i="2"/>
  <c r="GE20" i="2"/>
  <c r="GE150" i="2"/>
  <c r="GE21" i="2"/>
  <c r="GE7" i="2"/>
  <c r="GE181" i="2"/>
  <c r="GE183" i="2"/>
  <c r="GE122" i="2"/>
  <c r="GE152" i="2"/>
  <c r="GE56" i="2"/>
  <c r="GE34" i="2"/>
  <c r="GE123" i="2"/>
  <c r="GE112" i="2"/>
  <c r="GE87" i="2"/>
  <c r="GE157" i="2"/>
  <c r="GE191" i="2"/>
  <c r="GE192" i="2"/>
  <c r="GE58" i="2"/>
  <c r="GE90" i="2"/>
  <c r="GE153" i="2"/>
  <c r="GE159" i="2"/>
  <c r="GE42" i="2"/>
  <c r="GE24" i="2"/>
  <c r="GE59" i="2"/>
  <c r="GE78" i="2"/>
  <c r="GE9" i="2"/>
  <c r="GE71" i="2"/>
  <c r="GE169" i="2"/>
  <c r="GE14" i="2"/>
  <c r="GE53" i="2"/>
  <c r="GE155" i="2"/>
  <c r="GE36" i="2"/>
  <c r="GE142" i="2"/>
  <c r="GE102" i="2"/>
  <c r="GE182" i="2"/>
  <c r="GE65" i="2"/>
  <c r="GE50" i="2"/>
  <c r="GE64" i="2"/>
  <c r="GE173" i="2"/>
  <c r="GE81" i="2"/>
  <c r="GE107" i="2"/>
  <c r="GE113" i="2"/>
  <c r="GE141" i="2"/>
  <c r="GE143" i="2"/>
  <c r="GE109" i="2"/>
  <c r="GE174" i="2"/>
  <c r="GE80" i="2"/>
  <c r="GE100" i="2"/>
  <c r="GE138" i="2"/>
  <c r="GE110" i="2"/>
  <c r="GE94" i="2"/>
  <c r="GE77" i="2"/>
  <c r="GE33" i="2"/>
  <c r="GE195" i="2"/>
  <c r="GE25" i="2"/>
  <c r="GE62" i="2"/>
  <c r="GE43" i="2"/>
  <c r="GE26" i="2"/>
  <c r="GE154" i="2"/>
  <c r="GE149" i="2"/>
  <c r="GE111" i="2"/>
  <c r="GE175" i="2"/>
  <c r="GE15" i="2"/>
  <c r="GE120" i="2"/>
  <c r="GE124" i="2"/>
  <c r="GE22" i="2"/>
  <c r="GE106" i="2"/>
  <c r="GE196" i="2"/>
  <c r="GE68" i="2"/>
  <c r="GE148" i="2"/>
  <c r="GE52" i="2"/>
  <c r="GE146" i="2"/>
  <c r="GE98" i="2"/>
  <c r="GE55" i="2"/>
  <c r="GE167" i="2"/>
  <c r="GE119" i="2"/>
  <c r="GE202" i="2"/>
  <c r="GE79" i="2"/>
  <c r="GE28" i="2"/>
  <c r="GE201" i="2"/>
  <c r="GE48" i="2"/>
  <c r="GE117" i="2"/>
  <c r="GE66" i="2"/>
  <c r="GE30" i="2"/>
  <c r="GE18" i="2"/>
  <c r="GE70" i="2"/>
  <c r="GE61" i="2"/>
  <c r="GE76" i="2"/>
  <c r="GE132" i="2"/>
  <c r="GE131" i="2"/>
  <c r="GE172" i="2"/>
  <c r="GE31" i="2"/>
  <c r="GE51" i="2"/>
  <c r="GE72" i="2"/>
  <c r="GE32" i="2"/>
  <c r="GE93" i="2"/>
  <c r="GE125" i="2"/>
  <c r="GE17" i="2"/>
  <c r="GE49" i="2"/>
  <c r="GE178" i="2"/>
  <c r="GE27" i="2"/>
  <c r="GE92" i="2"/>
  <c r="GE12" i="2"/>
  <c r="GE60" i="2"/>
  <c r="GE101" i="2"/>
  <c r="GE91" i="2"/>
  <c r="GE144" i="2"/>
  <c r="GE161" i="2"/>
  <c r="GE23" i="2"/>
  <c r="GE97" i="2"/>
  <c r="GE186" i="2"/>
  <c r="GE164" i="2"/>
  <c r="GE108" i="2"/>
  <c r="GE200" i="2"/>
  <c r="GE129" i="2"/>
  <c r="GE5" i="2"/>
  <c r="GE41" i="2"/>
  <c r="GE103" i="2"/>
  <c r="GE95" i="2"/>
  <c r="GE177" i="2"/>
  <c r="GE104" i="2"/>
  <c r="GE133" i="2"/>
  <c r="GE105" i="2"/>
  <c r="GE83" i="2"/>
  <c r="GE121" i="2"/>
  <c r="GE145" i="2"/>
  <c r="GE180" i="2"/>
  <c r="GE99" i="2"/>
  <c r="GE10" i="2"/>
  <c r="GE158" i="2"/>
  <c r="GE47" i="2"/>
  <c r="GE198" i="2"/>
  <c r="GE86" i="2"/>
  <c r="GE189" i="2"/>
  <c r="GE40" i="2"/>
  <c r="GE185" i="2"/>
  <c r="GE63" i="2"/>
  <c r="GE84" i="2"/>
  <c r="GE116" i="2"/>
  <c r="GE171" i="2"/>
  <c r="GE139" i="2"/>
  <c r="GE45" i="2"/>
  <c r="GE67" i="2"/>
  <c r="GE126" i="2"/>
  <c r="GE29" i="2"/>
  <c r="GE134" i="2"/>
  <c r="GE137" i="2"/>
  <c r="GE162" i="2"/>
  <c r="GE19" i="2"/>
  <c r="GE73" i="2"/>
  <c r="GE114" i="2"/>
  <c r="GE74" i="2"/>
  <c r="GE184" i="2"/>
  <c r="GE147" i="2"/>
  <c r="GE165" i="2"/>
  <c r="GE166" i="2"/>
  <c r="GE37" i="2"/>
  <c r="GE156" i="2"/>
  <c r="GE8" i="2"/>
  <c r="GE163" i="2"/>
  <c r="GE89" i="2"/>
  <c r="GE187" i="2"/>
  <c r="GE160" i="2"/>
  <c r="GE128" i="2"/>
  <c r="GE127" i="2"/>
  <c r="GE54" i="2"/>
  <c r="GE6" i="2"/>
  <c r="GE176" i="2"/>
  <c r="GE4" i="2"/>
  <c r="GE190" i="2"/>
  <c r="GE39" i="2"/>
  <c r="GE193" i="2"/>
  <c r="GE96" i="2"/>
  <c r="GE199" i="2"/>
  <c r="GE118" i="2"/>
  <c r="GE197" i="2"/>
  <c r="GE136" i="2"/>
  <c r="GE130" i="2"/>
  <c r="GE151" i="2"/>
  <c r="GE38" i="2"/>
  <c r="GE16" i="2"/>
  <c r="GE170" i="2"/>
  <c r="GE69" i="2"/>
  <c r="GE179" i="2"/>
  <c r="GE75" i="2"/>
  <c r="GE44" i="2"/>
  <c r="GE194" i="2"/>
  <c r="GE203" i="2"/>
  <c r="GE168" i="2"/>
  <c r="GE140" i="2"/>
  <c r="GE13" i="2"/>
  <c r="GE57" i="2"/>
  <c r="GE188" i="2"/>
  <c r="GE46" i="2"/>
  <c r="GE115" i="2"/>
  <c r="GE82" i="2"/>
  <c r="GE3" i="2"/>
  <c r="C14" i="4" s="1"/>
  <c r="E14" i="4" s="1"/>
  <c r="F14" i="4" s="1"/>
  <c r="G14" i="4" s="1"/>
  <c r="L14" i="4" s="1"/>
  <c r="CD60" i="2"/>
  <c r="CD70" i="2"/>
  <c r="CD122" i="2"/>
  <c r="CD176" i="2"/>
  <c r="CD146" i="2"/>
  <c r="CD42" i="2"/>
  <c r="CD190" i="2"/>
  <c r="CD174" i="2"/>
  <c r="CD95" i="2"/>
  <c r="CD172" i="2"/>
  <c r="CD32" i="2"/>
  <c r="CD173" i="2"/>
  <c r="CD47" i="2"/>
  <c r="CD111" i="2"/>
  <c r="CD86" i="2"/>
  <c r="CD105" i="2"/>
  <c r="CD197" i="2"/>
  <c r="CD183" i="2"/>
  <c r="CD6" i="2"/>
  <c r="CD46" i="2"/>
  <c r="CD69" i="2"/>
  <c r="CD28" i="2"/>
  <c r="CD62" i="2"/>
  <c r="CD35" i="2"/>
  <c r="CD29" i="2"/>
  <c r="CD77" i="2"/>
  <c r="CD10" i="2"/>
  <c r="CD72" i="2"/>
  <c r="CD18" i="2"/>
  <c r="CD90" i="2"/>
  <c r="CD103" i="2"/>
  <c r="CD50" i="2"/>
  <c r="CD106" i="2"/>
  <c r="CD9" i="2"/>
  <c r="CD141" i="2"/>
  <c r="CD148" i="2"/>
  <c r="CD125" i="2"/>
  <c r="CD19" i="2"/>
  <c r="CD89" i="2"/>
  <c r="CD3" i="2"/>
  <c r="C9" i="4" s="1"/>
  <c r="E9" i="4" s="1"/>
  <c r="F9" i="4" s="1"/>
  <c r="G9" i="4" s="1"/>
  <c r="L9" i="4" s="1"/>
  <c r="CD107" i="2"/>
  <c r="CD91" i="2"/>
  <c r="CD45" i="2"/>
  <c r="CD120" i="2"/>
  <c r="CD85" i="2"/>
  <c r="CD51" i="2"/>
  <c r="CD127" i="2"/>
  <c r="CD175" i="2"/>
  <c r="CD8" i="2"/>
  <c r="CD145" i="2"/>
  <c r="CD55" i="2"/>
  <c r="CD166" i="2"/>
  <c r="CD118" i="2"/>
  <c r="CD159" i="2"/>
  <c r="CD203" i="2"/>
  <c r="CD73" i="2"/>
  <c r="CD41" i="2"/>
  <c r="CD22" i="2"/>
  <c r="CD57" i="2"/>
  <c r="CD151" i="2"/>
  <c r="CD26" i="2"/>
  <c r="CD36" i="2"/>
  <c r="CD143" i="2"/>
  <c r="CD192" i="2"/>
  <c r="CD78" i="2"/>
  <c r="CD126" i="2"/>
  <c r="CD150" i="2"/>
  <c r="CD153" i="2"/>
  <c r="CD119" i="2"/>
  <c r="CD200" i="2"/>
  <c r="CD124" i="2"/>
  <c r="CD44" i="2"/>
  <c r="CD132" i="2"/>
  <c r="CD24" i="2"/>
  <c r="CD180" i="2"/>
  <c r="CD30" i="2"/>
  <c r="CD48" i="2"/>
  <c r="CD113" i="2"/>
  <c r="CD54" i="2"/>
  <c r="CD186" i="2"/>
  <c r="CD74" i="2"/>
  <c r="CD152" i="2"/>
  <c r="CD34" i="2"/>
  <c r="CD64" i="2"/>
  <c r="CD83" i="2"/>
  <c r="CD31" i="2"/>
  <c r="CD194" i="2"/>
  <c r="CD182" i="2"/>
  <c r="CD161" i="2"/>
  <c r="CD4" i="2"/>
  <c r="CD43" i="2"/>
  <c r="CD67" i="2"/>
  <c r="CD115" i="2"/>
  <c r="CD137" i="2"/>
  <c r="CD185" i="2"/>
  <c r="CD80" i="2"/>
  <c r="CD93" i="2"/>
  <c r="CD112" i="2"/>
  <c r="CD138" i="2"/>
  <c r="CD100" i="2"/>
  <c r="CD68" i="2"/>
  <c r="CD168" i="2"/>
  <c r="CD110" i="2"/>
  <c r="CD104" i="2"/>
  <c r="CD196" i="2"/>
  <c r="CD163" i="2"/>
  <c r="CD156" i="2"/>
  <c r="CD82" i="2"/>
  <c r="CD179" i="2"/>
  <c r="CD198" i="2"/>
  <c r="CD27" i="2"/>
  <c r="CD76" i="2"/>
  <c r="CD37" i="2"/>
  <c r="CD147" i="2"/>
  <c r="CD61" i="2"/>
  <c r="CD189" i="2"/>
  <c r="CD139" i="2"/>
  <c r="CD56" i="2"/>
  <c r="CD117" i="2"/>
  <c r="CD92" i="2"/>
  <c r="CD7" i="2"/>
  <c r="CD160" i="2"/>
  <c r="CD202" i="2"/>
  <c r="CD87" i="2"/>
  <c r="CD13" i="2"/>
  <c r="CD199" i="2"/>
  <c r="CD164" i="2"/>
  <c r="CD52" i="2"/>
  <c r="CD65" i="2"/>
  <c r="CD129" i="2"/>
  <c r="CD38" i="2"/>
  <c r="CD114" i="2"/>
  <c r="CD181" i="2"/>
  <c r="CD193" i="2"/>
  <c r="CD40" i="2"/>
  <c r="CD123" i="2"/>
  <c r="CD142" i="2"/>
  <c r="CD14" i="2"/>
  <c r="CD154" i="2"/>
  <c r="CD131" i="2"/>
  <c r="CD101" i="2"/>
  <c r="CD88" i="2"/>
  <c r="CD177" i="2"/>
  <c r="CD75" i="2"/>
  <c r="CD17" i="2"/>
  <c r="CD195" i="2"/>
  <c r="CD128" i="2"/>
  <c r="CD84" i="2"/>
  <c r="CD12" i="2"/>
  <c r="CD134" i="2"/>
  <c r="CD158" i="2"/>
  <c r="CD94" i="2"/>
  <c r="CD178" i="2"/>
  <c r="CD58" i="2"/>
  <c r="CD188" i="2"/>
  <c r="CD5" i="2"/>
  <c r="CD11" i="2"/>
  <c r="CD16" i="2"/>
  <c r="CD149" i="2"/>
  <c r="CD23" i="2"/>
  <c r="CD169" i="2"/>
  <c r="CD133" i="2"/>
  <c r="CD63" i="2"/>
  <c r="CD53" i="2"/>
  <c r="CD167" i="2"/>
  <c r="CD71" i="2"/>
  <c r="CD99" i="2"/>
  <c r="CD109" i="2"/>
  <c r="CD187" i="2"/>
  <c r="CD135" i="2"/>
  <c r="CD201" i="2"/>
  <c r="CD33" i="2"/>
  <c r="CD39" i="2"/>
  <c r="CD66" i="2"/>
  <c r="CD165" i="2"/>
  <c r="CD96" i="2"/>
  <c r="CD136" i="2"/>
  <c r="CD184" i="2"/>
  <c r="CD79" i="2"/>
  <c r="CD21" i="2"/>
  <c r="CD155" i="2"/>
  <c r="CD81" i="2"/>
  <c r="CD121" i="2"/>
  <c r="CD108" i="2"/>
  <c r="CD140" i="2"/>
  <c r="CD162" i="2"/>
  <c r="CD25" i="2"/>
  <c r="CD49" i="2"/>
  <c r="CD15" i="2"/>
  <c r="CD170" i="2"/>
  <c r="CD20" i="2"/>
  <c r="CD171" i="2"/>
  <c r="CD191" i="2"/>
  <c r="CD130" i="2"/>
  <c r="CD59" i="2"/>
  <c r="CD102" i="2"/>
  <c r="CD116" i="2"/>
  <c r="CD157" i="2"/>
  <c r="CD98" i="2"/>
  <c r="CD144" i="2"/>
  <c r="CD9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24" i="2" l="1"/>
  <c r="CY16" i="2"/>
  <c r="CY142" i="2"/>
  <c r="CY166" i="2"/>
  <c r="CY19" i="2"/>
  <c r="CY157" i="2"/>
  <c r="CY44" i="2"/>
  <c r="CY150" i="2"/>
  <c r="CY72" i="2"/>
  <c r="CY187" i="2"/>
  <c r="CY21" i="2"/>
  <c r="CY111" i="2"/>
  <c r="CY85" i="2"/>
  <c r="CY80" i="2"/>
  <c r="CY132" i="2"/>
  <c r="CY8" i="2"/>
  <c r="CY180" i="2"/>
  <c r="CY103" i="2"/>
  <c r="CY160" i="2"/>
  <c r="CY38" i="2"/>
  <c r="CY33" i="2"/>
  <c r="CY145" i="2"/>
  <c r="CY3" i="2"/>
  <c r="C10" i="4" s="1"/>
  <c r="E10" i="4" s="1"/>
  <c r="F10" i="4" s="1"/>
  <c r="G10" i="4" s="1"/>
  <c r="L10" i="4" s="1"/>
  <c r="CY100" i="2"/>
  <c r="CY152" i="2"/>
  <c r="CY13" i="2"/>
  <c r="CY82" i="2"/>
  <c r="CY71" i="2"/>
  <c r="CY156" i="2"/>
  <c r="CY58" i="2"/>
  <c r="CY55" i="2"/>
  <c r="CY94" i="2"/>
  <c r="CY51" i="2"/>
  <c r="CY139" i="2"/>
  <c r="CY90" i="2"/>
  <c r="CY66" i="2"/>
  <c r="CY42" i="2"/>
  <c r="CY23" i="2"/>
  <c r="CY48" i="2"/>
  <c r="CY176" i="2"/>
  <c r="CY52" i="2"/>
  <c r="CY186" i="2"/>
  <c r="CY171" i="2"/>
  <c r="CY4" i="2"/>
  <c r="CY45" i="2"/>
  <c r="CY168" i="2"/>
  <c r="CY89" i="2"/>
  <c r="CY114" i="2"/>
  <c r="CY153" i="2"/>
  <c r="CY122" i="2"/>
  <c r="CY78" i="2"/>
  <c r="CY202" i="2"/>
  <c r="CY30" i="2"/>
  <c r="CY62" i="2"/>
  <c r="CY199" i="2"/>
  <c r="CY121" i="2"/>
  <c r="CY75" i="2"/>
  <c r="CY183" i="2"/>
  <c r="CY191" i="2"/>
  <c r="CY95" i="2"/>
  <c r="CY53" i="2"/>
  <c r="CY14" i="2"/>
  <c r="CY104" i="2"/>
  <c r="CY54" i="2"/>
  <c r="CY99" i="2"/>
  <c r="CY7" i="2"/>
  <c r="CY81" i="2"/>
  <c r="CY6" i="2"/>
  <c r="CY25" i="2"/>
  <c r="CY192" i="2"/>
  <c r="CY143" i="2"/>
  <c r="CY60" i="2"/>
  <c r="CY155" i="2"/>
  <c r="CY39" i="2"/>
  <c r="CY59" i="2"/>
  <c r="CY29" i="2"/>
  <c r="CY147" i="2"/>
  <c r="CY165" i="2"/>
  <c r="CY198" i="2"/>
  <c r="CY125" i="2"/>
  <c r="CY96" i="2"/>
  <c r="CY124" i="2"/>
  <c r="CY61" i="2"/>
  <c r="CY178" i="2"/>
  <c r="CY22" i="2"/>
  <c r="CY175" i="2"/>
  <c r="CY177" i="2"/>
  <c r="CY164" i="2"/>
  <c r="CY20" i="2"/>
  <c r="CY5" i="2"/>
  <c r="CY56" i="2"/>
  <c r="CY141" i="2"/>
  <c r="CY73" i="2"/>
  <c r="CY196" i="2"/>
  <c r="CY97" i="2"/>
  <c r="CY138" i="2"/>
  <c r="CY144" i="2"/>
  <c r="CY193" i="2"/>
  <c r="CY26" i="2"/>
  <c r="CY64" i="2"/>
  <c r="CY161" i="2"/>
  <c r="CY110" i="2"/>
  <c r="CY167" i="2"/>
  <c r="CY88" i="2"/>
  <c r="CY63" i="2"/>
  <c r="CY179" i="2"/>
  <c r="CY127" i="2"/>
  <c r="CY65" i="2"/>
  <c r="CY105" i="2"/>
  <c r="CY10" i="2"/>
  <c r="CY189" i="2"/>
  <c r="CY108" i="2"/>
  <c r="CY131" i="2"/>
  <c r="CY129" i="2"/>
  <c r="CY197" i="2"/>
  <c r="CY83" i="2"/>
  <c r="CY149" i="2"/>
  <c r="CY112" i="2"/>
  <c r="CY98" i="2"/>
  <c r="CY12" i="2"/>
  <c r="CY15" i="2"/>
  <c r="CY77" i="2"/>
  <c r="CY120" i="2"/>
  <c r="CY41" i="2"/>
  <c r="CY79" i="2"/>
  <c r="CY203" i="2"/>
  <c r="CY134" i="2"/>
  <c r="CY135" i="2"/>
  <c r="CY32" i="2"/>
  <c r="CY162" i="2"/>
  <c r="CY113" i="2"/>
  <c r="CY107" i="2"/>
  <c r="CY34" i="2"/>
  <c r="CY137" i="2"/>
  <c r="CY130" i="2"/>
  <c r="CY136" i="2"/>
  <c r="CY47" i="2"/>
  <c r="CY9" i="2"/>
  <c r="CY146" i="2"/>
  <c r="CY158" i="2"/>
  <c r="CY74" i="2"/>
  <c r="CY190" i="2"/>
  <c r="CY201" i="2"/>
  <c r="CY93" i="2"/>
  <c r="CY86" i="2"/>
  <c r="CY151" i="2"/>
  <c r="CY169" i="2"/>
  <c r="CY163" i="2"/>
  <c r="CY106" i="2"/>
  <c r="CY123" i="2"/>
  <c r="CY188" i="2"/>
  <c r="CY36" i="2"/>
  <c r="CY67" i="2"/>
  <c r="CY70" i="2"/>
  <c r="CY195" i="2"/>
  <c r="CY194" i="2"/>
  <c r="CY69" i="2"/>
  <c r="CY185" i="2"/>
  <c r="CY140" i="2"/>
  <c r="CY133" i="2"/>
  <c r="CY118" i="2"/>
  <c r="CY84" i="2"/>
  <c r="CY172" i="2"/>
  <c r="CY116" i="2"/>
  <c r="CY46" i="2"/>
  <c r="CY40" i="2"/>
  <c r="CY35" i="2"/>
  <c r="CY18" i="2"/>
  <c r="CY50" i="2"/>
  <c r="CY91" i="2"/>
  <c r="CY159" i="2"/>
  <c r="CY37" i="2"/>
  <c r="CY87" i="2"/>
  <c r="CY126" i="2"/>
  <c r="CY184" i="2"/>
  <c r="CY57" i="2"/>
  <c r="CY154" i="2"/>
  <c r="CY43" i="2"/>
  <c r="CY27" i="2"/>
  <c r="CY173" i="2"/>
  <c r="CY109" i="2"/>
  <c r="CY28" i="2"/>
  <c r="CY128" i="2"/>
  <c r="CY11" i="2"/>
  <c r="CY119" i="2"/>
  <c r="CY200" i="2"/>
  <c r="CY17" i="2"/>
  <c r="CY115" i="2"/>
  <c r="CY31" i="2"/>
  <c r="CY68" i="2"/>
  <c r="CY117" i="2"/>
  <c r="CY170" i="2"/>
  <c r="CY174" i="2"/>
  <c r="CY148" i="2"/>
  <c r="CY49" i="2"/>
  <c r="CY181" i="2"/>
  <c r="CY102" i="2"/>
  <c r="CY182" i="2"/>
  <c r="CY92" i="2"/>
  <c r="CY76" i="2"/>
  <c r="CY101" i="2"/>
  <c r="EO142" i="2"/>
  <c r="EO35" i="2"/>
  <c r="EO145" i="2"/>
  <c r="EO187" i="2"/>
  <c r="EO31" i="2"/>
  <c r="EO44" i="2"/>
  <c r="EO143" i="2"/>
  <c r="EO113" i="2"/>
  <c r="EO108" i="2"/>
  <c r="EO126" i="2"/>
  <c r="EO100" i="2"/>
  <c r="EO197" i="2"/>
  <c r="EO7" i="2"/>
  <c r="EO77" i="2"/>
  <c r="EO91" i="2"/>
  <c r="EO4" i="2"/>
  <c r="EO123" i="2"/>
  <c r="EO146" i="2"/>
  <c r="EO64" i="2"/>
  <c r="EO11" i="2"/>
  <c r="EO129" i="2"/>
  <c r="EO95" i="2"/>
  <c r="EO83" i="2"/>
  <c r="EO141" i="2"/>
  <c r="EO184" i="2"/>
  <c r="EO144" i="2"/>
  <c r="EO112" i="2"/>
  <c r="EO46" i="2"/>
  <c r="EO193" i="2"/>
  <c r="EO127" i="2"/>
  <c r="EO93" i="2"/>
  <c r="EO22" i="2"/>
  <c r="EO168" i="2"/>
  <c r="EO162" i="2"/>
  <c r="EO56" i="2"/>
  <c r="EO58" i="2"/>
  <c r="EO40" i="2"/>
  <c r="EO135" i="2"/>
  <c r="EO29" i="2"/>
  <c r="EO99" i="2"/>
  <c r="EO65" i="2"/>
  <c r="EO182" i="2"/>
  <c r="EO178" i="2"/>
  <c r="EO73" i="2"/>
  <c r="EO60" i="2"/>
  <c r="EO114" i="2"/>
  <c r="EO36" i="2"/>
  <c r="EO63" i="2"/>
  <c r="EO109" i="2"/>
  <c r="EO38" i="2"/>
  <c r="EO26" i="2"/>
  <c r="EO33" i="2"/>
  <c r="EO161" i="2"/>
  <c r="EO128" i="2"/>
  <c r="EO94" i="2"/>
  <c r="EO101" i="2"/>
  <c r="EO66" i="2"/>
  <c r="EO71" i="2"/>
  <c r="EO131" i="2"/>
  <c r="EO17" i="2"/>
  <c r="EO3" i="2"/>
  <c r="C12" i="4" s="1"/>
  <c r="E12" i="4" s="1"/>
  <c r="F12" i="4" s="1"/>
  <c r="G12" i="4" s="1"/>
  <c r="L12" i="4" s="1"/>
  <c r="EO74" i="2"/>
  <c r="EO50" i="2"/>
  <c r="EO59" i="2"/>
  <c r="EO139" i="2"/>
  <c r="EO185" i="2"/>
  <c r="EO173" i="2"/>
  <c r="EO39" i="2"/>
  <c r="EO150" i="2"/>
  <c r="EO72" i="2"/>
  <c r="EO8" i="2"/>
  <c r="EO111" i="2"/>
  <c r="EO172" i="2"/>
  <c r="EO190" i="2"/>
  <c r="EO180" i="2"/>
  <c r="EO16" i="2"/>
  <c r="EO154" i="2"/>
  <c r="EO153" i="2"/>
  <c r="EO203" i="2"/>
  <c r="EO81" i="2"/>
  <c r="EO119" i="2"/>
  <c r="EO136" i="2"/>
  <c r="EO80" i="2"/>
  <c r="EO110" i="2"/>
  <c r="EO160" i="2"/>
  <c r="EO192" i="2"/>
  <c r="EO186" i="2"/>
  <c r="EO107" i="2"/>
  <c r="EO70" i="2"/>
  <c r="EO57" i="2"/>
  <c r="EO10" i="2"/>
  <c r="EO6" i="2"/>
  <c r="EO167" i="2"/>
  <c r="EO133" i="2"/>
  <c r="EO51" i="2"/>
  <c r="EO18" i="2"/>
  <c r="EO42" i="2"/>
  <c r="EO177" i="2"/>
  <c r="EO62" i="2"/>
  <c r="EO189" i="2"/>
  <c r="EO92" i="2"/>
  <c r="EO28" i="2"/>
  <c r="EO27" i="2"/>
  <c r="EO102" i="2"/>
  <c r="EO90" i="2"/>
  <c r="EO24" i="2"/>
  <c r="EO151" i="2"/>
  <c r="EO191" i="2"/>
  <c r="EO76" i="2"/>
  <c r="EO78" i="2"/>
  <c r="EO152" i="2"/>
  <c r="EO179" i="2"/>
  <c r="EO15" i="2"/>
  <c r="EO117" i="2"/>
  <c r="EO188" i="2"/>
  <c r="EO32" i="2"/>
  <c r="EO132" i="2"/>
  <c r="EO183" i="2"/>
  <c r="EO174" i="2"/>
  <c r="EO82" i="2"/>
  <c r="EO115" i="2"/>
  <c r="EO171" i="2"/>
  <c r="EO45" i="2"/>
  <c r="EO86" i="2"/>
  <c r="EO195" i="2"/>
  <c r="EO21" i="2"/>
  <c r="EO164" i="2"/>
  <c r="EO125" i="2"/>
  <c r="EO170" i="2"/>
  <c r="EO52" i="2"/>
  <c r="EO47" i="2"/>
  <c r="EO157" i="2"/>
  <c r="EO23" i="2"/>
  <c r="EO14" i="2"/>
  <c r="EO199" i="2"/>
  <c r="EO196" i="2"/>
  <c r="EO134" i="2"/>
  <c r="EO48" i="2"/>
  <c r="EO166" i="2"/>
  <c r="EO12" i="2"/>
  <c r="EO106" i="2"/>
  <c r="EO103" i="2"/>
  <c r="EO105" i="2"/>
  <c r="EO69" i="2"/>
  <c r="EO34" i="2"/>
  <c r="EO13" i="2"/>
  <c r="EO158" i="2"/>
  <c r="EO163" i="2"/>
  <c r="EO148" i="2"/>
  <c r="EO149" i="2"/>
  <c r="EO176" i="2"/>
  <c r="EO122" i="2"/>
  <c r="EO147" i="2"/>
  <c r="EO97" i="2"/>
  <c r="EO96" i="2"/>
  <c r="EO68" i="2"/>
  <c r="EO19" i="2"/>
  <c r="EO75" i="2"/>
  <c r="EO181" i="2"/>
  <c r="EO88" i="2"/>
  <c r="EO116" i="2"/>
  <c r="EO67" i="2"/>
  <c r="EO159" i="2"/>
  <c r="EO156" i="2"/>
  <c r="EO198" i="2"/>
  <c r="EO61" i="2"/>
  <c r="EO155" i="2"/>
  <c r="EO79" i="2"/>
  <c r="EO53" i="2"/>
  <c r="EO201" i="2"/>
  <c r="EO20" i="2"/>
  <c r="EO89" i="2"/>
  <c r="EO43" i="2"/>
  <c r="EO165" i="2"/>
  <c r="EO41" i="2"/>
  <c r="EO104" i="2"/>
  <c r="EO98" i="2"/>
  <c r="EO55" i="2"/>
  <c r="EO54" i="2"/>
  <c r="EO85" i="2"/>
  <c r="EO169" i="2"/>
  <c r="EO87" i="2"/>
  <c r="EO130" i="2"/>
  <c r="EO5" i="2"/>
  <c r="EO25" i="2"/>
  <c r="EO200" i="2"/>
  <c r="EO121" i="2"/>
  <c r="EO9" i="2"/>
  <c r="EO202" i="2"/>
  <c r="EO138" i="2"/>
  <c r="EO124" i="2"/>
  <c r="EO84" i="2"/>
  <c r="EO175" i="2"/>
  <c r="EO120" i="2"/>
  <c r="EO37" i="2"/>
  <c r="EO194" i="2"/>
  <c r="EO118" i="2"/>
  <c r="EO49" i="2"/>
  <c r="EO137" i="2"/>
  <c r="EO30" i="2"/>
  <c r="EO140" i="2"/>
  <c r="DT37" i="2"/>
  <c r="DT186" i="2"/>
  <c r="DT111" i="2"/>
  <c r="DT35" i="2"/>
  <c r="DT116" i="2"/>
  <c r="DT178" i="2"/>
  <c r="DT105" i="2"/>
  <c r="DT13" i="2"/>
  <c r="DT8" i="2"/>
  <c r="DT48" i="2"/>
  <c r="DT161" i="2"/>
  <c r="DT27" i="2"/>
  <c r="DT121" i="2"/>
  <c r="DT86" i="2"/>
  <c r="DT158" i="2"/>
  <c r="DT19" i="2"/>
  <c r="DT7" i="2"/>
  <c r="DT123" i="2"/>
  <c r="DT59" i="2"/>
  <c r="DT40" i="2"/>
  <c r="DT25" i="2"/>
  <c r="DT14" i="2"/>
  <c r="DT167" i="2"/>
  <c r="DT114" i="2"/>
  <c r="DT16" i="2"/>
  <c r="DT119" i="2"/>
  <c r="DT34" i="2"/>
  <c r="DT47" i="2"/>
  <c r="DT101" i="2"/>
  <c r="DT175" i="2"/>
  <c r="DT75" i="2"/>
  <c r="DT199" i="2"/>
  <c r="DT32" i="2"/>
  <c r="DT92" i="2"/>
  <c r="DT140" i="2"/>
  <c r="DT165" i="2"/>
  <c r="DT44" i="2"/>
  <c r="DT33" i="2"/>
  <c r="DT127" i="2"/>
  <c r="DT77" i="2"/>
  <c r="DT202" i="2"/>
  <c r="DT98" i="2"/>
  <c r="DT4" i="2"/>
  <c r="DT10" i="2"/>
  <c r="DT130" i="2"/>
  <c r="DT147" i="2"/>
  <c r="DT21" i="2"/>
  <c r="DT72" i="2"/>
  <c r="DT176" i="2"/>
  <c r="DT97" i="2"/>
  <c r="DT42" i="2"/>
  <c r="DT84" i="2"/>
  <c r="DT68" i="2"/>
  <c r="DT64" i="2"/>
  <c r="DT172" i="2"/>
  <c r="DT180" i="2"/>
  <c r="DT53" i="2"/>
  <c r="DT182" i="2"/>
  <c r="DT29" i="2"/>
  <c r="DT145" i="2"/>
  <c r="DT201" i="2"/>
  <c r="DT63" i="2"/>
  <c r="DT109" i="2"/>
  <c r="DT110" i="2"/>
  <c r="DT65" i="2"/>
  <c r="DT50" i="2"/>
  <c r="DT194" i="2"/>
  <c r="DT155" i="2"/>
  <c r="DT95" i="2"/>
  <c r="DT135" i="2"/>
  <c r="DT38" i="2"/>
  <c r="DT138" i="2"/>
  <c r="DT153" i="2"/>
  <c r="DT154" i="2"/>
  <c r="DT196" i="2"/>
  <c r="DT150" i="2"/>
  <c r="DT128" i="2"/>
  <c r="DT113" i="2"/>
  <c r="DT102" i="2"/>
  <c r="DT30" i="2"/>
  <c r="DT190" i="2"/>
  <c r="DT122" i="2"/>
  <c r="DT168" i="2"/>
  <c r="DT149" i="2"/>
  <c r="DT187" i="2"/>
  <c r="DT56" i="2"/>
  <c r="DT166" i="2"/>
  <c r="DT184" i="2"/>
  <c r="DT203" i="2"/>
  <c r="DT5" i="2"/>
  <c r="DT173" i="2"/>
  <c r="DT174" i="2"/>
  <c r="DT144" i="2"/>
  <c r="DT87" i="2"/>
  <c r="DT96" i="2"/>
  <c r="DT152" i="2"/>
  <c r="DT134" i="2"/>
  <c r="DT159" i="2"/>
  <c r="DT197" i="2"/>
  <c r="DT58" i="2"/>
  <c r="DT17" i="2"/>
  <c r="DT24" i="2"/>
  <c r="DT70" i="2"/>
  <c r="DT85" i="2"/>
  <c r="DT66" i="2"/>
  <c r="DT126" i="2"/>
  <c r="DT9" i="2"/>
  <c r="DT57" i="2"/>
  <c r="DT103" i="2"/>
  <c r="DT83" i="2"/>
  <c r="DT148" i="2"/>
  <c r="DT183" i="2"/>
  <c r="DT107" i="2"/>
  <c r="DT82" i="2"/>
  <c r="DT60" i="2"/>
  <c r="DT112" i="2"/>
  <c r="DT49" i="2"/>
  <c r="DT46" i="2"/>
  <c r="DT43" i="2"/>
  <c r="DT171" i="2"/>
  <c r="DT188" i="2"/>
  <c r="DT118" i="2"/>
  <c r="DT81" i="2"/>
  <c r="DT120" i="2"/>
  <c r="DT11" i="2"/>
  <c r="DT3" i="2"/>
  <c r="C11" i="4" s="1"/>
  <c r="E11" i="4" s="1"/>
  <c r="F11" i="4" s="1"/>
  <c r="G11" i="4" s="1"/>
  <c r="L11" i="4" s="1"/>
  <c r="DT141" i="2"/>
  <c r="DT115" i="2"/>
  <c r="DT74" i="2"/>
  <c r="DT133" i="2"/>
  <c r="DT125" i="2"/>
  <c r="DT93" i="2"/>
  <c r="DT129" i="2"/>
  <c r="DT185" i="2"/>
  <c r="DT200" i="2"/>
  <c r="DT136" i="2"/>
  <c r="DT67" i="2"/>
  <c r="DT91" i="2"/>
  <c r="DT160" i="2"/>
  <c r="DT23" i="2"/>
  <c r="DT12" i="2"/>
  <c r="DT45" i="2"/>
  <c r="DT52" i="2"/>
  <c r="DT31" i="2"/>
  <c r="DT157" i="2"/>
  <c r="DT69" i="2"/>
  <c r="DT99" i="2"/>
  <c r="DT22" i="2"/>
  <c r="DT62" i="2"/>
  <c r="DT39" i="2"/>
  <c r="DT76" i="2"/>
  <c r="DT89" i="2"/>
  <c r="DT80" i="2"/>
  <c r="DT142" i="2"/>
  <c r="DT54" i="2"/>
  <c r="DT51" i="2"/>
  <c r="DT151" i="2"/>
  <c r="DT26" i="2"/>
  <c r="DT106" i="2"/>
  <c r="DT108" i="2"/>
  <c r="DT195" i="2"/>
  <c r="DT79" i="2"/>
  <c r="DT137" i="2"/>
  <c r="DT139" i="2"/>
  <c r="DT193" i="2"/>
  <c r="DT179" i="2"/>
  <c r="DT181" i="2"/>
  <c r="DT169" i="2"/>
  <c r="DT18" i="2"/>
  <c r="DT131" i="2"/>
  <c r="DT55" i="2"/>
  <c r="DT94" i="2"/>
  <c r="DT146" i="2"/>
  <c r="DT164" i="2"/>
  <c r="DT198" i="2"/>
  <c r="DT61" i="2"/>
  <c r="DT163" i="2"/>
  <c r="DT189" i="2"/>
  <c r="DT192" i="2"/>
  <c r="DT88" i="2"/>
  <c r="DT191" i="2"/>
  <c r="DT124" i="2"/>
  <c r="DT6" i="2"/>
  <c r="DT162" i="2"/>
  <c r="DT36" i="2"/>
  <c r="DT73" i="2"/>
  <c r="DT132" i="2"/>
  <c r="DT20" i="2"/>
  <c r="DT41" i="2"/>
  <c r="DT71" i="2"/>
  <c r="DT90" i="2"/>
  <c r="DT78" i="2"/>
  <c r="DT28" i="2"/>
  <c r="DT177" i="2"/>
  <c r="DT117" i="2"/>
  <c r="DT104" i="2"/>
  <c r="DT15" i="2"/>
  <c r="DT170" i="2"/>
  <c r="DT100" i="2"/>
  <c r="DT156" i="2"/>
  <c r="DT143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81" i="2" l="1"/>
  <c r="BI47" i="2"/>
  <c r="BI5" i="2"/>
  <c r="BI136" i="2"/>
  <c r="BI142" i="2"/>
  <c r="BI185" i="2"/>
  <c r="BI77" i="2"/>
  <c r="BI113" i="2"/>
  <c r="BI131" i="2"/>
  <c r="BI71" i="2"/>
  <c r="BI159" i="2"/>
  <c r="BI61" i="2"/>
  <c r="BI32" i="2"/>
  <c r="BI164" i="2"/>
  <c r="BI28" i="2"/>
  <c r="BI166" i="2"/>
  <c r="BI10" i="2"/>
  <c r="BI20" i="2"/>
  <c r="BI23" i="2"/>
  <c r="BI8" i="2"/>
  <c r="BI167" i="2"/>
  <c r="BI92" i="2"/>
  <c r="BI30" i="2"/>
  <c r="BI51" i="2"/>
  <c r="BI93" i="2"/>
  <c r="BI182" i="2"/>
  <c r="BI151" i="2"/>
  <c r="BI196" i="2"/>
  <c r="BI114" i="2"/>
  <c r="BI7" i="2"/>
  <c r="BI163" i="2"/>
  <c r="BI171" i="2"/>
  <c r="BI202" i="2"/>
  <c r="BI58" i="2"/>
  <c r="BI96" i="2"/>
  <c r="BI169" i="2"/>
  <c r="BI54" i="2"/>
  <c r="BI97" i="2"/>
  <c r="BI138" i="2"/>
  <c r="BI41" i="2"/>
  <c r="BI150" i="2"/>
  <c r="BI198" i="2"/>
  <c r="BI110" i="2"/>
  <c r="BI105" i="2"/>
  <c r="BI201" i="2"/>
  <c r="BI203" i="2"/>
  <c r="BI143" i="2"/>
  <c r="BI64" i="2"/>
  <c r="BI16" i="2"/>
  <c r="BI44" i="2"/>
  <c r="BI24" i="2"/>
  <c r="BI37" i="2"/>
  <c r="BI70" i="2"/>
  <c r="BI141" i="2"/>
  <c r="BI188" i="2"/>
  <c r="BI165" i="2"/>
  <c r="BI190" i="2"/>
  <c r="BI200" i="2"/>
  <c r="BI178" i="2"/>
  <c r="BI184" i="2"/>
  <c r="BI86" i="2"/>
  <c r="BI33" i="2"/>
  <c r="BI9" i="2"/>
  <c r="BI116" i="2"/>
  <c r="BI72" i="2"/>
  <c r="BI95" i="2"/>
  <c r="BI121" i="2"/>
  <c r="BI43" i="2"/>
  <c r="BI18" i="2"/>
  <c r="BI180" i="2"/>
  <c r="BI128" i="2"/>
  <c r="BI122" i="2"/>
  <c r="BI125" i="2"/>
  <c r="BI35" i="2"/>
  <c r="BI99" i="2"/>
  <c r="BI130" i="2"/>
  <c r="BI175" i="2"/>
  <c r="BI152" i="2"/>
  <c r="BI199" i="2"/>
  <c r="BI156" i="2"/>
  <c r="BI21" i="2"/>
  <c r="BI60" i="2"/>
  <c r="BI107" i="2"/>
  <c r="BI124" i="2"/>
  <c r="BI45" i="2"/>
  <c r="BI52" i="2"/>
  <c r="BI132" i="2"/>
  <c r="BI79" i="2"/>
  <c r="BI74" i="2"/>
  <c r="BI65" i="2"/>
  <c r="BI155" i="2"/>
  <c r="BI139" i="2"/>
  <c r="BI123" i="2"/>
  <c r="BI145" i="2"/>
  <c r="BI73" i="2"/>
  <c r="BI25" i="2"/>
  <c r="BI120" i="2"/>
  <c r="BI158" i="2"/>
  <c r="BI40" i="2"/>
  <c r="BI6" i="2"/>
  <c r="BI46" i="2"/>
  <c r="BI84" i="2"/>
  <c r="BI192" i="2"/>
  <c r="BI137" i="2"/>
  <c r="BI34" i="2"/>
  <c r="BI90" i="2"/>
  <c r="BI67" i="2"/>
  <c r="BI160" i="2"/>
  <c r="BI85" i="2"/>
  <c r="BI56" i="2"/>
  <c r="BI103" i="2"/>
  <c r="BI78" i="2"/>
  <c r="BI22" i="2"/>
  <c r="BI50" i="2"/>
  <c r="BI49" i="2"/>
  <c r="BI161" i="2"/>
  <c r="BI29" i="2"/>
  <c r="BI88" i="2"/>
  <c r="BI108" i="2"/>
  <c r="BI19" i="2"/>
  <c r="BI147" i="2"/>
  <c r="BI98" i="2"/>
  <c r="BI63" i="2"/>
  <c r="BI134" i="2"/>
  <c r="BI174" i="2"/>
  <c r="BI129" i="2"/>
  <c r="BI75" i="2"/>
  <c r="BI76" i="2"/>
  <c r="BI109" i="2"/>
  <c r="BI101" i="2"/>
  <c r="BI179" i="2"/>
  <c r="BI89" i="2"/>
  <c r="BI48" i="2"/>
  <c r="BI36" i="2"/>
  <c r="BI148" i="2"/>
  <c r="BI17" i="2"/>
  <c r="BI62" i="2"/>
  <c r="BI12" i="2"/>
  <c r="BI135" i="2"/>
  <c r="BI191" i="2"/>
  <c r="BI11" i="2"/>
  <c r="BI100" i="2"/>
  <c r="BI146" i="2"/>
  <c r="BI149" i="2"/>
  <c r="BI193" i="2"/>
  <c r="BI186" i="2"/>
  <c r="BI168" i="2"/>
  <c r="BI140" i="2"/>
  <c r="BI38" i="2"/>
  <c r="BI39" i="2"/>
  <c r="BI195" i="2"/>
  <c r="BI15" i="2"/>
  <c r="BI27" i="2"/>
  <c r="BI197" i="2"/>
  <c r="BI31" i="2"/>
  <c r="BI106" i="2"/>
  <c r="BI126" i="2"/>
  <c r="BI69" i="2"/>
  <c r="BI81" i="2"/>
  <c r="BI144" i="2"/>
  <c r="BI91" i="2"/>
  <c r="BI94" i="2"/>
  <c r="BI57" i="2"/>
  <c r="BI183" i="2"/>
  <c r="BI87" i="2"/>
  <c r="BI172" i="2"/>
  <c r="BI53" i="2"/>
  <c r="BI83" i="2"/>
  <c r="BI157" i="2"/>
  <c r="BI112" i="2"/>
  <c r="BI102" i="2"/>
  <c r="BI68" i="2"/>
  <c r="BI59" i="2"/>
  <c r="BI117" i="2"/>
  <c r="BI189" i="2"/>
  <c r="BI26" i="2"/>
  <c r="BI4" i="2"/>
  <c r="BI162" i="2"/>
  <c r="BI154" i="2"/>
  <c r="BI177" i="2"/>
  <c r="BI170" i="2"/>
  <c r="BI42" i="2"/>
  <c r="BI80" i="2"/>
  <c r="BI3" i="2"/>
  <c r="C8" i="4" s="1"/>
  <c r="E8" i="4" s="1"/>
  <c r="F8" i="4" s="1"/>
  <c r="G8" i="4" s="1"/>
  <c r="L8" i="4" s="1"/>
  <c r="BI133" i="2"/>
  <c r="BI194" i="2"/>
  <c r="BI176" i="2"/>
  <c r="BI82" i="2"/>
  <c r="BI13" i="2"/>
  <c r="BI119" i="2"/>
  <c r="BI173" i="2"/>
  <c r="BI187" i="2"/>
  <c r="BI115" i="2"/>
  <c r="BI66" i="2"/>
  <c r="BI118" i="2"/>
  <c r="BI55" i="2"/>
  <c r="BI104" i="2"/>
  <c r="BI127" i="2"/>
  <c r="BI14" i="2"/>
  <c r="BI111" i="2"/>
  <c r="BI153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<sst xmlns="http://schemas.openxmlformats.org/spreadsheetml/2006/main" count="1174" uniqueCount="324">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</sst>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1359168"/>
        <c:axId val="-351366240"/>
      </c:scatterChart>
      <c:valAx>
        <c:axId val="-351359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66240"/>
        <c:crosses val="autoZero"/>
        <c:crossBetween val="midCat"/>
      </c:valAx>
      <c:valAx>
        <c:axId val="-35136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59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1357536"/>
        <c:axId val="-351356992"/>
      </c:scatterChart>
      <c:valAx>
        <c:axId val="-35135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56992"/>
        <c:crosses val="autoZero"/>
        <c:crossBetween val="midCat"/>
      </c:valAx>
      <c:valAx>
        <c:axId val="-35135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5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1367872"/>
        <c:axId val="-351364064"/>
      </c:scatterChart>
      <c:valAx>
        <c:axId val="-351367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64064"/>
        <c:crosses val="autoZero"/>
        <c:crossBetween val="midCat"/>
      </c:valAx>
      <c:valAx>
        <c:axId val="-35136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67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3.0420346989866704</c:v>
                </c:pt>
                <c:pt idx="2">
                  <c:v>3.8157728974545706</c:v>
                </c:pt>
                <c:pt idx="3">
                  <c:v>4.7870700055510769</c:v>
                </c:pt>
                <c:pt idx="4">
                  <c:v>6.0065514344902446</c:v>
                </c:pt>
                <c:pt idx="5">
                  <c:v>7.5378593378781131</c:v>
                </c:pt>
                <c:pt idx="6">
                  <c:v>9.4610098992627645</c:v>
                </c:pt>
                <c:pt idx="7">
                  <c:v>11.876619016734798</c:v>
                </c:pt>
                <c:pt idx="8">
                  <c:v>14.911221593210763</c:v>
                </c:pt>
                <c:pt idx="9">
                  <c:v>18.723968185473154</c:v>
                </c:pt>
                <c:pt idx="10">
                  <c:v>23.515056561317763</c:v>
                </c:pt>
                <c:pt idx="11">
                  <c:v>29.536348743362321</c:v>
                </c:pt>
                <c:pt idx="12">
                  <c:v>37.104741402260892</c:v>
                </c:pt>
                <c:pt idx="13">
                  <c:v>46.619005336897253</c:v>
                </c:pt>
                <c:pt idx="14">
                  <c:v>58.580996237948476</c:v>
                </c:pt>
                <c:pt idx="15">
                  <c:v>73.622374059447182</c:v>
                </c:pt>
                <c:pt idx="16">
                  <c:v>86.027026900724209</c:v>
                </c:pt>
                <c:pt idx="17">
                  <c:v>98.386606823813551</c:v>
                </c:pt>
                <c:pt idx="18">
                  <c:v>110.70758759686305</c:v>
                </c:pt>
                <c:pt idx="19">
                  <c:v>122.99487803223985</c:v>
                </c:pt>
                <c:pt idx="20">
                  <c:v>135.25232276388536</c:v>
                </c:pt>
                <c:pt idx="21">
                  <c:v>148.01421375954016</c:v>
                </c:pt>
                <c:pt idx="22">
                  <c:v>160.74983504965459</c:v>
                </c:pt>
                <c:pt idx="23">
                  <c:v>173.46156278083515</c:v>
                </c:pt>
                <c:pt idx="24">
                  <c:v>186.1513958594079</c:v>
                </c:pt>
                <c:pt idx="25">
                  <c:v>198.82103804994404</c:v>
                </c:pt>
                <c:pt idx="26">
                  <c:v>211.73532919673724</c:v>
                </c:pt>
                <c:pt idx="27">
                  <c:v>224.63146746493419</c:v>
                </c:pt>
                <c:pt idx="28">
                  <c:v>237.51064230427096</c:v>
                </c:pt>
                <c:pt idx="29">
                  <c:v>250.37390353908356</c:v>
                </c:pt>
                <c:pt idx="30">
                  <c:v>263.22218424442991</c:v>
                </c:pt>
                <c:pt idx="31">
                  <c:v>194.3360856832779</c:v>
                </c:pt>
                <c:pt idx="32">
                  <c:v>206.99348121648259</c:v>
                </c:pt>
                <c:pt idx="33">
                  <c:v>219.63299956927833</c:v>
                </c:pt>
                <c:pt idx="34">
                  <c:v>232.2558150017459</c:v>
                </c:pt>
                <c:pt idx="35">
                  <c:v>244.86296361177949</c:v>
                </c:pt>
                <c:pt idx="36">
                  <c:v>256.66875686937959</c:v>
                </c:pt>
                <c:pt idx="37">
                  <c:v>268.46227085543052</c:v>
                </c:pt>
                <c:pt idx="38">
                  <c:v>280.24412126769488</c:v>
                </c:pt>
                <c:pt idx="39">
                  <c:v>292.01486777837994</c:v>
                </c:pt>
                <c:pt idx="40">
                  <c:v>303.7750212334941</c:v>
                </c:pt>
                <c:pt idx="41">
                  <c:v>315.26404478899826</c:v>
                </c:pt>
                <c:pt idx="42">
                  <c:v>326.7437910823092</c:v>
                </c:pt>
                <c:pt idx="43">
                  <c:v>338.21463211726842</c:v>
                </c:pt>
                <c:pt idx="44">
                  <c:v>349.67691259476129</c:v>
                </c:pt>
                <c:pt idx="45">
                  <c:v>361.13095276503753</c:v>
                </c:pt>
                <c:pt idx="46">
                  <c:v>287.04631762262676</c:v>
                </c:pt>
                <c:pt idx="47">
                  <c:v>297.7655696512449</c:v>
                </c:pt>
                <c:pt idx="48">
                  <c:v>308.47622271912428</c:v>
                </c:pt>
                <c:pt idx="49">
                  <c:v>319.17861763286857</c:v>
                </c:pt>
                <c:pt idx="50">
                  <c:v>329.87307046604059</c:v>
                </c:pt>
                <c:pt idx="51">
                  <c:v>339.77816706116676</c:v>
                </c:pt>
                <c:pt idx="52">
                  <c:v>349.67691259476123</c:v>
                </c:pt>
                <c:pt idx="53">
                  <c:v>359.56951229543273</c:v>
                </c:pt>
                <c:pt idx="54">
                  <c:v>369.45615917184506</c:v>
                </c:pt>
                <c:pt idx="55">
                  <c:v>379.3370350549323</c:v>
                </c:pt>
                <c:pt idx="56">
                  <c:v>331.69818048501054</c:v>
                </c:pt>
                <c:pt idx="57">
                  <c:v>341.34154369544405</c:v>
                </c:pt>
                <c:pt idx="58">
                  <c:v>350.97891730211535</c:v>
                </c:pt>
                <c:pt idx="59">
                  <c:v>360.61048905039723</c:v>
                </c:pt>
                <c:pt idx="60">
                  <c:v>370.23643583282029</c:v>
                </c:pt>
                <c:pt idx="61">
                  <c:v>379.33703505493236</c:v>
                </c:pt>
                <c:pt idx="62">
                  <c:v>388.43288418408741</c:v>
                </c:pt>
                <c:pt idx="63">
                  <c:v>397.52411019447646</c:v>
                </c:pt>
                <c:pt idx="64">
                  <c:v>406.61083377583185</c:v>
                </c:pt>
                <c:pt idx="65">
                  <c:v>415.69316978100892</c:v>
                </c:pt>
                <c:pt idx="66">
                  <c:v>367.37524535104603</c:v>
                </c:pt>
                <c:pt idx="67">
                  <c:v>376.21737131771488</c:v>
                </c:pt>
                <c:pt idx="68">
                  <c:v>385.05497224896391</c:v>
                </c:pt>
                <c:pt idx="69">
                  <c:v>393.88816670507452</c:v>
                </c:pt>
                <c:pt idx="70">
                  <c:v>402.71706749198847</c:v>
                </c:pt>
                <c:pt idx="71">
                  <c:v>410.76329650784646</c:v>
                </c:pt>
                <c:pt idx="72">
                  <c:v>418.80612334095343</c:v>
                </c:pt>
                <c:pt idx="73">
                  <c:v>426.84562257899671</c:v>
                </c:pt>
                <c:pt idx="74">
                  <c:v>434.88186576924113</c:v>
                </c:pt>
                <c:pt idx="75">
                  <c:v>442.91492159758701</c:v>
                </c:pt>
                <c:pt idx="76">
                  <c:v>396.22564203021733</c:v>
                </c:pt>
                <c:pt idx="77">
                  <c:v>404.01507966776512</c:v>
                </c:pt>
                <c:pt idx="78">
                  <c:v>411.80127018050956</c:v>
                </c:pt>
                <c:pt idx="79">
                  <c:v>419.58428366133921</c:v>
                </c:pt>
                <c:pt idx="80">
                  <c:v>427.36418738907696</c:v>
                </c:pt>
                <c:pt idx="81">
                  <c:v>434.88186576924096</c:v>
                </c:pt>
                <c:pt idx="82">
                  <c:v>442.39675481769387</c:v>
                </c:pt>
                <c:pt idx="83">
                  <c:v>449.9089086256426</c:v>
                </c:pt>
                <c:pt idx="84">
                  <c:v>457.41837932963125</c:v>
                </c:pt>
                <c:pt idx="85">
                  <c:v>464.92521721380876</c:v>
                </c:pt>
                <c:pt idx="86">
                  <c:v>420.3624128863799</c:v>
                </c:pt>
                <c:pt idx="87">
                  <c:v>427.62346471808155</c:v>
                </c:pt>
                <c:pt idx="88">
                  <c:v>434.88186576924113</c:v>
                </c:pt>
                <c:pt idx="89">
                  <c:v>442.13766655057481</c:v>
                </c:pt>
                <c:pt idx="90">
                  <c:v>449.390915778725</c:v>
                </c:pt>
                <c:pt idx="91">
                  <c:v>456.12383221540239</c:v>
                </c:pt>
                <c:pt idx="92">
                  <c:v>462.85462553575684</c:v>
                </c:pt>
                <c:pt idx="93">
                  <c:v>469.58333098744293</c:v>
                </c:pt>
                <c:pt idx="94">
                  <c:v>476.30998272499363</c:v>
                </c:pt>
                <c:pt idx="95">
                  <c:v>483.03461385901983</c:v>
                </c:pt>
                <c:pt idx="96">
                  <c:v>441.61948025110104</c:v>
                </c:pt>
                <c:pt idx="97">
                  <c:v>448.09587772266917</c:v>
                </c:pt>
                <c:pt idx="98">
                  <c:v>454.5702720171094</c:v>
                </c:pt>
                <c:pt idx="99">
                  <c:v>461.04269570891211</c:v>
                </c:pt>
                <c:pt idx="100">
                  <c:v>467.51318038276736</c:v>
                </c:pt>
                <c:pt idx="101">
                  <c:v>473.72304989047899</c:v>
                </c:pt>
                <c:pt idx="102">
                  <c:v>479.93118696287439</c:v>
                </c:pt>
                <c:pt idx="103">
                  <c:v>486.13761718470823</c:v>
                </c:pt>
                <c:pt idx="104">
                  <c:v>492.34236543378739</c:v>
                </c:pt>
                <c:pt idx="105">
                  <c:v>498.54545590936385</c:v>
                </c:pt>
                <c:pt idx="106">
                  <c:v>504.74691215904221</c:v>
                </c:pt>
                <c:pt idx="107">
                  <c:v>510.94675710429482</c:v>
                </c:pt>
                <c:pt idx="108">
                  <c:v>517.14501306467344</c:v>
                </c:pt>
                <c:pt idx="109">
                  <c:v>523.34170178080024</c:v>
                </c:pt>
                <c:pt idx="110">
                  <c:v>529.5368444362108</c:v>
                </c:pt>
                <c:pt idx="111">
                  <c:v>467.90134847617463</c:v>
                </c:pt>
                <c:pt idx="112">
                  <c:v>473.46434009613813</c:v>
                </c:pt>
                <c:pt idx="113">
                  <c:v>479.02594054825903</c:v>
                </c:pt>
                <c:pt idx="114">
                  <c:v>484.58616827417524</c:v>
                </c:pt>
                <c:pt idx="115">
                  <c:v>490.14504125750909</c:v>
                </c:pt>
                <c:pt idx="116">
                  <c:v>495.70257704042336</c:v>
                </c:pt>
                <c:pt idx="117">
                  <c:v>501.25879273939586</c:v>
                </c:pt>
                <c:pt idx="118">
                  <c:v>506.81370506025854</c:v>
                </c:pt>
                <c:pt idx="119">
                  <c:v>512.3673303125413</c:v>
                </c:pt>
                <c:pt idx="120">
                  <c:v>517.91968442316295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1356448"/>
        <c:axId val="-351358624"/>
      </c:scatterChart>
      <c:valAx>
        <c:axId val="-351356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58624"/>
        <c:crosses val="autoZero"/>
        <c:crossBetween val="midCat"/>
      </c:valAx>
      <c:valAx>
        <c:axId val="-35135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56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1.4216684505882042</c:v>
                </c:pt>
                <c:pt idx="2">
                  <c:v>1.6494337208217518</c:v>
                </c:pt>
                <c:pt idx="3">
                  <c:v>1.9138254418871894</c:v>
                </c:pt>
                <c:pt idx="4">
                  <c:v>2.2207542185725906</c:v>
                </c:pt>
                <c:pt idx="5">
                  <c:v>2.5770876404627994</c:v>
                </c:pt>
                <c:pt idx="6">
                  <c:v>2.990805705670585</c:v>
                </c:pt>
                <c:pt idx="7">
                  <c:v>3.4711815591519066</c:v>
                </c:pt>
                <c:pt idx="8">
                  <c:v>4.0289916795822309</c:v>
                </c:pt>
                <c:pt idx="9">
                  <c:v>4.6767603254983152</c:v>
                </c:pt>
                <c:pt idx="10">
                  <c:v>5.4290438391611309</c:v>
                </c:pt>
                <c:pt idx="11">
                  <c:v>6.3027613236217057</c:v>
                </c:pt>
                <c:pt idx="12">
                  <c:v>7.3175792760292708</c:v>
                </c:pt>
                <c:pt idx="13">
                  <c:v>8.4963590030684362</c:v>
                </c:pt>
                <c:pt idx="14">
                  <c:v>9.8656770913865515</c:v>
                </c:pt>
                <c:pt idx="15">
                  <c:v>11.456430890563903</c:v>
                </c:pt>
                <c:pt idx="16">
                  <c:v>13.304542927714031</c:v>
                </c:pt>
                <c:pt idx="17">
                  <c:v>15.45178045675719</c:v>
                </c:pt>
                <c:pt idx="18">
                  <c:v>17.946709004879654</c:v>
                </c:pt>
                <c:pt idx="19">
                  <c:v>20.845801875526238</c:v>
                </c:pt>
                <c:pt idx="20">
                  <c:v>24.214731173527223</c:v>
                </c:pt>
                <c:pt idx="21">
                  <c:v>28.129870117578587</c:v>
                </c:pt>
                <c:pt idx="22">
                  <c:v>32.680041296073831</c:v>
                </c:pt>
                <c:pt idx="23">
                  <c:v>37.968551218170866</c:v>
                </c:pt>
                <c:pt idx="24">
                  <c:v>44.115558145722979</c:v>
                </c:pt>
                <c:pt idx="25">
                  <c:v>51.260827917988813</c:v>
                </c:pt>
                <c:pt idx="26">
                  <c:v>59.56694148009052</c:v>
                </c:pt>
                <c:pt idx="27">
                  <c:v>69.223028308013781</c:v>
                </c:pt>
                <c:pt idx="28">
                  <c:v>80.449112132240245</c:v>
                </c:pt>
                <c:pt idx="29">
                  <c:v>93.501169584014704</c:v>
                </c:pt>
                <c:pt idx="30">
                  <c:v>108.6770189550495</c:v>
                </c:pt>
                <c:pt idx="31">
                  <c:v>119.34299443648099</c:v>
                </c:pt>
                <c:pt idx="32">
                  <c:v>129.98572779937055</c:v>
                </c:pt>
                <c:pt idx="33">
                  <c:v>140.60739267386097</c:v>
                </c:pt>
                <c:pt idx="34">
                  <c:v>151.20980677723819</c:v>
                </c:pt>
                <c:pt idx="35">
                  <c:v>161.79451162968965</c:v>
                </c:pt>
                <c:pt idx="36">
                  <c:v>172.36283025234334</c:v>
                </c:pt>
                <c:pt idx="37">
                  <c:v>182.91590993537883</c:v>
                </c:pt>
                <c:pt idx="38">
                  <c:v>193.45475459645681</c:v>
                </c:pt>
                <c:pt idx="39">
                  <c:v>203.9802497043132</c:v>
                </c:pt>
                <c:pt idx="40">
                  <c:v>214.49318177940339</c:v>
                </c:pt>
                <c:pt idx="41">
                  <c:v>224.99425386510336</c:v>
                </c:pt>
                <c:pt idx="42">
                  <c:v>235.48409795523028</c:v>
                </c:pt>
                <c:pt idx="43">
                  <c:v>245.96328508842066</c:v>
                </c:pt>
                <c:pt idx="44">
                  <c:v>256.43233363020784</c:v>
                </c:pt>
                <c:pt idx="45">
                  <c:v>266.89171613041833</c:v>
                </c:pt>
                <c:pt idx="46">
                  <c:v>277.34186504835151</c:v>
                </c:pt>
                <c:pt idx="47">
                  <c:v>287.78317756918744</c:v>
                </c:pt>
                <c:pt idx="48">
                  <c:v>298.21601968429599</c:v>
                </c:pt>
                <c:pt idx="49">
                  <c:v>308.64072967029892</c:v>
                </c:pt>
                <c:pt idx="50">
                  <c:v>319.05762107321726</c:v>
                </c:pt>
                <c:pt idx="51">
                  <c:v>329.46698528230218</c:v>
                </c:pt>
                <c:pt idx="52">
                  <c:v>239.91319254187792</c:v>
                </c:pt>
                <c:pt idx="53">
                  <c:v>250.7566839765808</c:v>
                </c:pt>
                <c:pt idx="54">
                  <c:v>261.58954749693504</c:v>
                </c:pt>
                <c:pt idx="55">
                  <c:v>272.4122855334258</c:v>
                </c:pt>
                <c:pt idx="56">
                  <c:v>283.22535730670057</c:v>
                </c:pt>
                <c:pt idx="57">
                  <c:v>294.02918408713464</c:v>
                </c:pt>
                <c:pt idx="58">
                  <c:v>304.82415364037161</c:v>
                </c:pt>
                <c:pt idx="59">
                  <c:v>315.61062400978892</c:v>
                </c:pt>
                <c:pt idx="60">
                  <c:v>326.38892675453917</c:v>
                </c:pt>
                <c:pt idx="61">
                  <c:v>337.15936973729157</c:v>
                </c:pt>
                <c:pt idx="62">
                  <c:v>347.92223953697516</c:v>
                </c:pt>
                <c:pt idx="63">
                  <c:v>358.67780354724954</c:v>
                </c:pt>
                <c:pt idx="64">
                  <c:v>259.91370728364598</c:v>
                </c:pt>
                <c:pt idx="65">
                  <c:v>269.83633643082231</c:v>
                </c:pt>
                <c:pt idx="66">
                  <c:v>279.75075483937445</c:v>
                </c:pt>
                <c:pt idx="67">
                  <c:v>289.65729473170762</c:v>
                </c:pt>
                <c:pt idx="68">
                  <c:v>299.55626373361866</c:v>
                </c:pt>
                <c:pt idx="69">
                  <c:v>309.4479474656211</c:v>
                </c:pt>
                <c:pt idx="70">
                  <c:v>319.33261178539772</c:v>
                </c:pt>
                <c:pt idx="71">
                  <c:v>329.21050473791996</c:v>
                </c:pt>
                <c:pt idx="72">
                  <c:v>339.08185825915456</c:v>
                </c:pt>
                <c:pt idx="73">
                  <c:v>348.94688967090889</c:v>
                </c:pt>
                <c:pt idx="74">
                  <c:v>358.80580299772583</c:v>
                </c:pt>
                <c:pt idx="75">
                  <c:v>368.65879013141921</c:v>
                </c:pt>
                <c:pt idx="76">
                  <c:v>292.22917146099797</c:v>
                </c:pt>
                <c:pt idx="77">
                  <c:v>301.22679191692936</c:v>
                </c:pt>
                <c:pt idx="78">
                  <c:v>310.21842991455259</c:v>
                </c:pt>
                <c:pt idx="79">
                  <c:v>319.2042834391799</c:v>
                </c:pt>
                <c:pt idx="80">
                  <c:v>328.18453841094606</c:v>
                </c:pt>
                <c:pt idx="81">
                  <c:v>337.15936973729123</c:v>
                </c:pt>
                <c:pt idx="82">
                  <c:v>346.12894224745969</c:v>
                </c:pt>
                <c:pt idx="83">
                  <c:v>355.09341152502003</c:v>
                </c:pt>
                <c:pt idx="84">
                  <c:v>364.05292465188319</c:v>
                </c:pt>
                <c:pt idx="85">
                  <c:v>373.00762087521866</c:v>
                </c:pt>
                <c:pt idx="86">
                  <c:v>381.95763220695682</c:v>
                </c:pt>
                <c:pt idx="87">
                  <c:v>390.90308396414639</c:v>
                </c:pt>
                <c:pt idx="88">
                  <c:v>316.05988081531285</c:v>
                </c:pt>
                <c:pt idx="89">
                  <c:v>324.20824758788905</c:v>
                </c:pt>
                <c:pt idx="90">
                  <c:v>332.35208865052783</c:v>
                </c:pt>
                <c:pt idx="91">
                  <c:v>340.49153063189533</c:v>
                </c:pt>
                <c:pt idx="92">
                  <c:v>348.62669360757508</c:v>
                </c:pt>
                <c:pt idx="93">
                  <c:v>356.75769158755321</c:v>
                </c:pt>
                <c:pt idx="94">
                  <c:v>364.88463295691707</c:v>
                </c:pt>
                <c:pt idx="95">
                  <c:v>373.00762087521849</c:v>
                </c:pt>
                <c:pt idx="96">
                  <c:v>381.1267536392179</c:v>
                </c:pt>
                <c:pt idx="97">
                  <c:v>389.24212501308784</c:v>
                </c:pt>
                <c:pt idx="98">
                  <c:v>397.35382452962966</c:v>
                </c:pt>
                <c:pt idx="99">
                  <c:v>405.46193776560017</c:v>
                </c:pt>
                <c:pt idx="100">
                  <c:v>210.96564760624369</c:v>
                </c:pt>
                <c:pt idx="101">
                  <c:v>215.39357468125263</c:v>
                </c:pt>
                <c:pt idx="102">
                  <c:v>219.81940690660107</c:v>
                </c:pt>
                <c:pt idx="103">
                  <c:v>224.24319250120629</c:v>
                </c:pt>
                <c:pt idx="104">
                  <c:v>228.6649776222896</c:v>
                </c:pt>
                <c:pt idx="105">
                  <c:v>233.08480649261779</c:v>
                </c:pt>
                <c:pt idx="106">
                  <c:v>237.50272151757167</c:v>
                </c:pt>
                <c:pt idx="107">
                  <c:v>241.91876339303545</c:v>
                </c:pt>
                <c:pt idx="108">
                  <c:v>246.33297120498284</c:v>
                </c:pt>
                <c:pt idx="109">
                  <c:v>250.74538252154093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1355904"/>
        <c:axId val="-351370592"/>
      </c:scatterChart>
      <c:valAx>
        <c:axId val="-351355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70592"/>
        <c:crosses val="autoZero"/>
        <c:crossBetween val="midCat"/>
      </c:valAx>
      <c:valAx>
        <c:axId val="-35137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55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1360256"/>
        <c:axId val="-351362432"/>
      </c:scatterChart>
      <c:valAx>
        <c:axId val="-351360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62432"/>
        <c:crosses val="autoZero"/>
        <c:crossBetween val="midCat"/>
      </c:valAx>
      <c:valAx>
        <c:axId val="-35136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60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1363520"/>
        <c:axId val="-351368416"/>
      </c:scatterChart>
      <c:valAx>
        <c:axId val="-351363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68416"/>
        <c:crosses val="autoZero"/>
        <c:crossBetween val="midCat"/>
      </c:valAx>
      <c:valAx>
        <c:axId val="-35136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63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1361888"/>
        <c:axId val="-351361344"/>
      </c:scatterChart>
      <c:valAx>
        <c:axId val="-351361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61344"/>
        <c:crosses val="autoZero"/>
        <c:crossBetween val="midCat"/>
      </c:valAx>
      <c:valAx>
        <c:axId val="-35136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61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1368960"/>
        <c:axId val="-351367328"/>
      </c:scatterChart>
      <c:valAx>
        <c:axId val="-351368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67328"/>
        <c:crosses val="autoZero"/>
        <c:crossBetween val="midCat"/>
      </c:valAx>
      <c:valAx>
        <c:axId val="-35136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68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51360800"/>
        <c:axId val="-351359712"/>
      </c:scatterChart>
      <c:valAx>
        <c:axId val="-351360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59712"/>
        <c:crosses val="autoZero"/>
        <c:crossBetween val="midCat"/>
      </c:valAx>
      <c:valAx>
        <c:axId val="-3513597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1360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B57" zoomScale="55" zoomScaleNormal="55" workbookViewId="0">
      <selection activeCell="B105" sqref="B105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5.4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/>
      <c r="C9" s="35"/>
      <c r="D9" s="36">
        <f t="shared" ref="D9:D18" si="0">C9*$C$5</f>
        <v>0</v>
      </c>
      <c r="E9" s="37"/>
      <c r="F9" s="38" t="str">
        <f t="array" ref="F9">IF(E9="","",IF(INDEX(A:A,MAX(IF(ISNUMBER($A$36:$A$55),ROW($A$36:$A$55),"")))&lt;&gt;E9,"Corrigez : révolution incorrecte","OK"))</f>
        <v/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6</v>
      </c>
      <c r="C11" s="35">
        <v>0.14000000000000001</v>
      </c>
      <c r="D11" s="36">
        <f t="shared" si="0"/>
        <v>0.75600000000000012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164</v>
      </c>
      <c r="C12" s="35">
        <v>0.09</v>
      </c>
      <c r="D12" s="36">
        <f t="shared" si="0"/>
        <v>0.48599999999999999</v>
      </c>
      <c r="E12" s="37">
        <v>109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</v>
      </c>
      <c r="C13" s="35">
        <v>0.05</v>
      </c>
      <c r="D13" s="36">
        <f t="shared" si="0"/>
        <v>0.27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52</v>
      </c>
      <c r="C14" s="35">
        <v>0.05</v>
      </c>
      <c r="D14" s="36">
        <f t="shared" si="0"/>
        <v>0.27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14</v>
      </c>
      <c r="C15" s="35">
        <v>0.67</v>
      </c>
      <c r="D15" s="36">
        <f t="shared" si="0"/>
        <v>3.6180000000000003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1</v>
      </c>
      <c r="D19" s="41">
        <f>SUM(D9:D18)</f>
        <v>5.4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7"/>
      <c r="E22" s="27">
        <f>15/7700</f>
        <v>1.9480519480519481E-3</v>
      </c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/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/>
      <c r="B36" s="61"/>
      <c r="C36" s="61"/>
      <c r="D36" s="61"/>
      <c r="E36" s="54"/>
      <c r="F36" s="54"/>
      <c r="G36" s="54"/>
      <c r="H36" s="54"/>
      <c r="I36" s="52" t="str">
        <f>IFERROR(B36/A36,"")</f>
        <v/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/>
      <c r="B37" s="61"/>
      <c r="C37" s="61"/>
      <c r="D37" s="61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/>
      <c r="B38" s="61"/>
      <c r="C38" s="61"/>
      <c r="D38" s="61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/>
      <c r="B39" s="61"/>
      <c r="C39" s="61"/>
      <c r="D39" s="61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1"/>
      <c r="C40" s="61"/>
      <c r="D40" s="61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1"/>
      <c r="C41" s="61"/>
      <c r="D41" s="61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1"/>
      <c r="C42" s="61"/>
      <c r="D42" s="61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1"/>
      <c r="B43" s="61"/>
      <c r="C43" s="61"/>
      <c r="D43" s="61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1"/>
      <c r="B44" s="61"/>
      <c r="C44" s="61"/>
      <c r="D44" s="61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1"/>
      <c r="B45" s="61"/>
      <c r="C45" s="61"/>
      <c r="D45" s="61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1"/>
      <c r="B46" s="61"/>
      <c r="C46" s="61"/>
      <c r="D46" s="61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1"/>
      <c r="B47" s="61"/>
      <c r="C47" s="61"/>
      <c r="D47" s="61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1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1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1"/>
      <c r="C62" s="61"/>
      <c r="D62" s="61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1"/>
      <c r="C63" s="61"/>
      <c r="D63" s="61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1"/>
      <c r="C64" s="61"/>
      <c r="D64" s="61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1"/>
      <c r="C65" s="61"/>
      <c r="D65" s="61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1"/>
      <c r="C66" s="61"/>
      <c r="D66" s="61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1"/>
      <c r="C67" s="61"/>
      <c r="D67" s="61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1"/>
      <c r="C68" s="61"/>
      <c r="D68" s="61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Charme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1">
        <f>53/1.56</f>
        <v>33.974358974358971</v>
      </c>
      <c r="C88" s="61"/>
      <c r="D88" s="61"/>
      <c r="E88" s="54"/>
      <c r="F88" s="54"/>
      <c r="G88" s="54"/>
      <c r="H88" s="91"/>
      <c r="I88" s="56">
        <f>IFERROR(B88/A88,"")</f>
        <v>2.2649572649572649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1">
        <f>(89+10)/1.56</f>
        <v>63.46153846153846</v>
      </c>
      <c r="C89" s="61"/>
      <c r="D89" s="61"/>
      <c r="E89" s="54"/>
      <c r="F89" s="54"/>
      <c r="G89" s="54"/>
      <c r="H89" s="91"/>
      <c r="I89" s="56">
        <f t="shared" ref="I89:I107" si="3">IF(A89&lt;&gt;0,(B89-(B88-D88))/(A89-A88),"")</f>
        <v>5.8974358974358978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1">
        <f>(123+10+14)/1.56</f>
        <v>94.230769230769226</v>
      </c>
      <c r="C90" s="61"/>
      <c r="D90" s="61"/>
      <c r="E90" s="91"/>
      <c r="F90" s="91"/>
      <c r="G90" s="91"/>
      <c r="H90" s="91"/>
      <c r="I90" s="56">
        <f t="shared" si="3"/>
        <v>6.1538461538461533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1">
        <f>(154+10+14+18)/1.56</f>
        <v>125.64102564102564</v>
      </c>
      <c r="C91" s="61">
        <v>1</v>
      </c>
      <c r="D91" s="61">
        <f>(10+14+18+20)/1.56</f>
        <v>39.743589743589745</v>
      </c>
      <c r="E91" s="91"/>
      <c r="F91" s="91"/>
      <c r="G91" s="91"/>
      <c r="H91" s="91">
        <v>1</v>
      </c>
      <c r="I91" s="56">
        <f t="shared" si="3"/>
        <v>6.2820512820512819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1">
        <f>(182)/1.56</f>
        <v>116.66666666666666</v>
      </c>
      <c r="C92" s="61"/>
      <c r="D92" s="61"/>
      <c r="E92" s="91"/>
      <c r="F92" s="91"/>
      <c r="G92" s="91"/>
      <c r="H92" s="91"/>
      <c r="I92" s="56">
        <f t="shared" si="3"/>
        <v>6.1538461538461551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1">
        <f>(206+21)/1.56</f>
        <v>145.5128205128205</v>
      </c>
      <c r="C93" s="61"/>
      <c r="D93" s="61"/>
      <c r="E93" s="91"/>
      <c r="F93" s="91"/>
      <c r="G93" s="91"/>
      <c r="H93" s="91"/>
      <c r="I93" s="56">
        <f t="shared" si="3"/>
        <v>5.7692307692307683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1">
        <f>(228+21+22)/1.56</f>
        <v>173.7179487179487</v>
      </c>
      <c r="C94" s="61">
        <v>2</v>
      </c>
      <c r="D94" s="61">
        <f>(22+22+21)/1.56</f>
        <v>41.666666666666664</v>
      </c>
      <c r="E94" s="91"/>
      <c r="F94" s="91"/>
      <c r="G94" s="91"/>
      <c r="H94" s="91"/>
      <c r="I94" s="56">
        <f t="shared" si="3"/>
        <v>5.6410256410256405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1">
        <v>50</v>
      </c>
      <c r="B95" s="61">
        <f>(247)/1.56</f>
        <v>158.33333333333331</v>
      </c>
      <c r="C95" s="61"/>
      <c r="D95" s="61"/>
      <c r="E95" s="91"/>
      <c r="F95" s="91"/>
      <c r="G95" s="91"/>
      <c r="H95" s="91"/>
      <c r="I95" s="56">
        <f t="shared" si="3"/>
        <v>5.2564102564102537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1">
        <v>55</v>
      </c>
      <c r="B96" s="61">
        <f>(263+22)/1.56</f>
        <v>182.69230769230768</v>
      </c>
      <c r="C96" s="61">
        <v>3</v>
      </c>
      <c r="D96" s="61">
        <f>(22+22)/1.56</f>
        <v>28.205128205128204</v>
      </c>
      <c r="E96" s="91"/>
      <c r="F96" s="91"/>
      <c r="G96" s="91"/>
      <c r="H96" s="91"/>
      <c r="I96" s="56">
        <f t="shared" si="3"/>
        <v>4.8717948717948731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1">
        <v>60</v>
      </c>
      <c r="B97" s="61">
        <f>(278)/1.56</f>
        <v>178.2051282051282</v>
      </c>
      <c r="C97" s="61"/>
      <c r="D97" s="61"/>
      <c r="E97" s="91"/>
      <c r="F97" s="91"/>
      <c r="G97" s="91"/>
      <c r="H97" s="91"/>
      <c r="I97" s="56">
        <f t="shared" si="3"/>
        <v>4.7435897435897463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1">
        <v>65</v>
      </c>
      <c r="B98" s="61">
        <f>(291+22)/1.56</f>
        <v>200.64102564102564</v>
      </c>
      <c r="C98" s="61">
        <v>4</v>
      </c>
      <c r="D98" s="61">
        <f>(22+22)/1.56</f>
        <v>28.205128205128204</v>
      </c>
      <c r="E98" s="91"/>
      <c r="F98" s="91"/>
      <c r="G98" s="91"/>
      <c r="H98" s="91"/>
      <c r="I98" s="56">
        <f t="shared" si="3"/>
        <v>4.4871794871794863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1">
        <v>70</v>
      </c>
      <c r="B99" s="61">
        <f>(303)/1.56</f>
        <v>194.23076923076923</v>
      </c>
      <c r="C99" s="61"/>
      <c r="D99" s="61"/>
      <c r="E99" s="91"/>
      <c r="F99" s="91"/>
      <c r="G99" s="91"/>
      <c r="H99" s="91"/>
      <c r="I99" s="56">
        <f t="shared" si="3"/>
        <v>4.3589743589743595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1">
        <v>75</v>
      </c>
      <c r="B100" s="61">
        <f>(313+21)/1.56</f>
        <v>214.10256410256409</v>
      </c>
      <c r="C100" s="61">
        <v>5</v>
      </c>
      <c r="D100" s="61">
        <f>(21+21)/1.56</f>
        <v>26.923076923076923</v>
      </c>
      <c r="E100" s="66"/>
      <c r="F100" s="66"/>
      <c r="G100" s="66"/>
      <c r="H100" s="66"/>
      <c r="I100" s="56">
        <f t="shared" si="3"/>
        <v>3.9743589743589722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1">
        <v>80</v>
      </c>
      <c r="B101" s="61">
        <f>(322)/1.56</f>
        <v>206.41025641025641</v>
      </c>
      <c r="C101" s="61"/>
      <c r="D101" s="61"/>
      <c r="E101" s="66"/>
      <c r="F101" s="66"/>
      <c r="G101" s="66"/>
      <c r="H101" s="66"/>
      <c r="I101" s="56">
        <f t="shared" si="3"/>
        <v>3.8461538461538511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1">
        <v>85</v>
      </c>
      <c r="B102" s="53">
        <v>225</v>
      </c>
      <c r="C102" s="61">
        <v>6</v>
      </c>
      <c r="D102" s="53">
        <v>25.641025641025639</v>
      </c>
      <c r="E102" s="57"/>
      <c r="F102" s="57"/>
      <c r="G102" s="57"/>
      <c r="H102" s="57"/>
      <c r="I102" s="56">
        <f t="shared" si="3"/>
        <v>3.7179487179487181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1">
        <v>90</v>
      </c>
      <c r="B103" s="53">
        <f>339/1.56</f>
        <v>217.30769230769229</v>
      </c>
      <c r="C103" s="61"/>
      <c r="D103" s="53"/>
      <c r="E103" s="57"/>
      <c r="F103" s="57"/>
      <c r="G103" s="57"/>
      <c r="H103" s="57"/>
      <c r="I103" s="56">
        <f t="shared" si="3"/>
        <v>3.5897435897435854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1">
        <v>95</v>
      </c>
      <c r="B104" s="53">
        <v>233.97435897435898</v>
      </c>
      <c r="C104" s="61">
        <v>7</v>
      </c>
      <c r="D104" s="53">
        <v>23.717948717948715</v>
      </c>
      <c r="E104" s="57"/>
      <c r="F104" s="57"/>
      <c r="G104" s="57"/>
      <c r="H104" s="57"/>
      <c r="I104" s="56">
        <f t="shared" si="3"/>
        <v>3.333333333333337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100</v>
      </c>
      <c r="B105" s="53">
        <f>353/1.56</f>
        <v>226.28205128205127</v>
      </c>
      <c r="C105" s="53"/>
      <c r="D105" s="53"/>
      <c r="E105" s="57"/>
      <c r="F105" s="57"/>
      <c r="G105" s="57"/>
      <c r="H105" s="57"/>
      <c r="I105" s="56">
        <f t="shared" si="3"/>
        <v>3.2051282051281986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110</v>
      </c>
      <c r="B106" s="53">
        <v>257.05128205128204</v>
      </c>
      <c r="C106" s="53">
        <v>8</v>
      </c>
      <c r="D106" s="53">
        <v>33.333333333333336</v>
      </c>
      <c r="E106" s="57"/>
      <c r="F106" s="57"/>
      <c r="G106" s="57"/>
      <c r="H106" s="57"/>
      <c r="I106" s="56">
        <f t="shared" si="3"/>
        <v>3.0769230769230775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120</v>
      </c>
      <c r="B107" s="53">
        <v>251.28205128205127</v>
      </c>
      <c r="C107" s="53">
        <v>9</v>
      </c>
      <c r="D107" s="53">
        <v>251.28205128205127</v>
      </c>
      <c r="E107" s="57"/>
      <c r="F107" s="57"/>
      <c r="G107" s="57"/>
      <c r="H107" s="57"/>
      <c r="I107" s="56">
        <f t="shared" si="3"/>
        <v>2.7564102564102568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Cèdre de l'Atlas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30</v>
      </c>
      <c r="B114" s="61">
        <f>134/1.3</f>
        <v>103.07692307692308</v>
      </c>
      <c r="C114" s="53"/>
      <c r="D114" s="61"/>
      <c r="E114" s="54"/>
      <c r="F114" s="54"/>
      <c r="G114" s="54"/>
      <c r="H114" s="54"/>
      <c r="I114" s="56">
        <f>IFERROR(B114/A114,"")</f>
        <v>3.4358974358974361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51</v>
      </c>
      <c r="B115" s="61">
        <f>418/1.3</f>
        <v>321.53846153846155</v>
      </c>
      <c r="C115" s="53">
        <v>1</v>
      </c>
      <c r="D115" s="61">
        <f>(418-288)/1.3</f>
        <v>100</v>
      </c>
      <c r="E115" s="54"/>
      <c r="F115" s="54"/>
      <c r="G115" s="54"/>
      <c r="H115" s="54"/>
      <c r="I115" s="56">
        <f t="shared" ref="I115:I124" si="4">IF(A115&lt;&gt;0,(B115-(B114-D114))/(A115-A114),"")</f>
        <v>10.402930402930403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63</v>
      </c>
      <c r="B116" s="61">
        <f>456/1.3</f>
        <v>350.76923076923077</v>
      </c>
      <c r="C116" s="53">
        <v>2</v>
      </c>
      <c r="D116" s="61">
        <f>(456-315)/1.3</f>
        <v>108.46153846153845</v>
      </c>
      <c r="E116" s="54"/>
      <c r="F116" s="54"/>
      <c r="G116" s="54"/>
      <c r="H116" s="54"/>
      <c r="I116" s="56">
        <f t="shared" si="4"/>
        <v>10.769230769230768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75</v>
      </c>
      <c r="B117" s="61">
        <f>469/1.3</f>
        <v>360.76923076923077</v>
      </c>
      <c r="C117" s="53">
        <v>3</v>
      </c>
      <c r="D117" s="61">
        <f>B117-(358/1.3)</f>
        <v>85.384615384615415</v>
      </c>
      <c r="E117" s="54"/>
      <c r="F117" s="54"/>
      <c r="G117" s="54"/>
      <c r="H117" s="54"/>
      <c r="I117" s="56">
        <f t="shared" si="4"/>
        <v>9.8717948717948705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87</v>
      </c>
      <c r="B118" s="61">
        <f>498/1.3</f>
        <v>383.07692307692304</v>
      </c>
      <c r="C118" s="53">
        <v>4</v>
      </c>
      <c r="D118" s="61">
        <f>B118-(390/1.3)</f>
        <v>83.076923076923038</v>
      </c>
      <c r="E118" s="54"/>
      <c r="F118" s="54"/>
      <c r="G118" s="54"/>
      <c r="H118" s="54"/>
      <c r="I118" s="56">
        <f t="shared" si="4"/>
        <v>8.9743589743589727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99</v>
      </c>
      <c r="B119" s="61">
        <f>517/1.3</f>
        <v>397.69230769230768</v>
      </c>
      <c r="C119" s="53">
        <v>5</v>
      </c>
      <c r="D119" s="61">
        <f>B119-(259/1.3)</f>
        <v>198.46153846153845</v>
      </c>
      <c r="E119" s="54"/>
      <c r="F119" s="54"/>
      <c r="G119" s="54"/>
      <c r="H119" s="54"/>
      <c r="I119" s="56">
        <f t="shared" si="4"/>
        <v>8.1410256410256405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1">
        <v>109</v>
      </c>
      <c r="B120" s="61">
        <f>333/1.37</f>
        <v>243.06569343065692</v>
      </c>
      <c r="C120" s="61">
        <v>6</v>
      </c>
      <c r="D120" s="61">
        <f>B120</f>
        <v>243.06569343065692</v>
      </c>
      <c r="E120" s="91"/>
      <c r="F120" s="91"/>
      <c r="G120" s="91"/>
      <c r="H120" s="91"/>
      <c r="I120" s="56">
        <f t="shared" si="4"/>
        <v>4.3834924199887695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1"/>
      <c r="B121" s="61"/>
      <c r="C121" s="61"/>
      <c r="D121" s="61"/>
      <c r="E121" s="91"/>
      <c r="F121" s="91"/>
      <c r="G121" s="91"/>
      <c r="H121" s="91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1"/>
      <c r="B122" s="61"/>
      <c r="C122" s="61"/>
      <c r="D122" s="61"/>
      <c r="E122" s="91"/>
      <c r="F122" s="91"/>
      <c r="G122" s="91"/>
      <c r="H122" s="91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1"/>
      <c r="B123" s="61"/>
      <c r="C123" s="61"/>
      <c r="D123" s="61"/>
      <c r="E123" s="91"/>
      <c r="F123" s="91"/>
      <c r="G123" s="91"/>
      <c r="H123" s="91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1"/>
      <c r="B124" s="61"/>
      <c r="C124" s="61"/>
      <c r="D124" s="61"/>
      <c r="E124" s="91"/>
      <c r="F124" s="91"/>
      <c r="G124" s="91"/>
      <c r="H124" s="91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1"/>
      <c r="B125" s="61"/>
      <c r="C125" s="61"/>
      <c r="D125" s="61"/>
      <c r="E125" s="91"/>
      <c r="F125" s="91"/>
      <c r="G125" s="91"/>
      <c r="H125" s="91"/>
      <c r="I125" s="56" t="str">
        <f t="shared" ref="I125:I133" si="5">IF(A125&lt;&gt;0,(B125-(B124-D124))/(A125-A124),"")</f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1"/>
      <c r="B126" s="61"/>
      <c r="C126" s="61"/>
      <c r="D126" s="61"/>
      <c r="E126" s="66"/>
      <c r="F126" s="66"/>
      <c r="G126" s="66"/>
      <c r="H126" s="66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1"/>
      <c r="B127" s="61"/>
      <c r="C127" s="61"/>
      <c r="D127" s="61"/>
      <c r="E127" s="66"/>
      <c r="F127" s="66"/>
      <c r="G127" s="66"/>
      <c r="H127" s="66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Alisier torminal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v>70</v>
      </c>
      <c r="C141" s="61"/>
      <c r="D141" s="61"/>
      <c r="E141" s="54"/>
      <c r="F141" s="54"/>
      <c r="G141" s="54"/>
      <c r="H141" s="54"/>
      <c r="I141" s="59">
        <f t="shared" ref="I141:I159" si="6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v>105</v>
      </c>
      <c r="C142" s="61">
        <v>1</v>
      </c>
      <c r="D142" s="61">
        <v>29</v>
      </c>
      <c r="E142" s="54"/>
      <c r="F142" s="54"/>
      <c r="G142" s="54"/>
      <c r="H142" s="54">
        <v>1</v>
      </c>
      <c r="I142" s="59">
        <f t="shared" si="6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v>116</v>
      </c>
      <c r="C143" s="61"/>
      <c r="D143" s="61"/>
      <c r="E143" s="54"/>
      <c r="F143" s="54"/>
      <c r="G143" s="54"/>
      <c r="H143" s="54"/>
      <c r="I143" s="59">
        <f t="shared" si="6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v>158</v>
      </c>
      <c r="C144" s="61">
        <v>2</v>
      </c>
      <c r="D144" s="61">
        <v>42</v>
      </c>
      <c r="E144" s="54"/>
      <c r="F144" s="54"/>
      <c r="G144" s="54"/>
      <c r="H144" s="54"/>
      <c r="I144" s="59">
        <f t="shared" si="6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v>158</v>
      </c>
      <c r="C145" s="61"/>
      <c r="D145" s="61"/>
      <c r="E145" s="54"/>
      <c r="F145" s="54"/>
      <c r="G145" s="54"/>
      <c r="H145" s="54"/>
      <c r="I145" s="59">
        <f t="shared" si="6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v>199</v>
      </c>
      <c r="C146" s="61">
        <v>3</v>
      </c>
      <c r="D146" s="61">
        <v>42</v>
      </c>
      <c r="E146" s="54"/>
      <c r="F146" s="54"/>
      <c r="G146" s="54"/>
      <c r="H146" s="54"/>
      <c r="I146" s="59">
        <f t="shared" si="6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53">
        <v>197</v>
      </c>
      <c r="C147" s="53"/>
      <c r="D147" s="53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59">
        <f t="shared" si="6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59">
        <f t="shared" si="6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59">
        <f t="shared" si="6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59">
        <f t="shared" si="6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59">
        <f t="shared" si="6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59">
        <f t="shared" si="6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59">
        <f t="shared" si="6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59">
        <f t="shared" si="6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59">
        <f t="shared" si="6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59">
        <f t="shared" si="6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59">
        <f t="shared" si="6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59">
        <f t="shared" si="6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Cormier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1">
        <v>42</v>
      </c>
      <c r="C166" s="61"/>
      <c r="D166" s="61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1">
        <v>70</v>
      </c>
      <c r="C167" s="61"/>
      <c r="D167" s="61"/>
      <c r="E167" s="54"/>
      <c r="F167" s="54"/>
      <c r="G167" s="54"/>
      <c r="H167" s="54"/>
      <c r="I167" s="52">
        <f t="shared" ref="I167:I185" si="7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1">
        <v>105</v>
      </c>
      <c r="C168" s="61">
        <v>1</v>
      </c>
      <c r="D168" s="61">
        <v>29</v>
      </c>
      <c r="E168" s="54"/>
      <c r="F168" s="54"/>
      <c r="G168" s="54"/>
      <c r="H168" s="54">
        <v>1</v>
      </c>
      <c r="I168" s="52">
        <f t="shared" si="7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1">
        <v>116</v>
      </c>
      <c r="C169" s="61"/>
      <c r="D169" s="61"/>
      <c r="E169" s="54"/>
      <c r="F169" s="54"/>
      <c r="G169" s="54"/>
      <c r="H169" s="54"/>
      <c r="I169" s="52">
        <f t="shared" si="7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1">
        <v>158</v>
      </c>
      <c r="C170" s="61">
        <v>2</v>
      </c>
      <c r="D170" s="61">
        <v>42</v>
      </c>
      <c r="E170" s="54"/>
      <c r="F170" s="54"/>
      <c r="G170" s="54"/>
      <c r="H170" s="54"/>
      <c r="I170" s="52">
        <f t="shared" si="7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1">
        <v>158</v>
      </c>
      <c r="C171" s="61"/>
      <c r="D171" s="61"/>
      <c r="E171" s="54"/>
      <c r="F171" s="54"/>
      <c r="G171" s="54"/>
      <c r="H171" s="54"/>
      <c r="I171" s="52">
        <f t="shared" si="7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1">
        <v>199</v>
      </c>
      <c r="C172" s="61">
        <v>3</v>
      </c>
      <c r="D172" s="61">
        <v>42</v>
      </c>
      <c r="E172" s="54"/>
      <c r="F172" s="54"/>
      <c r="G172" s="54"/>
      <c r="H172" s="54"/>
      <c r="I172" s="52">
        <f t="shared" si="7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53">
        <v>197</v>
      </c>
      <c r="C173" s="53"/>
      <c r="D173" s="53"/>
      <c r="E173" s="54"/>
      <c r="F173" s="54"/>
      <c r="G173" s="54"/>
      <c r="H173" s="54"/>
      <c r="I173" s="52">
        <f t="shared" si="7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235</v>
      </c>
      <c r="C174" s="53">
        <v>4</v>
      </c>
      <c r="D174" s="53">
        <v>42</v>
      </c>
      <c r="E174" s="54"/>
      <c r="F174" s="54"/>
      <c r="G174" s="54"/>
      <c r="H174" s="54"/>
      <c r="I174" s="52">
        <f t="shared" si="7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53">
        <v>229</v>
      </c>
      <c r="C175" s="53"/>
      <c r="D175" s="53"/>
      <c r="E175" s="54"/>
      <c r="F175" s="54"/>
      <c r="G175" s="54"/>
      <c r="H175" s="54"/>
      <c r="I175" s="52">
        <f t="shared" si="7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53">
        <v>263</v>
      </c>
      <c r="C176" s="53">
        <v>5</v>
      </c>
      <c r="D176" s="53">
        <v>42</v>
      </c>
      <c r="E176" s="54"/>
      <c r="F176" s="54"/>
      <c r="G176" s="54"/>
      <c r="H176" s="54"/>
      <c r="I176" s="52">
        <f t="shared" si="7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53">
        <v>252</v>
      </c>
      <c r="C177" s="53"/>
      <c r="D177" s="53"/>
      <c r="E177" s="54"/>
      <c r="F177" s="54"/>
      <c r="G177" s="54"/>
      <c r="H177" s="54"/>
      <c r="I177" s="52">
        <f t="shared" si="7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80</v>
      </c>
      <c r="B178" s="53">
        <v>282</v>
      </c>
      <c r="C178" s="53">
        <v>6</v>
      </c>
      <c r="D178" s="53">
        <v>42</v>
      </c>
      <c r="E178" s="54"/>
      <c r="F178" s="54"/>
      <c r="G178" s="54"/>
      <c r="H178" s="54"/>
      <c r="I178" s="52">
        <f t="shared" si="7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90</v>
      </c>
      <c r="B179" s="53">
        <v>296</v>
      </c>
      <c r="C179" s="53">
        <v>7</v>
      </c>
      <c r="D179" s="53">
        <v>42</v>
      </c>
      <c r="E179" s="54"/>
      <c r="F179" s="54"/>
      <c r="G179" s="54"/>
      <c r="H179" s="54"/>
      <c r="I179" s="52">
        <f t="shared" si="7"/>
        <v>5.6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100</v>
      </c>
      <c r="B180" s="53">
        <v>303</v>
      </c>
      <c r="C180" s="53">
        <v>8</v>
      </c>
      <c r="D180" s="53">
        <v>42</v>
      </c>
      <c r="E180" s="54"/>
      <c r="F180" s="54"/>
      <c r="G180" s="54"/>
      <c r="H180" s="54"/>
      <c r="I180" s="52">
        <f t="shared" si="7"/>
        <v>4.9000000000000004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110</v>
      </c>
      <c r="B181" s="53">
        <v>305</v>
      </c>
      <c r="C181" s="53">
        <v>9</v>
      </c>
      <c r="D181" s="53">
        <v>39</v>
      </c>
      <c r="E181" s="54"/>
      <c r="F181" s="54"/>
      <c r="G181" s="54"/>
      <c r="H181" s="54"/>
      <c r="I181" s="52">
        <f t="shared" si="7"/>
        <v>4.4000000000000004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120</v>
      </c>
      <c r="B182" s="53">
        <v>303</v>
      </c>
      <c r="C182" s="53">
        <v>10</v>
      </c>
      <c r="D182" s="53">
        <v>35</v>
      </c>
      <c r="E182" s="54"/>
      <c r="F182" s="54"/>
      <c r="G182" s="54"/>
      <c r="H182" s="54"/>
      <c r="I182" s="52">
        <f t="shared" si="7"/>
        <v>3.7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130</v>
      </c>
      <c r="B183" s="53">
        <v>300</v>
      </c>
      <c r="C183" s="53">
        <v>11</v>
      </c>
      <c r="D183" s="53">
        <v>31</v>
      </c>
      <c r="E183" s="54"/>
      <c r="F183" s="54"/>
      <c r="G183" s="54"/>
      <c r="H183" s="54"/>
      <c r="I183" s="52">
        <f t="shared" si="7"/>
        <v>3.2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140</v>
      </c>
      <c r="B184" s="53">
        <v>296</v>
      </c>
      <c r="C184" s="53">
        <v>12</v>
      </c>
      <c r="D184" s="53">
        <v>27</v>
      </c>
      <c r="E184" s="54"/>
      <c r="F184" s="54"/>
      <c r="G184" s="54"/>
      <c r="H184" s="54"/>
      <c r="I184" s="52">
        <f t="shared" si="7"/>
        <v>2.7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150</v>
      </c>
      <c r="B185" s="53">
        <v>293</v>
      </c>
      <c r="C185" s="53">
        <v>13</v>
      </c>
      <c r="D185" s="53">
        <v>293</v>
      </c>
      <c r="E185" s="54"/>
      <c r="F185" s="54"/>
      <c r="G185" s="54"/>
      <c r="H185" s="54"/>
      <c r="I185" s="52">
        <f t="shared" si="7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Chêne sessile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61">
        <v>42</v>
      </c>
      <c r="C192" s="61"/>
      <c r="D192" s="61"/>
      <c r="E192" s="54"/>
      <c r="F192" s="54"/>
      <c r="G192" s="54"/>
      <c r="H192" s="54"/>
      <c r="I192" s="52">
        <f>IFERROR(B192/A192,"")</f>
        <v>2.1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61">
        <v>70</v>
      </c>
      <c r="C193" s="61"/>
      <c r="D193" s="61"/>
      <c r="E193" s="54"/>
      <c r="F193" s="54"/>
      <c r="G193" s="54"/>
      <c r="H193" s="54"/>
      <c r="I193" s="52">
        <f t="shared" ref="I193:I211" si="8">IF(A193&lt;&gt;0,(B193-(B192-D192))/(A193-A192),"")</f>
        <v>5.6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61">
        <v>105</v>
      </c>
      <c r="C194" s="61">
        <v>1</v>
      </c>
      <c r="D194" s="61">
        <v>29</v>
      </c>
      <c r="E194" s="54"/>
      <c r="F194" s="54"/>
      <c r="G194" s="54"/>
      <c r="H194" s="54">
        <v>1</v>
      </c>
      <c r="I194" s="52">
        <f t="shared" si="8"/>
        <v>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61">
        <v>116</v>
      </c>
      <c r="C195" s="61"/>
      <c r="D195" s="61"/>
      <c r="E195" s="54"/>
      <c r="F195" s="54"/>
      <c r="G195" s="54"/>
      <c r="H195" s="54"/>
      <c r="I195" s="52">
        <f t="shared" si="8"/>
        <v>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61">
        <v>158</v>
      </c>
      <c r="C196" s="61">
        <v>2</v>
      </c>
      <c r="D196" s="61">
        <v>42</v>
      </c>
      <c r="E196" s="54"/>
      <c r="F196" s="54"/>
      <c r="G196" s="54"/>
      <c r="H196" s="54"/>
      <c r="I196" s="52">
        <f t="shared" si="8"/>
        <v>8.4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45</v>
      </c>
      <c r="B197" s="61">
        <v>158</v>
      </c>
      <c r="C197" s="61"/>
      <c r="D197" s="61"/>
      <c r="E197" s="54"/>
      <c r="F197" s="54"/>
      <c r="G197" s="54"/>
      <c r="H197" s="54"/>
      <c r="I197" s="52">
        <f t="shared" si="8"/>
        <v>8.4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61">
        <v>199</v>
      </c>
      <c r="C198" s="61">
        <v>3</v>
      </c>
      <c r="D198" s="61">
        <v>42</v>
      </c>
      <c r="E198" s="54"/>
      <c r="F198" s="54"/>
      <c r="G198" s="54"/>
      <c r="H198" s="54"/>
      <c r="I198" s="52">
        <f t="shared" si="8"/>
        <v>8.1999999999999993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55</v>
      </c>
      <c r="B199" s="53">
        <v>197</v>
      </c>
      <c r="C199" s="53"/>
      <c r="D199" s="53"/>
      <c r="E199" s="54"/>
      <c r="F199" s="54"/>
      <c r="G199" s="54"/>
      <c r="H199" s="54"/>
      <c r="I199" s="52">
        <f t="shared" si="8"/>
        <v>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60</v>
      </c>
      <c r="B200" s="53">
        <v>235</v>
      </c>
      <c r="C200" s="53">
        <v>4</v>
      </c>
      <c r="D200" s="53">
        <v>42</v>
      </c>
      <c r="E200" s="54"/>
      <c r="F200" s="54"/>
      <c r="G200" s="54"/>
      <c r="H200" s="54"/>
      <c r="I200" s="52">
        <f t="shared" si="8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65</v>
      </c>
      <c r="B201" s="53">
        <v>229</v>
      </c>
      <c r="C201" s="53"/>
      <c r="D201" s="53"/>
      <c r="E201" s="54"/>
      <c r="F201" s="54"/>
      <c r="G201" s="54"/>
      <c r="H201" s="54"/>
      <c r="I201" s="52">
        <f t="shared" si="8"/>
        <v>7.2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70</v>
      </c>
      <c r="B202" s="53">
        <v>263</v>
      </c>
      <c r="C202" s="53">
        <v>5</v>
      </c>
      <c r="D202" s="53">
        <v>42</v>
      </c>
      <c r="E202" s="54"/>
      <c r="F202" s="54"/>
      <c r="G202" s="54"/>
      <c r="H202" s="54"/>
      <c r="I202" s="52">
        <f t="shared" si="8"/>
        <v>6.8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75</v>
      </c>
      <c r="B203" s="53">
        <v>252</v>
      </c>
      <c r="C203" s="53"/>
      <c r="D203" s="53"/>
      <c r="E203" s="54"/>
      <c r="F203" s="54"/>
      <c r="G203" s="54"/>
      <c r="H203" s="54"/>
      <c r="I203" s="52">
        <f t="shared" si="8"/>
        <v>6.2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80</v>
      </c>
      <c r="B204" s="53">
        <v>282</v>
      </c>
      <c r="C204" s="53">
        <v>6</v>
      </c>
      <c r="D204" s="53">
        <v>42</v>
      </c>
      <c r="E204" s="54"/>
      <c r="F204" s="54"/>
      <c r="G204" s="54"/>
      <c r="H204" s="54"/>
      <c r="I204" s="52">
        <f t="shared" si="8"/>
        <v>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90</v>
      </c>
      <c r="B205" s="53">
        <v>296</v>
      </c>
      <c r="C205" s="53">
        <v>7</v>
      </c>
      <c r="D205" s="53">
        <v>42</v>
      </c>
      <c r="E205" s="54"/>
      <c r="F205" s="54"/>
      <c r="G205" s="54"/>
      <c r="H205" s="54"/>
      <c r="I205" s="52">
        <f t="shared" si="8"/>
        <v>5.6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100</v>
      </c>
      <c r="B206" s="53">
        <v>303</v>
      </c>
      <c r="C206" s="53">
        <v>8</v>
      </c>
      <c r="D206" s="53">
        <v>42</v>
      </c>
      <c r="E206" s="54"/>
      <c r="F206" s="54"/>
      <c r="G206" s="54"/>
      <c r="H206" s="54"/>
      <c r="I206" s="52">
        <f t="shared" si="8"/>
        <v>4.9000000000000004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110</v>
      </c>
      <c r="B207" s="53">
        <v>305</v>
      </c>
      <c r="C207" s="53">
        <v>9</v>
      </c>
      <c r="D207" s="53">
        <v>39</v>
      </c>
      <c r="E207" s="54"/>
      <c r="F207" s="54"/>
      <c r="G207" s="54"/>
      <c r="H207" s="54"/>
      <c r="I207" s="52">
        <f t="shared" si="8"/>
        <v>4.4000000000000004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120</v>
      </c>
      <c r="B208" s="53">
        <v>303</v>
      </c>
      <c r="C208" s="53">
        <v>10</v>
      </c>
      <c r="D208" s="53">
        <v>35</v>
      </c>
      <c r="E208" s="54"/>
      <c r="F208" s="54"/>
      <c r="G208" s="54"/>
      <c r="H208" s="54"/>
      <c r="I208" s="52">
        <f t="shared" si="8"/>
        <v>3.7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130</v>
      </c>
      <c r="B209" s="53">
        <v>300</v>
      </c>
      <c r="C209" s="53">
        <v>11</v>
      </c>
      <c r="D209" s="53">
        <v>31</v>
      </c>
      <c r="E209" s="54"/>
      <c r="F209" s="54"/>
      <c r="G209" s="54"/>
      <c r="H209" s="54"/>
      <c r="I209" s="52">
        <f t="shared" si="8"/>
        <v>3.2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140</v>
      </c>
      <c r="B210" s="53">
        <v>296</v>
      </c>
      <c r="C210" s="53">
        <v>12</v>
      </c>
      <c r="D210" s="53">
        <v>27</v>
      </c>
      <c r="E210" s="54"/>
      <c r="F210" s="54"/>
      <c r="G210" s="54"/>
      <c r="H210" s="54"/>
      <c r="I210" s="52">
        <f t="shared" si="8"/>
        <v>2.7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150</v>
      </c>
      <c r="B211" s="53">
        <v>293</v>
      </c>
      <c r="C211" s="53">
        <v>13</v>
      </c>
      <c r="D211" s="53">
        <v>293</v>
      </c>
      <c r="E211" s="54"/>
      <c r="F211" s="54"/>
      <c r="G211" s="54"/>
      <c r="H211" s="54"/>
      <c r="I211" s="52">
        <f t="shared" si="8"/>
        <v>2.4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61"/>
      <c r="D218" s="61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61"/>
      <c r="D219" s="61"/>
      <c r="E219" s="54"/>
      <c r="F219" s="54"/>
      <c r="G219" s="54"/>
      <c r="H219" s="54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61"/>
      <c r="D220" s="61"/>
      <c r="E220" s="54"/>
      <c r="F220" s="54"/>
      <c r="G220" s="54"/>
      <c r="H220" s="54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/>
      <c r="B221" s="61"/>
      <c r="C221" s="61"/>
      <c r="D221" s="61"/>
      <c r="E221" s="54"/>
      <c r="F221" s="54"/>
      <c r="G221" s="54"/>
      <c r="H221" s="54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/>
      <c r="B222" s="61"/>
      <c r="C222" s="61"/>
      <c r="D222" s="61"/>
      <c r="E222" s="54"/>
      <c r="F222" s="54"/>
      <c r="G222" s="54"/>
      <c r="H222" s="54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/>
      <c r="B223" s="61"/>
      <c r="C223" s="61"/>
      <c r="D223" s="61"/>
      <c r="E223" s="54"/>
      <c r="F223" s="54"/>
      <c r="G223" s="54"/>
      <c r="H223" s="54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/>
      <c r="B224" s="61"/>
      <c r="C224" s="61"/>
      <c r="D224" s="61"/>
      <c r="E224" s="54"/>
      <c r="F224" s="54"/>
      <c r="G224" s="54"/>
      <c r="H224" s="54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/>
      <c r="B225" s="61"/>
      <c r="C225" s="61"/>
      <c r="D225" s="61"/>
      <c r="E225" s="54"/>
      <c r="F225" s="54"/>
      <c r="G225" s="54"/>
      <c r="H225" s="54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3"/>
      <c r="B226" s="61"/>
      <c r="C226" s="61"/>
      <c r="D226" s="61"/>
      <c r="E226" s="54"/>
      <c r="F226" s="54"/>
      <c r="G226" s="54"/>
      <c r="H226" s="54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1"/>
      <c r="C231" s="92"/>
      <c r="D231" s="61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85" zoomScaleNormal="85" workbookViewId="0">
      <selection activeCell="C27" sqref="C2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/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/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Charme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Cèdre de l'Atlas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Alisier torminal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Cormier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Chêne sessile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 t="e">
        <f>N3*VLOOKUP('Données projet'!$B$9,Paramètres!$A$1:$I$89,3,0)*VLOOKUP('Données projet'!$B$9,Paramètres!$A$1:$I$89,5,0)</f>
        <v>#N/A</v>
      </c>
      <c r="P3" s="13">
        <v>0</v>
      </c>
      <c r="Q3" s="15" t="e">
        <f>(O3+P3)*0.475*44/12</f>
        <v>#N/A</v>
      </c>
      <c r="R3" s="60" t="e">
        <f t="shared" ref="R3:R66" si="0">Q3+(I3+J3)*44/12</f>
        <v>#N/A</v>
      </c>
      <c r="S3" s="60" t="e">
        <f ca="1">AVERAGE(OFFSET($R$3,0,0,'Données projet'!$E$9+1,1))-AVERAGE(OFFSET($H$3,0,0,'Données projet'!$E$9+1,1))</f>
        <v>#N/A</v>
      </c>
      <c r="T3" s="60" t="e">
        <f>IF('Données projet'!E9&gt;30,$R$33-$H$33,LOOKUP('Données projet'!$E$9,$A$3:$A$203,R3:R203)-LOOKUP('Données projet'!$E$9,$A$3:$A$203,$H$3:$H$203))</f>
        <v>#N/A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0" t="e">
        <f>AL3+(AD3+AE3)*44/12</f>
        <v>#N/A</v>
      </c>
      <c r="AN3" s="60" t="e">
        <f ca="1">AVERAGE(OFFSET($AM$3,0,0,'Données projet'!$E$10+1,1))-AVERAGE(OFFSET($H$3,0,0,'Données projet'!$E$10+1,1))</f>
        <v>#N/A</v>
      </c>
      <c r="AO3" s="60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357.083670644861</v>
      </c>
      <c r="BJ3" s="60">
        <f>IF('Données projet'!E11&gt;30,$BH$33-$H$33,LOOKUP('Données projet'!$E$11,$A$3:$A$203,BH3:BH203)-LOOKUP('Données projet'!$E$11,$A$3:$A$203,$H$3:$H$203))</f>
        <v>299.88885091109654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245.98992992759543</v>
      </c>
      <c r="CE3" s="60">
        <f>IF('Données projet'!E12&gt;30,$CC$33-$H$33,LOOKUP('Données projet'!$E$12,$A$3:$A$203,CC3:CC203)-LOOKUP('Données projet'!$E$12,$A$3:$A$203,$H$3:$H$203))</f>
        <v>145.34368562171613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455.50822833641354</v>
      </c>
      <c r="CZ3" s="60">
        <f>IF('Données projet'!E13&gt;30,$CX$33-$H$33,LOOKUP('Données projet'!$E$13,$A$3:$A$203,CX3:CX203)-LOOKUP('Données projet'!$E$13,$A$3:$A$203,$H$3:$H$203))</f>
        <v>261.14722581688039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502.07782026233912</v>
      </c>
      <c r="DU3" s="60">
        <f>IF('Données projet'!E14&gt;30,$DS$33-$H$33,LOOKUP('Données projet'!$E$14,$A$3:$A$203,DS3:DS203)-LOOKUP('Données projet'!$E$14,$A$3:$A$203,$H$3:$H$203))</f>
        <v>285.83623046025156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428.8489304403459</v>
      </c>
      <c r="EP3" s="60">
        <f>IF('Données projet'!E15&gt;30,$EN$33-$H$33,LOOKUP('Données projet'!$E$15,$A$3:$A$203,EN3:EN203)-LOOKUP('Données projet'!$E$15,$A$3:$A$203,$H$3:$H$203))</f>
        <v>247.01165577562966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</v>
      </c>
      <c r="N4" s="14">
        <f>IF('Données projet'!$A$36&gt;35,N3+M4-V3,IF(A4&lt;'Données projet'!$A$36,$K$205^A4,IF(A4='Données projet'!$A$36,'Données projet'!$B$36,N3+M4-V3)))</f>
        <v>0</v>
      </c>
      <c r="O4" s="14" t="e">
        <f>N4*VLOOKUP('Données projet'!$B$9,Paramètres!$A$1:$I$89,3,0)*VLOOKUP('Données projet'!$B$9,Paramètres!$A$1:$I$89,5,0)</f>
        <v>#N/A</v>
      </c>
      <c r="P4" s="14" t="e">
        <f>EXP(-1.0587+0.8836*LN(O4)+0.284)</f>
        <v>#N/A</v>
      </c>
      <c r="Q4" s="22" t="e">
        <f t="shared" ref="Q4:Q34" si="2">(O4+P4)*0.475*44/12</f>
        <v>#N/A</v>
      </c>
      <c r="R4" s="60" t="e">
        <f t="shared" si="0"/>
        <v>#N/A</v>
      </c>
      <c r="S4" s="60" t="e">
        <f ca="1">AVERAGE(OFFSET($R$3,0,0,'Données projet'!$E$9+1,1))-AVERAGE(OFFSET($H$3,0,0,'Données projet'!$E$9+1,1))</f>
        <v>#N/A</v>
      </c>
      <c r="T4" s="60" t="e">
        <f>$T$3</f>
        <v>#N/A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 t="e">
        <f>EXP(-LN(2)/35)*Z3+(1-EXP(-LN(2)/35))/(LN(2)/35)*V4*W4*VLOOKUP('Données projet'!$B$9,Paramètres!$A$1:$I$89,3,0)*0.475*44/12</f>
        <v>#N/A</v>
      </c>
      <c r="AA4" s="23" t="e">
        <f>EXP(-LN(2)/25)*AA3+(1-EXP(-LN(2)/25))/(LN(2)/25)*Calculateur!V4*Calculateur!X4*VLOOKUP('Données projet'!$B$9,Paramètres!$A$1:$I$89,3,0)*0.475*44/12</f>
        <v>#N/A</v>
      </c>
      <c r="AB4" s="23" t="e">
        <f>EXP(-LN(2)/2)*AB3+(1-EXP(-LN(2)/2))/(LN(2)/2)*V4*Y4*VLOOKUP('Données projet'!$B$9,Paramètres!$A$1:$I$89,3,0)*0.475*44/12</f>
        <v>#N/A</v>
      </c>
      <c r="AC4" s="24" t="e">
        <f t="shared" ref="AC4:AC67" si="3">SUM(Z4:AB4)</f>
        <v>#N/A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0" t="e">
        <f t="shared" ref="AM4:AM67" si="5">AL4+(AD4+AE4)*44/12</f>
        <v>#N/A</v>
      </c>
      <c r="AN4" s="60" t="e">
        <f ca="1">AVERAGE(OFFSET($AM$3,0,0,'Données projet'!$E$10+1,1))-AVERAGE(OFFSET($H$3,0,0,'Données projet'!$E$10+1,1))</f>
        <v>#N/A</v>
      </c>
      <c r="AO4" s="60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2.2649572649572649</v>
      </c>
      <c r="BD4" s="13">
        <f>IF('Données projet'!$A$88&gt;35,BD3+BC4-BL3,IF(A4&lt;'Données projet'!$A$88,$BA$205^A4,IF(A4='Données projet'!$A$88,'Données projet'!$B$88,BD3+BC4-BL3)))</f>
        <v>1.2649598798623627</v>
      </c>
      <c r="BE4" s="14">
        <f>BD4*VLOOKUP('Données projet'!$B$11,Paramètres!$A$1:$I$89,3,0)*VLOOKUP('Données projet'!$B$11,Paramètres!$A$1:$I$89,5,0)</f>
        <v>1.2037358216770244</v>
      </c>
      <c r="BF4" s="14">
        <f>EXP(-1.0587+0.8836*LN(BE4)+0.284)</f>
        <v>0.54288697199953284</v>
      </c>
      <c r="BG4" s="22">
        <f t="shared" ref="BG4:BG67" si="7">(BE4+BF4)*0.475*44/12</f>
        <v>3.0420346989866704</v>
      </c>
      <c r="BH4" s="60">
        <f t="shared" ref="BH4:BH67" si="8">BG4+(AY4+AZ4)*44/12</f>
        <v>260.93092358787555</v>
      </c>
      <c r="BI4" s="60">
        <f ca="1">AVERAGE(OFFSET($BH$3,0,0,'Données projet'!$E$11+1,1))-AVERAGE(OFFSET($H$3,0,0,'Données projet'!$E$11+1,1))</f>
        <v>357.083670644861</v>
      </c>
      <c r="BJ4" s="60">
        <f>$BJ$3</f>
        <v>299.88885091109654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3.4358974358974361</v>
      </c>
      <c r="BY4" s="13">
        <f>IF('Données projet'!$A$114&gt;35,BY3+BX4-CG3,IF(A4&lt;'Données projet'!$A$114,$BV$205^A4,IF(A4='Données projet'!$A$114,'Données projet'!$B$114,BY3+BX4-CG3)))</f>
        <v>1.167092777711815</v>
      </c>
      <c r="BZ4" s="14">
        <f>BY4*VLOOKUP('Données projet'!$B$12,Paramètres!$A$1:$I$89,3,0)*VLOOKUP('Données projet'!$B$12,Paramètres!$A$1:$I$89,5,0)</f>
        <v>0.54619941996912946</v>
      </c>
      <c r="CA4" s="14">
        <f>EXP(-1.0587+0.8836*LN(BZ4)+0.284)</f>
        <v>0.27006954687577245</v>
      </c>
      <c r="CB4" s="22">
        <f t="shared" ref="CB4:CB67" si="10">(BZ4+CA4)*0.475*44/12</f>
        <v>1.4216684505882042</v>
      </c>
      <c r="CC4" s="60">
        <f t="shared" ref="CC4:CC67" si="11">CB4+(BT4+BU4)*44/12</f>
        <v>259.31055733947704</v>
      </c>
      <c r="CD4" s="60">
        <f ca="1">AVERAGE(OFFSET($CC$3,0,0,'Données projet'!$E$12+1,1))-AVERAGE(OFFSET($H$3,0,0,'Données projet'!$E$12+1,1))</f>
        <v>245.98992992759543</v>
      </c>
      <c r="CE4" s="60">
        <f>$CE$3</f>
        <v>145.34368562171613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1.165946847124371</v>
      </c>
      <c r="CV4" s="14">
        <f>EXP(-1.0587+0.8836*LN(CU4)+0.284)</f>
        <v>0.52780002987456354</v>
      </c>
      <c r="CW4" s="22">
        <f t="shared" ref="CW4:CW67" si="13">(CU4+CV4)*0.475*44/12</f>
        <v>2.9499424774398109</v>
      </c>
      <c r="CX4" s="60">
        <f t="shared" ref="CX4:CX67" si="14">CW4+(CO4+CP4)*44/12</f>
        <v>260.83883136632869</v>
      </c>
      <c r="CY4" s="60">
        <f ca="1">AVERAGE(OFFSET($CX$3,0,0,'Données projet'!$E$13+1,1))-AVERAGE(OFFSET($H$3,0,0,'Données projet'!$E$13+1,1))</f>
        <v>455.50822833641354</v>
      </c>
      <c r="CZ4" s="60">
        <f>$CZ$3</f>
        <v>261.14722581688039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1.2975860072835741</v>
      </c>
      <c r="DQ4" s="14">
        <f>EXP(-1.0587+0.8836*LN(DP4)+0.284)</f>
        <v>0.58012177912374829</v>
      </c>
      <c r="DR4" s="22">
        <f t="shared" ref="DR4:DR67" si="16">(DP4+DQ4)*0.475*44/12</f>
        <v>3.2703410613260862</v>
      </c>
      <c r="DS4" s="60">
        <f t="shared" ref="DS4:DS67" si="17">DR4+(DJ4+DK4)*44/12</f>
        <v>261.15922995021492</v>
      </c>
      <c r="DT4" s="60">
        <f ca="1">AVERAGE(OFFSET($DS$3,0,0,'Données projet'!$E$14+1,1))-AVERAGE(OFFSET($H$3,0,0,'Données projet'!$E$14+1,1))</f>
        <v>502.07782026233912</v>
      </c>
      <c r="DU4" s="60">
        <f>$DU$3</f>
        <v>285.83623046025156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2.1</v>
      </c>
      <c r="EJ4" s="13">
        <f>IF('Données projet'!$A$192&gt;35,EJ3+EI4-ER3,IF(A4&lt;'Données projet'!$A$192,$EG$205^A4,IF(A4='Données projet'!$A$192,'Données projet'!$B$192,EJ3+EI4-ER3)))</f>
        <v>1.2054868146447177</v>
      </c>
      <c r="EK4" s="18">
        <f>EJ4*VLOOKUP('Données projet'!$B$15,Paramètres!$A$1:$I$89,3,0)*VLOOKUP('Données projet'!$B$15,Paramètres!$A$1:$I$89,5,0)</f>
        <v>1.0907244698905405</v>
      </c>
      <c r="EL4" s="14">
        <f>EXP(-1.0587+0.8836*LN(EK4)+0.284)</f>
        <v>0.49759623852608204</v>
      </c>
      <c r="EM4" s="22">
        <f t="shared" ref="EM4:EM67" si="19">(EK4+EL4)*0.475*44/12</f>
        <v>2.7663252338256172</v>
      </c>
      <c r="EN4" s="60">
        <f t="shared" ref="EN4:EN67" si="20">EM4+(EE4+EF4)*44/12</f>
        <v>260.65521412271448</v>
      </c>
      <c r="EO4" s="60">
        <f ca="1">AVERAGE(OFFSET($EN$3,0,0,'Données projet'!$E$15+1,1))-AVERAGE(OFFSET($H$3,0,0,'Données projet'!$E$15+1,1))</f>
        <v>428.8489304403459</v>
      </c>
      <c r="EP4" s="60">
        <f>$EP$3</f>
        <v>247.01165577562966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</v>
      </c>
      <c r="N5" s="14">
        <f>IF('Données projet'!$A$36&gt;35,N4+M5-V4,IF(A5&lt;'Données projet'!$A$36,$K$205^A5,IF(A5='Données projet'!$A$36,'Données projet'!$B$36,N4+M5-V4)))</f>
        <v>0</v>
      </c>
      <c r="O5" s="14" t="e">
        <f>N5*VLOOKUP('Données projet'!$B$9,Paramètres!$A$1:$I$89,3,0)*VLOOKUP('Données projet'!$B$9,Paramètres!$A$1:$I$89,5,0)</f>
        <v>#N/A</v>
      </c>
      <c r="P5" s="14" t="e">
        <f t="shared" ref="P5:P68" si="33">EXP(-1.0587+0.8836*LN(O5)+0.284)</f>
        <v>#N/A</v>
      </c>
      <c r="Q5" s="22" t="e">
        <f t="shared" si="2"/>
        <v>#N/A</v>
      </c>
      <c r="R5" s="60" t="e">
        <f t="shared" si="0"/>
        <v>#N/A</v>
      </c>
      <c r="S5" s="60" t="e">
        <f ca="1">AVERAGE(OFFSET($R$3,0,0,'Données projet'!$E$9+1,1))-AVERAGE(OFFSET($H$3,0,0,'Données projet'!$E$9+1,1))</f>
        <v>#N/A</v>
      </c>
      <c r="T5" s="60" t="e">
        <f t="shared" ref="T5:T68" si="34">$T$3</f>
        <v>#N/A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 t="e">
        <f>EXP(-LN(2)/35)*Z4+(1-EXP(-LN(2)/35))/(LN(2)/35)*V5*W5*VLOOKUP('Données projet'!$B$9,Paramètres!$A$1:$I$89,3,0)*0.475*44/12</f>
        <v>#N/A</v>
      </c>
      <c r="AA5" s="23" t="e">
        <f>EXP(-LN(2)/25)*AA4+(1-EXP(-LN(2)/25))/(LN(2)/25)*Calculateur!V5*Calculateur!X5*VLOOKUP('Données projet'!$B$9,Paramètres!$A$1:$I$89,3,0)*0.475*44/12</f>
        <v>#N/A</v>
      </c>
      <c r="AB5" s="23" t="e">
        <f>EXP(-LN(2)/2)*AB4+(1-EXP(-LN(2)/2))/(LN(2)/2)*V5*Y5*VLOOKUP('Données projet'!$B$9,Paramètres!$A$1:$I$89,3,0)*0.475*44/12</f>
        <v>#N/A</v>
      </c>
      <c r="AC5" s="24" t="e">
        <f t="shared" si="3"/>
        <v>#N/A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0" t="e">
        <f t="shared" si="5"/>
        <v>#N/A</v>
      </c>
      <c r="AN5" s="60" t="e">
        <f ca="1">AVERAGE(OFFSET($AM$3,0,0,'Données projet'!$E$10+1,1))-AVERAGE(OFFSET($H$3,0,0,'Données projet'!$E$10+1,1))</f>
        <v>#N/A</v>
      </c>
      <c r="AO5" s="60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2.2649572649572649</v>
      </c>
      <c r="BD5" s="13">
        <f>IF('Données projet'!$A$88&gt;35,BD4+BC5-BL4,IF(A5&lt;'Données projet'!$A$88,$BA$205^A5,IF(A5='Données projet'!$A$88,'Données projet'!$B$88,BD4+BC5-BL4)))</f>
        <v>1.6001234976614032</v>
      </c>
      <c r="BE5" s="14">
        <f>BD5*VLOOKUP('Données projet'!$B$11,Paramètres!$A$1:$I$89,3,0)*VLOOKUP('Données projet'!$B$11,Paramètres!$A$1:$I$89,5,0)</f>
        <v>1.5226775203745913</v>
      </c>
      <c r="BF5" s="14">
        <f t="shared" ref="BF5:BF68" si="37">EXP(-1.0587+0.8836*LN(BE5)+0.284)</f>
        <v>0.66819687050841592</v>
      </c>
      <c r="BG5" s="22">
        <f t="shared" si="7"/>
        <v>3.8157728974545706</v>
      </c>
      <c r="BH5" s="60">
        <f t="shared" si="8"/>
        <v>262.92688400856571</v>
      </c>
      <c r="BI5" s="60">
        <f ca="1">AVERAGE(OFFSET($BH$3,0,0,'Données projet'!$E$11+1,1))-AVERAGE(OFFSET($H$3,0,0,'Données projet'!$E$11+1,1))</f>
        <v>357.083670644861</v>
      </c>
      <c r="BJ5" s="60">
        <f t="shared" ref="BJ5:BJ68" si="38">$BJ$3</f>
        <v>299.88885091109654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3.4358974358974361</v>
      </c>
      <c r="BY5" s="13">
        <f>IF('Données projet'!$A$114&gt;35,BY4+BX5-CG4,IF(A5&lt;'Données projet'!$A$114,$BV$205^A5,IF(A5='Données projet'!$A$114,'Données projet'!$B$114,BY4+BX5-CG4)))</f>
        <v>1.3621055517870799</v>
      </c>
      <c r="BZ5" s="14">
        <f>BY5*VLOOKUP('Données projet'!$B$12,Paramètres!$A$1:$I$89,3,0)*VLOOKUP('Données projet'!$B$12,Paramètres!$A$1:$I$89,5,0)</f>
        <v>0.6374653982363534</v>
      </c>
      <c r="CA5" s="14">
        <f t="shared" ref="CA5:CA68" si="39">EXP(-1.0587+0.8836*LN(BZ5)+0.284)</f>
        <v>0.30957788644599227</v>
      </c>
      <c r="CB5" s="22">
        <f t="shared" si="10"/>
        <v>1.6494337208217518</v>
      </c>
      <c r="CC5" s="60">
        <f t="shared" si="11"/>
        <v>260.76054483193292</v>
      </c>
      <c r="CD5" s="60">
        <f ca="1">AVERAGE(OFFSET($CC$3,0,0,'Données projet'!$E$12+1,1))-AVERAGE(OFFSET($H$3,0,0,'Données projet'!$E$12+1,1))</f>
        <v>245.98992992759543</v>
      </c>
      <c r="CE5" s="60">
        <f t="shared" ref="CE5:CE68" si="40">$CE$3</f>
        <v>145.34368562171613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1.4055335507850097</v>
      </c>
      <c r="CV5" s="14">
        <f t="shared" ref="CV5:CV68" si="41">EXP(-1.0587+0.8836*LN(CU5)+0.284)</f>
        <v>0.62256480317525631</v>
      </c>
      <c r="CW5" s="22">
        <f t="shared" si="13"/>
        <v>3.5322712998141292</v>
      </c>
      <c r="CX5" s="60">
        <f t="shared" si="14"/>
        <v>262.64338241092526</v>
      </c>
      <c r="CY5" s="60">
        <f ca="1">AVERAGE(OFFSET($CX$3,0,0,'Données projet'!$E$13+1,1))-AVERAGE(OFFSET($H$3,0,0,'Données projet'!$E$13+1,1))</f>
        <v>455.50822833641354</v>
      </c>
      <c r="CZ5" s="60">
        <f t="shared" ref="CZ5:CZ68" si="42">$CZ$3</f>
        <v>261.14722581688039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1.5642228226478332</v>
      </c>
      <c r="DQ5" s="14">
        <f t="shared" ref="DQ5:DQ68" si="43">EXP(-1.0587+0.8836*LN(DP5)+0.284)</f>
        <v>0.68428075179095682</v>
      </c>
      <c r="DR5" s="22">
        <f t="shared" si="16"/>
        <v>3.9161437254808931</v>
      </c>
      <c r="DS5" s="60">
        <f t="shared" si="17"/>
        <v>263.02725483659202</v>
      </c>
      <c r="DT5" s="60">
        <f ca="1">AVERAGE(OFFSET($DS$3,0,0,'Données projet'!$E$14+1,1))-AVERAGE(OFFSET($H$3,0,0,'Données projet'!$E$14+1,1))</f>
        <v>502.07782026233912</v>
      </c>
      <c r="DU5" s="60">
        <f t="shared" ref="DU5:DU68" si="44">$DU$3</f>
        <v>285.83623046025156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2.1</v>
      </c>
      <c r="EJ5" s="13">
        <f>IF('Données projet'!$A$192&gt;35,EJ4+EI5-ER4,IF(A5&lt;'Données projet'!$A$192,$EG$205^A5,IF(A5='Données projet'!$A$192,'Données projet'!$B$192,EJ4+EI5-ER4)))</f>
        <v>1.4531984602822681</v>
      </c>
      <c r="EK5" s="18">
        <f>EJ5*VLOOKUP('Données projet'!$B$15,Paramètres!$A$1:$I$89,3,0)*VLOOKUP('Données projet'!$B$15,Paramètres!$A$1:$I$89,5,0)</f>
        <v>1.3148539668633961</v>
      </c>
      <c r="EL5" s="14">
        <f t="shared" ref="EL5:EL68" si="45">EXP(-1.0587+0.8836*LN(EK5)+0.284)</f>
        <v>0.58693801963664449</v>
      </c>
      <c r="EM5" s="22">
        <f t="shared" si="19"/>
        <v>3.3122877098209038</v>
      </c>
      <c r="EN5" s="60">
        <f t="shared" si="20"/>
        <v>262.42339882093205</v>
      </c>
      <c r="EO5" s="60">
        <f ca="1">AVERAGE(OFFSET($EN$3,0,0,'Données projet'!$E$15+1,1))-AVERAGE(OFFSET($H$3,0,0,'Données projet'!$E$15+1,1))</f>
        <v>428.8489304403459</v>
      </c>
      <c r="EP5" s="60">
        <f t="shared" ref="EP5:EP68" si="46">$EP$3</f>
        <v>247.01165577562966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</v>
      </c>
      <c r="N6" s="14">
        <f>IF('Données projet'!$A$36&gt;35,N5+M6-V5,IF(A6&lt;'Données projet'!$A$36,$K$205^A6,IF(A6='Données projet'!$A$36,'Données projet'!$B$36,N5+M6-V5)))</f>
        <v>0</v>
      </c>
      <c r="O6" s="14" t="e">
        <f>N6*VLOOKUP('Données projet'!$B$9,Paramètres!$A$1:$I$89,3,0)*VLOOKUP('Données projet'!$B$9,Paramètres!$A$1:$I$89,5,0)</f>
        <v>#N/A</v>
      </c>
      <c r="P6" s="14" t="e">
        <f t="shared" si="33"/>
        <v>#N/A</v>
      </c>
      <c r="Q6" s="22" t="e">
        <f t="shared" si="2"/>
        <v>#N/A</v>
      </c>
      <c r="R6" s="60" t="e">
        <f t="shared" si="0"/>
        <v>#N/A</v>
      </c>
      <c r="S6" s="60" t="e">
        <f ca="1">AVERAGE(OFFSET($R$3,0,0,'Données projet'!$E$9+1,1))-AVERAGE(OFFSET($H$3,0,0,'Données projet'!$E$9+1,1))</f>
        <v>#N/A</v>
      </c>
      <c r="T6" s="60" t="e">
        <f t="shared" si="34"/>
        <v>#N/A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 t="e">
        <f>EXP(-LN(2)/35)*Z5+(1-EXP(-LN(2)/35))/(LN(2)/35)*V6*W6*VLOOKUP('Données projet'!$B$9,Paramètres!$A$1:$I$89,3,0)*0.475*44/12</f>
        <v>#N/A</v>
      </c>
      <c r="AA6" s="23" t="e">
        <f>EXP(-LN(2)/25)*AA5+(1-EXP(-LN(2)/25))/(LN(2)/25)*Calculateur!V6*Calculateur!X6*VLOOKUP('Données projet'!$B$9,Paramètres!$A$1:$I$89,3,0)*0.475*44/12</f>
        <v>#N/A</v>
      </c>
      <c r="AB6" s="23" t="e">
        <f>EXP(-LN(2)/2)*AB5+(1-EXP(-LN(2)/2))/(LN(2)/2)*V6*Y6*VLOOKUP('Données projet'!$B$9,Paramètres!$A$1:$I$89,3,0)*0.475*44/12</f>
        <v>#N/A</v>
      </c>
      <c r="AC6" s="24" t="e">
        <f t="shared" si="3"/>
        <v>#N/A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0" t="e">
        <f t="shared" si="5"/>
        <v>#N/A</v>
      </c>
      <c r="AN6" s="60" t="e">
        <f ca="1">AVERAGE(OFFSET($AM$3,0,0,'Données projet'!$E$10+1,1))-AVERAGE(OFFSET($H$3,0,0,'Données projet'!$E$10+1,1))</f>
        <v>#N/A</v>
      </c>
      <c r="AO6" s="60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2.2649572649572649</v>
      </c>
      <c r="BD6" s="13">
        <f>IF('Données projet'!$A$88&gt;35,BD5+BC6-BL5,IF(A6&lt;'Données projet'!$A$88,$BA$205^A6,IF(A6='Données projet'!$A$88,'Données projet'!$B$88,BD5+BC6-BL5)))</f>
        <v>2.024092027366712</v>
      </c>
      <c r="BE6" s="14">
        <f>BD6*VLOOKUP('Données projet'!$B$11,Paramètres!$A$1:$I$89,3,0)*VLOOKUP('Données projet'!$B$11,Paramètres!$A$1:$I$89,5,0)</f>
        <v>1.9261259732421634</v>
      </c>
      <c r="BF6" s="14">
        <f t="shared" si="37"/>
        <v>0.8224309677441014</v>
      </c>
      <c r="BG6" s="22">
        <f t="shared" si="7"/>
        <v>4.7870700055510769</v>
      </c>
      <c r="BH6" s="60">
        <f t="shared" si="8"/>
        <v>265.12040333888439</v>
      </c>
      <c r="BI6" s="60">
        <f ca="1">AVERAGE(OFFSET($BH$3,0,0,'Données projet'!$E$11+1,1))-AVERAGE(OFFSET($H$3,0,0,'Données projet'!$E$11+1,1))</f>
        <v>357.083670644861</v>
      </c>
      <c r="BJ6" s="60">
        <f t="shared" si="38"/>
        <v>299.88885091109654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3.4358974358974361</v>
      </c>
      <c r="BY6" s="13">
        <f>IF('Données projet'!$A$114&gt;35,BY5+BX6-CG5,IF(A6&lt;'Données projet'!$A$114,$BV$205^A6,IF(A6='Données projet'!$A$114,'Données projet'!$B$114,BY5+BX6-CG5)))</f>
        <v>1.5897035519718676</v>
      </c>
      <c r="BZ6" s="14">
        <f>BY6*VLOOKUP('Données projet'!$B$12,Paramètres!$A$1:$I$89,3,0)*VLOOKUP('Données projet'!$B$12,Paramètres!$A$1:$I$89,5,0)</f>
        <v>0.74398126232283412</v>
      </c>
      <c r="CA6" s="14">
        <f t="shared" si="39"/>
        <v>0.35486588134445163</v>
      </c>
      <c r="CB6" s="22">
        <f t="shared" si="10"/>
        <v>1.9138254418871894</v>
      </c>
      <c r="CC6" s="60">
        <f t="shared" si="11"/>
        <v>262.2471587752205</v>
      </c>
      <c r="CD6" s="60">
        <f ca="1">AVERAGE(OFFSET($CC$3,0,0,'Données projet'!$E$12+1,1))-AVERAGE(OFFSET($H$3,0,0,'Données projet'!$E$12+1,1))</f>
        <v>245.98992992759543</v>
      </c>
      <c r="CE6" s="60">
        <f t="shared" si="40"/>
        <v>145.34368562171613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1.694352163012101</v>
      </c>
      <c r="CV6" s="14">
        <f t="shared" si="41"/>
        <v>0.73434428233124405</v>
      </c>
      <c r="CW6" s="22">
        <f t="shared" si="13"/>
        <v>4.2299796423063247</v>
      </c>
      <c r="CX6" s="60">
        <f t="shared" si="14"/>
        <v>264.56331297563963</v>
      </c>
      <c r="CY6" s="60">
        <f ca="1">AVERAGE(OFFSET($CX$3,0,0,'Données projet'!$E$13+1,1))-AVERAGE(OFFSET($H$3,0,0,'Données projet'!$E$13+1,1))</f>
        <v>455.50822833641354</v>
      </c>
      <c r="CZ6" s="60">
        <f t="shared" si="42"/>
        <v>261.14722581688039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1.885649987868306</v>
      </c>
      <c r="DQ6" s="14">
        <f t="shared" si="43"/>
        <v>0.8071411281590839</v>
      </c>
      <c r="DR6" s="22">
        <f t="shared" si="16"/>
        <v>4.6899445270810372</v>
      </c>
      <c r="DS6" s="60">
        <f t="shared" si="17"/>
        <v>265.02327786041434</v>
      </c>
      <c r="DT6" s="60">
        <f ca="1">AVERAGE(OFFSET($DS$3,0,0,'Données projet'!$E$14+1,1))-AVERAGE(OFFSET($H$3,0,0,'Données projet'!$E$14+1,1))</f>
        <v>502.07782026233912</v>
      </c>
      <c r="DU6" s="60">
        <f t="shared" si="44"/>
        <v>285.83623046025156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2.1</v>
      </c>
      <c r="EJ6" s="13">
        <f>IF('Données projet'!$A$192&gt;35,EJ5+EI6-ER5,IF(A6&lt;'Données projet'!$A$192,$EG$205^A6,IF(A6='Données projet'!$A$192,'Données projet'!$B$192,EJ5+EI6-ER5)))</f>
        <v>1.7518115829322798</v>
      </c>
      <c r="EK6" s="18">
        <f>EJ6*VLOOKUP('Données projet'!$B$15,Paramètres!$A$1:$I$89,3,0)*VLOOKUP('Données projet'!$B$15,Paramètres!$A$1:$I$89,5,0)</f>
        <v>1.5850391202371266</v>
      </c>
      <c r="EL6" s="14">
        <f t="shared" si="45"/>
        <v>0.69232082604846479</v>
      </c>
      <c r="EM6" s="22">
        <f t="shared" si="19"/>
        <v>3.966401906447405</v>
      </c>
      <c r="EN6" s="60">
        <f t="shared" si="20"/>
        <v>264.29973523978072</v>
      </c>
      <c r="EO6" s="60">
        <f ca="1">AVERAGE(OFFSET($EN$3,0,0,'Données projet'!$E$15+1,1))-AVERAGE(OFFSET($H$3,0,0,'Données projet'!$E$15+1,1))</f>
        <v>428.8489304403459</v>
      </c>
      <c r="EP6" s="60">
        <f t="shared" si="46"/>
        <v>247.01165577562966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</v>
      </c>
      <c r="N7" s="14">
        <f>IF('Données projet'!$A$36&gt;35,N6+M7-V6,IF(A7&lt;'Données projet'!$A$36,$K$205^A7,IF(A7='Données projet'!$A$36,'Données projet'!$B$36,N6+M7-V6)))</f>
        <v>0</v>
      </c>
      <c r="O7" s="14" t="e">
        <f>N7*VLOOKUP('Données projet'!$B$9,Paramètres!$A$1:$I$89,3,0)*VLOOKUP('Données projet'!$B$9,Paramètres!$A$1:$I$89,5,0)</f>
        <v>#N/A</v>
      </c>
      <c r="P7" s="14" t="e">
        <f t="shared" si="33"/>
        <v>#N/A</v>
      </c>
      <c r="Q7" s="22" t="e">
        <f t="shared" si="2"/>
        <v>#N/A</v>
      </c>
      <c r="R7" s="60" t="e">
        <f t="shared" si="0"/>
        <v>#N/A</v>
      </c>
      <c r="S7" s="60" t="e">
        <f ca="1">AVERAGE(OFFSET($R$3,0,0,'Données projet'!$E$9+1,1))-AVERAGE(OFFSET($H$3,0,0,'Données projet'!$E$9+1,1))</f>
        <v>#N/A</v>
      </c>
      <c r="T7" s="60" t="e">
        <f t="shared" si="34"/>
        <v>#N/A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 t="e">
        <f>EXP(-LN(2)/35)*Z6+(1-EXP(-LN(2)/35))/(LN(2)/35)*V7*W7*VLOOKUP('Données projet'!$B$9,Paramètres!$A$1:$I$89,3,0)*0.475*44/12</f>
        <v>#N/A</v>
      </c>
      <c r="AA7" s="23" t="e">
        <f>EXP(-LN(2)/25)*AA6+(1-EXP(-LN(2)/25))/(LN(2)/25)*Calculateur!V7*Calculateur!X7*VLOOKUP('Données projet'!$B$9,Paramètres!$A$1:$I$89,3,0)*0.475*44/12</f>
        <v>#N/A</v>
      </c>
      <c r="AB7" s="23" t="e">
        <f>EXP(-LN(2)/2)*AB6+(1-EXP(-LN(2)/2))/(LN(2)/2)*V7*Y7*VLOOKUP('Données projet'!$B$9,Paramètres!$A$1:$I$89,3,0)*0.475*44/12</f>
        <v>#N/A</v>
      </c>
      <c r="AC7" s="24" t="e">
        <f t="shared" si="3"/>
        <v>#N/A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0" t="e">
        <f t="shared" si="5"/>
        <v>#N/A</v>
      </c>
      <c r="AN7" s="60" t="e">
        <f ca="1">AVERAGE(OFFSET($AM$3,0,0,'Données projet'!$E$10+1,1))-AVERAGE(OFFSET($H$3,0,0,'Données projet'!$E$10+1,1))</f>
        <v>#N/A</v>
      </c>
      <c r="AO7" s="60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2.2649572649572649</v>
      </c>
      <c r="BD7" s="13">
        <f>IF('Données projet'!$A$88&gt;35,BD6+BC7-BL6,IF(A7&lt;'Données projet'!$A$88,$BA$205^A7,IF(A7='Données projet'!$A$88,'Données projet'!$B$88,BD6+BC7-BL6)))</f>
        <v>2.5603952077681624</v>
      </c>
      <c r="BE7" s="14">
        <f>BD7*VLOOKUP('Données projet'!$B$11,Paramètres!$A$1:$I$89,3,0)*VLOOKUP('Données projet'!$B$11,Paramètres!$A$1:$I$89,5,0)</f>
        <v>2.4364720797121833</v>
      </c>
      <c r="BF7" s="14">
        <f t="shared" si="37"/>
        <v>1.0122655860238423</v>
      </c>
      <c r="BG7" s="22">
        <f t="shared" si="7"/>
        <v>6.0065514344902446</v>
      </c>
      <c r="BH7" s="60">
        <f t="shared" si="8"/>
        <v>267.56210699004578</v>
      </c>
      <c r="BI7" s="60">
        <f ca="1">AVERAGE(OFFSET($BH$3,0,0,'Données projet'!$E$11+1,1))-AVERAGE(OFFSET($H$3,0,0,'Données projet'!$E$11+1,1))</f>
        <v>357.083670644861</v>
      </c>
      <c r="BJ7" s="60">
        <f t="shared" si="38"/>
        <v>299.88885091109654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3.4358974358974361</v>
      </c>
      <c r="BY7" s="13">
        <f>IF('Données projet'!$A$114&gt;35,BY6+BX7-CG6,IF(A7&lt;'Données projet'!$A$114,$BV$205^A7,IF(A7='Données projet'!$A$114,'Données projet'!$B$114,BY6+BX7-CG6)))</f>
        <v>1.8553315342091854</v>
      </c>
      <c r="BZ7" s="14">
        <f>BY7*VLOOKUP('Données projet'!$B$12,Paramètres!$A$1:$I$89,3,0)*VLOOKUP('Données projet'!$B$12,Paramètres!$A$1:$I$89,5,0)</f>
        <v>0.86829515800989876</v>
      </c>
      <c r="CA7" s="14">
        <f t="shared" si="39"/>
        <v>0.4067790344719715</v>
      </c>
      <c r="CB7" s="22">
        <f t="shared" si="10"/>
        <v>2.2207542185725906</v>
      </c>
      <c r="CC7" s="60">
        <f t="shared" si="11"/>
        <v>263.77630977412815</v>
      </c>
      <c r="CD7" s="60">
        <f ca="1">AVERAGE(OFFSET($CC$3,0,0,'Données projet'!$E$12+1,1))-AVERAGE(OFFSET($H$3,0,0,'Données projet'!$E$12+1,1))</f>
        <v>245.98992992759543</v>
      </c>
      <c r="CE7" s="60">
        <f t="shared" si="40"/>
        <v>145.34368562171613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2.042519191875845</v>
      </c>
      <c r="CV7" s="14">
        <f t="shared" si="41"/>
        <v>0.86619340226463792</v>
      </c>
      <c r="CW7" s="22">
        <f t="shared" si="13"/>
        <v>5.0660077681280073</v>
      </c>
      <c r="CX7" s="60">
        <f t="shared" si="14"/>
        <v>266.62156332368357</v>
      </c>
      <c r="CY7" s="60">
        <f ca="1">AVERAGE(OFFSET($CX$3,0,0,'Données projet'!$E$13+1,1))-AVERAGE(OFFSET($H$3,0,0,'Données projet'!$E$13+1,1))</f>
        <v>455.50822833641354</v>
      </c>
      <c r="CZ7" s="60">
        <f t="shared" si="42"/>
        <v>261.14722581688039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2.2731261974102144</v>
      </c>
      <c r="DQ7" s="14">
        <f t="shared" si="43"/>
        <v>0.95206068424520052</v>
      </c>
      <c r="DR7" s="22">
        <f t="shared" si="16"/>
        <v>5.617200485549847</v>
      </c>
      <c r="DS7" s="60">
        <f t="shared" si="17"/>
        <v>267.1727560411054</v>
      </c>
      <c r="DT7" s="60">
        <f ca="1">AVERAGE(OFFSET($DS$3,0,0,'Données projet'!$E$14+1,1))-AVERAGE(OFFSET($H$3,0,0,'Données projet'!$E$14+1,1))</f>
        <v>502.07782026233912</v>
      </c>
      <c r="DU7" s="60">
        <f t="shared" si="44"/>
        <v>285.83623046025156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2.1</v>
      </c>
      <c r="EJ7" s="13">
        <f>IF('Données projet'!$A$192&gt;35,EJ6+EI7-ER6,IF(A7&lt;'Données projet'!$A$192,$EG$205^A7,IF(A7='Données projet'!$A$192,'Données projet'!$B$192,EJ6+EI7-ER6)))</f>
        <v>2.1117857649667546</v>
      </c>
      <c r="EK7" s="18">
        <f>EJ7*VLOOKUP('Données projet'!$B$15,Paramètres!$A$1:$I$89,3,0)*VLOOKUP('Données projet'!$B$15,Paramètres!$A$1:$I$89,5,0)</f>
        <v>1.9107437601419195</v>
      </c>
      <c r="EL7" s="14">
        <f t="shared" si="45"/>
        <v>0.81662477151702284</v>
      </c>
      <c r="EM7" s="22">
        <f t="shared" si="19"/>
        <v>4.7501668593059909</v>
      </c>
      <c r="EN7" s="60">
        <f t="shared" si="20"/>
        <v>266.30572241486152</v>
      </c>
      <c r="EO7" s="60">
        <f ca="1">AVERAGE(OFFSET($EN$3,0,0,'Données projet'!$E$15+1,1))-AVERAGE(OFFSET($H$3,0,0,'Données projet'!$E$15+1,1))</f>
        <v>428.8489304403459</v>
      </c>
      <c r="EP7" s="60">
        <f t="shared" si="46"/>
        <v>247.01165577562966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</v>
      </c>
      <c r="N8" s="14">
        <f>IF('Données projet'!$A$36&gt;35,N7+M8-V7,IF(A8&lt;'Données projet'!$A$36,$K$205^A8,IF(A8='Données projet'!$A$36,'Données projet'!$B$36,N7+M8-V7)))</f>
        <v>0</v>
      </c>
      <c r="O8" s="14" t="e">
        <f>N8*VLOOKUP('Données projet'!$B$9,Paramètres!$A$1:$I$89,3,0)*VLOOKUP('Données projet'!$B$9,Paramètres!$A$1:$I$89,5,0)</f>
        <v>#N/A</v>
      </c>
      <c r="P8" s="14" t="e">
        <f t="shared" si="33"/>
        <v>#N/A</v>
      </c>
      <c r="Q8" s="22" t="e">
        <f t="shared" si="2"/>
        <v>#N/A</v>
      </c>
      <c r="R8" s="60" t="e">
        <f t="shared" si="0"/>
        <v>#N/A</v>
      </c>
      <c r="S8" s="60" t="e">
        <f ca="1">AVERAGE(OFFSET($R$3,0,0,'Données projet'!$E$9+1,1))-AVERAGE(OFFSET($H$3,0,0,'Données projet'!$E$9+1,1))</f>
        <v>#N/A</v>
      </c>
      <c r="T8" s="60" t="e">
        <f t="shared" si="34"/>
        <v>#N/A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 t="e">
        <f>EXP(-LN(2)/35)*Z7+(1-EXP(-LN(2)/35))/(LN(2)/35)*V8*W8*VLOOKUP('Données projet'!$B$9,Paramètres!$A$1:$I$89,3,0)*0.475*44/12</f>
        <v>#N/A</v>
      </c>
      <c r="AA8" s="23" t="e">
        <f>EXP(-LN(2)/25)*AA7+(1-EXP(-LN(2)/25))/(LN(2)/25)*Calculateur!V8*Calculateur!X8*VLOOKUP('Données projet'!$B$9,Paramètres!$A$1:$I$89,3,0)*0.475*44/12</f>
        <v>#N/A</v>
      </c>
      <c r="AB8" s="23" t="e">
        <f>EXP(-LN(2)/2)*AB7+(1-EXP(-LN(2)/2))/(LN(2)/2)*V8*Y8*VLOOKUP('Données projet'!$B$9,Paramètres!$A$1:$I$89,3,0)*0.475*44/12</f>
        <v>#N/A</v>
      </c>
      <c r="AC8" s="24" t="e">
        <f t="shared" si="3"/>
        <v>#N/A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0" t="e">
        <f t="shared" si="5"/>
        <v>#N/A</v>
      </c>
      <c r="AN8" s="60" t="e">
        <f ca="1">AVERAGE(OFFSET($AM$3,0,0,'Données projet'!$E$10+1,1))-AVERAGE(OFFSET($H$3,0,0,'Données projet'!$E$10+1,1))</f>
        <v>#N/A</v>
      </c>
      <c r="AO8" s="60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2.2649572649572649</v>
      </c>
      <c r="BD8" s="13">
        <f>IF('Données projet'!$A$88&gt;35,BD7+BC8-BL7,IF(A8&lt;'Données projet'!$A$88,$BA$205^A8,IF(A8='Données projet'!$A$88,'Données projet'!$B$88,BD7+BC8-BL7)))</f>
        <v>3.2387972144185837</v>
      </c>
      <c r="BE8" s="14">
        <f>BD8*VLOOKUP('Données projet'!$B$11,Paramètres!$A$1:$I$89,3,0)*VLOOKUP('Données projet'!$B$11,Paramètres!$A$1:$I$89,5,0)</f>
        <v>3.0820394292407243</v>
      </c>
      <c r="BF8" s="14">
        <f t="shared" si="37"/>
        <v>1.2459180853304419</v>
      </c>
      <c r="BG8" s="22">
        <f t="shared" si="7"/>
        <v>7.5378593378781131</v>
      </c>
      <c r="BH8" s="60">
        <f t="shared" si="8"/>
        <v>270.31563711565587</v>
      </c>
      <c r="BI8" s="60">
        <f ca="1">AVERAGE(OFFSET($BH$3,0,0,'Données projet'!$E$11+1,1))-AVERAGE(OFFSET($H$3,0,0,'Données projet'!$E$11+1,1))</f>
        <v>357.083670644861</v>
      </c>
      <c r="BJ8" s="60">
        <f t="shared" si="38"/>
        <v>299.88885091109654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3.4358974358974361</v>
      </c>
      <c r="BY8" s="13">
        <f>IF('Données projet'!$A$114&gt;35,BY7+BX8-CG7,IF(A8&lt;'Données projet'!$A$114,$BV$205^A8,IF(A8='Données projet'!$A$114,'Données projet'!$B$114,BY7+BX8-CG7)))</f>
        <v>2.1653440338365213</v>
      </c>
      <c r="BZ8" s="14">
        <f>BY8*VLOOKUP('Données projet'!$B$12,Paramètres!$A$1:$I$89,3,0)*VLOOKUP('Données projet'!$B$12,Paramètres!$A$1:$I$89,5,0)</f>
        <v>1.0133810078354919</v>
      </c>
      <c r="CA8" s="14">
        <f t="shared" si="39"/>
        <v>0.46628653692783789</v>
      </c>
      <c r="CB8" s="22">
        <f t="shared" si="10"/>
        <v>2.5770876404627994</v>
      </c>
      <c r="CC8" s="60">
        <f t="shared" si="11"/>
        <v>265.35486541824059</v>
      </c>
      <c r="CD8" s="60">
        <f ca="1">AVERAGE(OFFSET($CC$3,0,0,'Données projet'!$E$12+1,1))-AVERAGE(OFFSET($H$3,0,0,'Données projet'!$E$12+1,1))</f>
        <v>245.98992992759543</v>
      </c>
      <c r="CE8" s="60">
        <f t="shared" si="40"/>
        <v>145.34368562171613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2.4622299544651152</v>
      </c>
      <c r="CV8" s="14">
        <f t="shared" si="41"/>
        <v>1.021715601495419</v>
      </c>
      <c r="CW8" s="22">
        <f t="shared" si="13"/>
        <v>6.0678718432979295</v>
      </c>
      <c r="CX8" s="60">
        <f t="shared" si="14"/>
        <v>268.84564962107572</v>
      </c>
      <c r="CY8" s="60">
        <f ca="1">AVERAGE(OFFSET($CX$3,0,0,'Données projet'!$E$13+1,1))-AVERAGE(OFFSET($H$3,0,0,'Données projet'!$E$13+1,1))</f>
        <v>455.50822833641354</v>
      </c>
      <c r="CZ8" s="60">
        <f t="shared" si="42"/>
        <v>261.14722581688039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2.740223659001499</v>
      </c>
      <c r="DQ8" s="14">
        <f t="shared" si="43"/>
        <v>1.1230000737947632</v>
      </c>
      <c r="DR8" s="22">
        <f t="shared" si="16"/>
        <v>6.7284480012868242</v>
      </c>
      <c r="DS8" s="60">
        <f t="shared" si="17"/>
        <v>269.50622577906461</v>
      </c>
      <c r="DT8" s="60">
        <f ca="1">AVERAGE(OFFSET($DS$3,0,0,'Données projet'!$E$14+1,1))-AVERAGE(OFFSET($H$3,0,0,'Données projet'!$E$14+1,1))</f>
        <v>502.07782026233912</v>
      </c>
      <c r="DU8" s="60">
        <f t="shared" si="44"/>
        <v>285.83623046025156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2.1</v>
      </c>
      <c r="EJ8" s="13">
        <f>IF('Données projet'!$A$192&gt;35,EJ7+EI8-ER7,IF(A8&lt;'Données projet'!$A$192,$EG$205^A8,IF(A8='Données projet'!$A$192,'Données projet'!$B$192,EJ7+EI8-ER7)))</f>
        <v>2.5457298950218314</v>
      </c>
      <c r="EK8" s="18">
        <f>EJ8*VLOOKUP('Données projet'!$B$15,Paramètres!$A$1:$I$89,3,0)*VLOOKUP('Données projet'!$B$15,Paramètres!$A$1:$I$89,5,0)</f>
        <v>2.3033764090157529</v>
      </c>
      <c r="EL8" s="14">
        <f t="shared" si="45"/>
        <v>0.96324708482559218</v>
      </c>
      <c r="EM8" s="22">
        <f t="shared" si="19"/>
        <v>5.6893692517736758</v>
      </c>
      <c r="EN8" s="60">
        <f t="shared" si="20"/>
        <v>268.46714702955143</v>
      </c>
      <c r="EO8" s="60">
        <f ca="1">AVERAGE(OFFSET($EN$3,0,0,'Données projet'!$E$15+1,1))-AVERAGE(OFFSET($H$3,0,0,'Données projet'!$E$15+1,1))</f>
        <v>428.8489304403459</v>
      </c>
      <c r="EP8" s="60">
        <f t="shared" si="46"/>
        <v>247.01165577562966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0</v>
      </c>
      <c r="N9" s="14">
        <f>IF('Données projet'!$A$36&gt;35,N8+M9-V8,IF(A9&lt;'Données projet'!$A$36,$K$205^A9,IF(A9='Données projet'!$A$36,'Données projet'!$B$36,N8+M9-V8)))</f>
        <v>0</v>
      </c>
      <c r="O9" s="14" t="e">
        <f>N9*VLOOKUP('Données projet'!$B$9,Paramètres!$A$1:$I$89,3,0)*VLOOKUP('Données projet'!$B$9,Paramètres!$A$1:$I$89,5,0)</f>
        <v>#N/A</v>
      </c>
      <c r="P9" s="14" t="e">
        <f t="shared" si="33"/>
        <v>#N/A</v>
      </c>
      <c r="Q9" s="22" t="e">
        <f t="shared" si="2"/>
        <v>#N/A</v>
      </c>
      <c r="R9" s="60" t="e">
        <f t="shared" si="0"/>
        <v>#N/A</v>
      </c>
      <c r="S9" s="60" t="e">
        <f ca="1">AVERAGE(OFFSET($R$3,0,0,'Données projet'!$E$9+1,1))-AVERAGE(OFFSET($H$3,0,0,'Données projet'!$E$9+1,1))</f>
        <v>#N/A</v>
      </c>
      <c r="T9" s="60" t="e">
        <f t="shared" si="34"/>
        <v>#N/A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 t="e">
        <f>EXP(-LN(2)/35)*Z8+(1-EXP(-LN(2)/35))/(LN(2)/35)*V9*W9*VLOOKUP('Données projet'!$B$9,Paramètres!$A$1:$I$89,3,0)*0.475*44/12</f>
        <v>#N/A</v>
      </c>
      <c r="AA9" s="23" t="e">
        <f>EXP(-LN(2)/25)*AA8+(1-EXP(-LN(2)/25))/(LN(2)/25)*Calculateur!V9*Calculateur!X9*VLOOKUP('Données projet'!$B$9,Paramètres!$A$1:$I$89,3,0)*0.475*44/12</f>
        <v>#N/A</v>
      </c>
      <c r="AB9" s="23" t="e">
        <f>EXP(-LN(2)/2)*AB8+(1-EXP(-LN(2)/2))/(LN(2)/2)*V9*Y9*VLOOKUP('Données projet'!$B$9,Paramètres!$A$1:$I$89,3,0)*0.475*44/12</f>
        <v>#N/A</v>
      </c>
      <c r="AC9" s="24" t="e">
        <f t="shared" si="3"/>
        <v>#N/A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0" t="e">
        <f t="shared" si="5"/>
        <v>#N/A</v>
      </c>
      <c r="AN9" s="60" t="e">
        <f ca="1">AVERAGE(OFFSET($AM$3,0,0,'Données projet'!$E$10+1,1))-AVERAGE(OFFSET($H$3,0,0,'Données projet'!$E$10+1,1))</f>
        <v>#N/A</v>
      </c>
      <c r="AO9" s="60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2.2649572649572649</v>
      </c>
      <c r="BD9" s="13">
        <f>IF('Données projet'!$A$88&gt;35,BD8+BC9-BL8,IF(A9&lt;'Données projet'!$A$88,$BA$205^A9,IF(A9='Données projet'!$A$88,'Données projet'!$B$88,BD8+BC9-BL8)))</f>
        <v>4.0969485352494868</v>
      </c>
      <c r="BE9" s="14">
        <f>BD9*VLOOKUP('Données projet'!$B$11,Paramètres!$A$1:$I$89,3,0)*VLOOKUP('Données projet'!$B$11,Paramètres!$A$1:$I$89,5,0)</f>
        <v>3.8986562261434119</v>
      </c>
      <c r="BF9" s="14">
        <f t="shared" si="37"/>
        <v>1.5335025676916687</v>
      </c>
      <c r="BG9" s="22">
        <f t="shared" si="7"/>
        <v>9.4610098992627645</v>
      </c>
      <c r="BH9" s="60">
        <f t="shared" si="8"/>
        <v>273.46100989926276</v>
      </c>
      <c r="BI9" s="60">
        <f ca="1">AVERAGE(OFFSET($BH$3,0,0,'Données projet'!$E$11+1,1))-AVERAGE(OFFSET($H$3,0,0,'Données projet'!$E$11+1,1))</f>
        <v>357.083670644861</v>
      </c>
      <c r="BJ9" s="60">
        <f t="shared" si="38"/>
        <v>299.88885091109654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3.4358974358974361</v>
      </c>
      <c r="BY9" s="13">
        <f>IF('Données projet'!$A$114&gt;35,BY8+BX9-CG8,IF(A9&lt;'Données projet'!$A$114,$BV$205^A9,IF(A9='Données projet'!$A$114,'Données projet'!$B$114,BY8+BX9-CG8)))</f>
        <v>2.5271573831519722</v>
      </c>
      <c r="BZ9" s="14">
        <f>BY9*VLOOKUP('Données projet'!$B$12,Paramètres!$A$1:$I$89,3,0)*VLOOKUP('Données projet'!$B$12,Paramètres!$A$1:$I$89,5,0)</f>
        <v>1.1827096553151231</v>
      </c>
      <c r="CA9" s="14">
        <f t="shared" si="39"/>
        <v>0.53449936229478223</v>
      </c>
      <c r="CB9" s="22">
        <f t="shared" si="10"/>
        <v>2.990805705670585</v>
      </c>
      <c r="CC9" s="60">
        <f t="shared" si="11"/>
        <v>266.9908057056706</v>
      </c>
      <c r="CD9" s="60">
        <f ca="1">AVERAGE(OFFSET($CC$3,0,0,'Données projet'!$E$12+1,1))-AVERAGE(OFFSET($H$3,0,0,'Données projet'!$E$12+1,1))</f>
        <v>245.98992992759543</v>
      </c>
      <c r="CE9" s="60">
        <f t="shared" si="40"/>
        <v>145.34368562171613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2.9681857447309605</v>
      </c>
      <c r="CV9" s="14">
        <f t="shared" si="41"/>
        <v>1.2051613041728233</v>
      </c>
      <c r="CW9" s="22">
        <f t="shared" si="13"/>
        <v>7.2685794435074236</v>
      </c>
      <c r="CX9" s="60">
        <f t="shared" si="14"/>
        <v>271.26857944350741</v>
      </c>
      <c r="CY9" s="60">
        <f ca="1">AVERAGE(OFFSET($CX$3,0,0,'Données projet'!$E$13+1,1))-AVERAGE(OFFSET($H$3,0,0,'Données projet'!$E$13+1,1))</f>
        <v>455.50822833641354</v>
      </c>
      <c r="CZ9" s="60">
        <f t="shared" si="42"/>
        <v>261.14722581688039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3.3033034901038101</v>
      </c>
      <c r="DQ9" s="14">
        <f t="shared" si="43"/>
        <v>1.3246310730107231</v>
      </c>
      <c r="DR9" s="22">
        <f t="shared" si="16"/>
        <v>8.0603193640911446</v>
      </c>
      <c r="DS9" s="60">
        <f t="shared" si="17"/>
        <v>272.06031936409113</v>
      </c>
      <c r="DT9" s="60">
        <f ca="1">AVERAGE(OFFSET($DS$3,0,0,'Données projet'!$E$14+1,1))-AVERAGE(OFFSET($H$3,0,0,'Données projet'!$E$14+1,1))</f>
        <v>502.07782026233912</v>
      </c>
      <c r="DU9" s="60">
        <f t="shared" si="44"/>
        <v>285.83623046025156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2.1</v>
      </c>
      <c r="EJ9" s="13">
        <f>IF('Données projet'!$A$192&gt;35,EJ8+EI9-ER8,IF(A9&lt;'Données projet'!$A$192,$EG$205^A9,IF(A9='Données projet'!$A$192,'Données projet'!$B$192,EJ8+EI9-ER8)))</f>
        <v>3.0688438220956993</v>
      </c>
      <c r="EK9" s="18">
        <f>EJ9*VLOOKUP('Données projet'!$B$15,Paramètres!$A$1:$I$89,3,0)*VLOOKUP('Données projet'!$B$15,Paramètres!$A$1:$I$89,5,0)</f>
        <v>2.7766898902321886</v>
      </c>
      <c r="EL9" s="14">
        <f t="shared" si="45"/>
        <v>1.1361949561012803</v>
      </c>
      <c r="EM9" s="22">
        <f t="shared" si="19"/>
        <v>6.8149411073641248</v>
      </c>
      <c r="EN9" s="60">
        <f t="shared" si="20"/>
        <v>270.81494110736412</v>
      </c>
      <c r="EO9" s="60">
        <f ca="1">AVERAGE(OFFSET($EN$3,0,0,'Données projet'!$E$15+1,1))-AVERAGE(OFFSET($H$3,0,0,'Données projet'!$E$15+1,1))</f>
        <v>428.8489304403459</v>
      </c>
      <c r="EP9" s="60">
        <f t="shared" si="46"/>
        <v>247.01165577562966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0</v>
      </c>
      <c r="N10" s="14">
        <f>IF('Données projet'!$A$36&gt;35,N9+M10-V9,IF(A10&lt;'Données projet'!$A$36,$K$205^A10,IF(A10='Données projet'!$A$36,'Données projet'!$B$36,N9+M10-V9)))</f>
        <v>0</v>
      </c>
      <c r="O10" s="14" t="e">
        <f>N10*VLOOKUP('Données projet'!$B$9,Paramètres!$A$1:$I$89,3,0)*VLOOKUP('Données projet'!$B$9,Paramètres!$A$1:$I$89,5,0)</f>
        <v>#N/A</v>
      </c>
      <c r="P10" s="14" t="e">
        <f t="shared" si="33"/>
        <v>#N/A</v>
      </c>
      <c r="Q10" s="22" t="e">
        <f t="shared" si="2"/>
        <v>#N/A</v>
      </c>
      <c r="R10" s="60" t="e">
        <f t="shared" si="0"/>
        <v>#N/A</v>
      </c>
      <c r="S10" s="60" t="e">
        <f ca="1">AVERAGE(OFFSET($R$3,0,0,'Données projet'!$E$9+1,1))-AVERAGE(OFFSET($H$3,0,0,'Données projet'!$E$9+1,1))</f>
        <v>#N/A</v>
      </c>
      <c r="T10" s="60" t="e">
        <f t="shared" si="34"/>
        <v>#N/A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 t="e">
        <f>EXP(-LN(2)/35)*Z9+(1-EXP(-LN(2)/35))/(LN(2)/35)*V10*W10*VLOOKUP('Données projet'!$B$9,Paramètres!$A$1:$I$89,3,0)*0.475*44/12</f>
        <v>#N/A</v>
      </c>
      <c r="AA10" s="23" t="e">
        <f>EXP(-LN(2)/25)*AA9+(1-EXP(-LN(2)/25))/(LN(2)/25)*Calculateur!V10*Calculateur!X10*VLOOKUP('Données projet'!$B$9,Paramètres!$A$1:$I$89,3,0)*0.475*44/12</f>
        <v>#N/A</v>
      </c>
      <c r="AB10" s="23" t="e">
        <f>EXP(-LN(2)/2)*AB9+(1-EXP(-LN(2)/2))/(LN(2)/2)*V10*Y10*VLOOKUP('Données projet'!$B$9,Paramètres!$A$1:$I$89,3,0)*0.475*44/12</f>
        <v>#N/A</v>
      </c>
      <c r="AC10" s="24" t="e">
        <f t="shared" si="3"/>
        <v>#N/A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0" t="e">
        <f t="shared" si="5"/>
        <v>#N/A</v>
      </c>
      <c r="AN10" s="60" t="e">
        <f ca="1">AVERAGE(OFFSET($AM$3,0,0,'Données projet'!$E$10+1,1))-AVERAGE(OFFSET($H$3,0,0,'Données projet'!$E$10+1,1))</f>
        <v>#N/A</v>
      </c>
      <c r="AO10" s="60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2.2649572649572649</v>
      </c>
      <c r="BD10" s="13">
        <f>IF('Données projet'!$A$88&gt;35,BD9+BC10-BL9,IF(A10&lt;'Données projet'!$A$88,$BA$205^A10,IF(A10='Données projet'!$A$88,'Données projet'!$B$88,BD9+BC10-BL9)))</f>
        <v>5.1824755269514737</v>
      </c>
      <c r="BE10" s="14">
        <f>BD10*VLOOKUP('Données projet'!$B$11,Paramètres!$A$1:$I$89,3,0)*VLOOKUP('Données projet'!$B$11,Paramètres!$A$1:$I$89,5,0)</f>
        <v>4.9316437114470224</v>
      </c>
      <c r="BF10" s="14">
        <f t="shared" si="37"/>
        <v>1.8874676857212829</v>
      </c>
      <c r="BG10" s="22">
        <f t="shared" si="7"/>
        <v>11.876619016734798</v>
      </c>
      <c r="BH10" s="60">
        <f t="shared" si="8"/>
        <v>277.09884123895705</v>
      </c>
      <c r="BI10" s="60">
        <f ca="1">AVERAGE(OFFSET($BH$3,0,0,'Données projet'!$E$11+1,1))-AVERAGE(OFFSET($H$3,0,0,'Données projet'!$E$11+1,1))</f>
        <v>357.083670644861</v>
      </c>
      <c r="BJ10" s="60">
        <f t="shared" si="38"/>
        <v>299.88885091109654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3.4358974358974361</v>
      </c>
      <c r="BY10" s="13">
        <f>IF('Données projet'!$A$114&gt;35,BY9+BX10-CG9,IF(A10&lt;'Données projet'!$A$114,$BV$205^A10,IF(A10='Données projet'!$A$114,'Données projet'!$B$114,BY9+BX10-CG9)))</f>
        <v>2.9494271300177566</v>
      </c>
      <c r="BZ10" s="14">
        <f>BY10*VLOOKUP('Données projet'!$B$12,Paramètres!$A$1:$I$89,3,0)*VLOOKUP('Données projet'!$B$12,Paramètres!$A$1:$I$89,5,0)</f>
        <v>1.38033189684831</v>
      </c>
      <c r="CA10" s="14">
        <f t="shared" si="39"/>
        <v>0.6126910079279041</v>
      </c>
      <c r="CB10" s="22">
        <f t="shared" si="10"/>
        <v>3.4711815591519066</v>
      </c>
      <c r="CC10" s="60">
        <f t="shared" si="11"/>
        <v>268.69340378137412</v>
      </c>
      <c r="CD10" s="60">
        <f ca="1">AVERAGE(OFFSET($CC$3,0,0,'Données projet'!$E$12+1,1))-AVERAGE(OFFSET($H$3,0,0,'Données projet'!$E$12+1,1))</f>
        <v>245.98992992759543</v>
      </c>
      <c r="CE10" s="60">
        <f t="shared" si="40"/>
        <v>145.34368562171613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3.5781087786895851</v>
      </c>
      <c r="CV10" s="14">
        <f t="shared" si="41"/>
        <v>1.4215440842341414</v>
      </c>
      <c r="CW10" s="22">
        <f t="shared" si="13"/>
        <v>8.707728736258824</v>
      </c>
      <c r="CX10" s="60">
        <f t="shared" si="14"/>
        <v>273.92995095848107</v>
      </c>
      <c r="CY10" s="60">
        <f ca="1">AVERAGE(OFFSET($CX$3,0,0,'Données projet'!$E$13+1,1))-AVERAGE(OFFSET($H$3,0,0,'Données projet'!$E$13+1,1))</f>
        <v>455.50822833641354</v>
      </c>
      <c r="CZ10" s="60">
        <f t="shared" si="42"/>
        <v>261.14722581688039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3.982088802090022</v>
      </c>
      <c r="DQ10" s="14">
        <f t="shared" si="43"/>
        <v>1.5624642602705792</v>
      </c>
      <c r="DR10" s="22">
        <f t="shared" si="16"/>
        <v>9.6567632502780452</v>
      </c>
      <c r="DS10" s="60">
        <f t="shared" si="17"/>
        <v>274.87898547250029</v>
      </c>
      <c r="DT10" s="60">
        <f ca="1">AVERAGE(OFFSET($DS$3,0,0,'Données projet'!$E$14+1,1))-AVERAGE(OFFSET($H$3,0,0,'Données projet'!$E$14+1,1))</f>
        <v>502.07782026233912</v>
      </c>
      <c r="DU10" s="60">
        <f t="shared" si="44"/>
        <v>285.83623046025156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2.1</v>
      </c>
      <c r="EJ10" s="13">
        <f>IF('Données projet'!$A$192&gt;35,EJ9+EI10-ER9,IF(A10&lt;'Données projet'!$A$192,$EG$205^A10,IF(A10='Données projet'!$A$192,'Données projet'!$B$192,EJ9+EI10-ER9)))</f>
        <v>3.6994507637402658</v>
      </c>
      <c r="EK10" s="18">
        <f>EJ10*VLOOKUP('Données projet'!$B$15,Paramètres!$A$1:$I$89,3,0)*VLOOKUP('Données projet'!$B$15,Paramètres!$A$1:$I$89,5,0)</f>
        <v>3.3472630510321921</v>
      </c>
      <c r="EL10" s="14">
        <f t="shared" si="45"/>
        <v>1.34019505338418</v>
      </c>
      <c r="EM10" s="22">
        <f t="shared" si="19"/>
        <v>8.1639895318585136</v>
      </c>
      <c r="EN10" s="60">
        <f t="shared" si="20"/>
        <v>273.38621175408076</v>
      </c>
      <c r="EO10" s="60">
        <f ca="1">AVERAGE(OFFSET($EN$3,0,0,'Données projet'!$E$15+1,1))-AVERAGE(OFFSET($H$3,0,0,'Données projet'!$E$15+1,1))</f>
        <v>428.8489304403459</v>
      </c>
      <c r="EP10" s="60">
        <f t="shared" si="46"/>
        <v>247.01165577562966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0</v>
      </c>
      <c r="N11" s="14">
        <f>IF('Données projet'!$A$36&gt;35,N10+M11-V10,IF(A11&lt;'Données projet'!$A$36,$K$205^A11,IF(A11='Données projet'!$A$36,'Données projet'!$B$36,N10+M11-V10)))</f>
        <v>0</v>
      </c>
      <c r="O11" s="14" t="e">
        <f>N11*VLOOKUP('Données projet'!$B$9,Paramètres!$A$1:$I$89,3,0)*VLOOKUP('Données projet'!$B$9,Paramètres!$A$1:$I$89,5,0)</f>
        <v>#N/A</v>
      </c>
      <c r="P11" s="14" t="e">
        <f t="shared" si="33"/>
        <v>#N/A</v>
      </c>
      <c r="Q11" s="22" t="e">
        <f t="shared" si="2"/>
        <v>#N/A</v>
      </c>
      <c r="R11" s="60" t="e">
        <f t="shared" si="0"/>
        <v>#N/A</v>
      </c>
      <c r="S11" s="60" t="e">
        <f ca="1">AVERAGE(OFFSET($R$3,0,0,'Données projet'!$E$9+1,1))-AVERAGE(OFFSET($H$3,0,0,'Données projet'!$E$9+1,1))</f>
        <v>#N/A</v>
      </c>
      <c r="T11" s="60" t="e">
        <f t="shared" si="34"/>
        <v>#N/A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 t="e">
        <f>EXP(-LN(2)/35)*Z10+(1-EXP(-LN(2)/35))/(LN(2)/35)*V11*W11*VLOOKUP('Données projet'!$B$9,Paramètres!$A$1:$I$89,3,0)*0.475*44/12</f>
        <v>#N/A</v>
      </c>
      <c r="AA11" s="23" t="e">
        <f>EXP(-LN(2)/25)*AA10+(1-EXP(-LN(2)/25))/(LN(2)/25)*Calculateur!V11*Calculateur!X11*VLOOKUP('Données projet'!$B$9,Paramètres!$A$1:$I$89,3,0)*0.475*44/12</f>
        <v>#N/A</v>
      </c>
      <c r="AB11" s="23" t="e">
        <f>EXP(-LN(2)/2)*AB10+(1-EXP(-LN(2)/2))/(LN(2)/2)*V11*Y11*VLOOKUP('Données projet'!$B$9,Paramètres!$A$1:$I$89,3,0)*0.475*44/12</f>
        <v>#N/A</v>
      </c>
      <c r="AC11" s="24" t="e">
        <f t="shared" si="3"/>
        <v>#N/A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0" t="e">
        <f t="shared" si="5"/>
        <v>#N/A</v>
      </c>
      <c r="AN11" s="60" t="e">
        <f ca="1">AVERAGE(OFFSET($AM$3,0,0,'Données projet'!$E$10+1,1))-AVERAGE(OFFSET($H$3,0,0,'Données projet'!$E$10+1,1))</f>
        <v>#N/A</v>
      </c>
      <c r="AO11" s="60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2.2649572649572649</v>
      </c>
      <c r="BD11" s="13">
        <f>IF('Données projet'!$A$88&gt;35,BD10+BC11-BL10,IF(A11&lt;'Données projet'!$A$88,$BA$205^A11,IF(A11='Données projet'!$A$88,'Données projet'!$B$88,BD10+BC11-BL10)))</f>
        <v>6.555623619962172</v>
      </c>
      <c r="BE11" s="14">
        <f>BD11*VLOOKUP('Données projet'!$B$11,Paramètres!$A$1:$I$89,3,0)*VLOOKUP('Données projet'!$B$11,Paramètres!$A$1:$I$89,5,0)</f>
        <v>6.2383314367560025</v>
      </c>
      <c r="BF11" s="14">
        <f t="shared" si="37"/>
        <v>2.3231355067142938</v>
      </c>
      <c r="BG11" s="22">
        <f t="shared" si="7"/>
        <v>14.911221593210763</v>
      </c>
      <c r="BH11" s="60">
        <f t="shared" si="8"/>
        <v>281.35566603765523</v>
      </c>
      <c r="BI11" s="60">
        <f ca="1">AVERAGE(OFFSET($BH$3,0,0,'Données projet'!$E$11+1,1))-AVERAGE(OFFSET($H$3,0,0,'Données projet'!$E$11+1,1))</f>
        <v>357.083670644861</v>
      </c>
      <c r="BJ11" s="60">
        <f t="shared" si="38"/>
        <v>299.88885091109654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3.4358974358974361</v>
      </c>
      <c r="BY11" s="13">
        <f>IF('Données projet'!$A$114&gt;35,BY10+BX11-CG10,IF(A11&lt;'Données projet'!$A$114,$BV$205^A11,IF(A11='Données projet'!$A$114,'Données projet'!$B$114,BY10+BX11-CG10)))</f>
        <v>3.4422551018310097</v>
      </c>
      <c r="BZ11" s="14">
        <f>BY11*VLOOKUP('Données projet'!$B$12,Paramètres!$A$1:$I$89,3,0)*VLOOKUP('Données projet'!$B$12,Paramètres!$A$1:$I$89,5,0)</f>
        <v>1.6109753876569124</v>
      </c>
      <c r="CA11" s="14">
        <f t="shared" si="39"/>
        <v>0.70232127047642601</v>
      </c>
      <c r="CB11" s="22">
        <f t="shared" si="10"/>
        <v>4.0289916795822309</v>
      </c>
      <c r="CC11" s="60">
        <f t="shared" si="11"/>
        <v>270.4734361240267</v>
      </c>
      <c r="CD11" s="60">
        <f ca="1">AVERAGE(OFFSET($CC$3,0,0,'Données projet'!$E$12+1,1))-AVERAGE(OFFSET($H$3,0,0,'Données projet'!$E$12+1,1))</f>
        <v>245.98992992759543</v>
      </c>
      <c r="CE11" s="60">
        <f t="shared" si="40"/>
        <v>145.34368562171613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4.3133629540748091</v>
      </c>
      <c r="CV11" s="14">
        <f t="shared" si="41"/>
        <v>1.6767776864592203</v>
      </c>
      <c r="CW11" s="22">
        <f t="shared" si="13"/>
        <v>10.432828282263435</v>
      </c>
      <c r="CX11" s="60">
        <f t="shared" si="14"/>
        <v>276.87727272670787</v>
      </c>
      <c r="CY11" s="60">
        <f ca="1">AVERAGE(OFFSET($CX$3,0,0,'Données projet'!$E$13+1,1))-AVERAGE(OFFSET($H$3,0,0,'Données projet'!$E$13+1,1))</f>
        <v>455.50822833641354</v>
      </c>
      <c r="CZ11" s="60">
        <f t="shared" si="42"/>
        <v>261.14722581688039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4.8003555456638995</v>
      </c>
      <c r="DQ11" s="14">
        <f t="shared" si="43"/>
        <v>1.8429996203200378</v>
      </c>
      <c r="DR11" s="22">
        <f t="shared" si="16"/>
        <v>11.570510247422023</v>
      </c>
      <c r="DS11" s="60">
        <f t="shared" si="17"/>
        <v>278.01495469186648</v>
      </c>
      <c r="DT11" s="60">
        <f ca="1">AVERAGE(OFFSET($DS$3,0,0,'Données projet'!$E$14+1,1))-AVERAGE(OFFSET($H$3,0,0,'Données projet'!$E$14+1,1))</f>
        <v>502.07782026233912</v>
      </c>
      <c r="DU11" s="60">
        <f t="shared" si="44"/>
        <v>285.83623046025156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2.1</v>
      </c>
      <c r="EJ11" s="13">
        <f>IF('Données projet'!$A$192&gt;35,EJ10+EI11-ER10,IF(A11&lt;'Données projet'!$A$192,$EG$205^A11,IF(A11='Données projet'!$A$192,'Données projet'!$B$192,EJ10+EI11-ER10)))</f>
        <v>4.4596391171162209</v>
      </c>
      <c r="EK11" s="18">
        <f>EJ11*VLOOKUP('Données projet'!$B$15,Paramètres!$A$1:$I$89,3,0)*VLOOKUP('Données projet'!$B$15,Paramètres!$A$1:$I$89,5,0)</f>
        <v>4.0350814731667564</v>
      </c>
      <c r="EL11" s="14">
        <f t="shared" si="45"/>
        <v>1.5808227025391921</v>
      </c>
      <c r="EM11" s="22">
        <f t="shared" si="19"/>
        <v>9.7810331060211926</v>
      </c>
      <c r="EN11" s="60">
        <f t="shared" si="20"/>
        <v>276.22547755046565</v>
      </c>
      <c r="EO11" s="60">
        <f ca="1">AVERAGE(OFFSET($EN$3,0,0,'Données projet'!$E$15+1,1))-AVERAGE(OFFSET($H$3,0,0,'Données projet'!$E$15+1,1))</f>
        <v>428.8489304403459</v>
      </c>
      <c r="EP11" s="60">
        <f t="shared" si="46"/>
        <v>247.01165577562966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0</v>
      </c>
      <c r="N12" s="14">
        <f>IF('Données projet'!$A$36&gt;35,N11+M12-V11,IF(A12&lt;'Données projet'!$A$36,$K$205^A12,IF(A12='Données projet'!$A$36,'Données projet'!$B$36,N11+M12-V11)))</f>
        <v>0</v>
      </c>
      <c r="O12" s="14" t="e">
        <f>N12*VLOOKUP('Données projet'!$B$9,Paramètres!$A$1:$I$89,3,0)*VLOOKUP('Données projet'!$B$9,Paramètres!$A$1:$I$89,5,0)</f>
        <v>#N/A</v>
      </c>
      <c r="P12" s="14" t="e">
        <f t="shared" si="33"/>
        <v>#N/A</v>
      </c>
      <c r="Q12" s="22" t="e">
        <f t="shared" si="2"/>
        <v>#N/A</v>
      </c>
      <c r="R12" s="60" t="e">
        <f t="shared" si="0"/>
        <v>#N/A</v>
      </c>
      <c r="S12" s="60" t="e">
        <f ca="1">AVERAGE(OFFSET($R$3,0,0,'Données projet'!$E$9+1,1))-AVERAGE(OFFSET($H$3,0,0,'Données projet'!$E$9+1,1))</f>
        <v>#N/A</v>
      </c>
      <c r="T12" s="60" t="e">
        <f t="shared" si="34"/>
        <v>#N/A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 t="e">
        <f>EXP(-LN(2)/35)*Z11+(1-EXP(-LN(2)/35))/(LN(2)/35)*V12*W12*VLOOKUP('Données projet'!$B$9,Paramètres!$A$1:$I$89,3,0)*0.475*44/12</f>
        <v>#N/A</v>
      </c>
      <c r="AA12" s="23" t="e">
        <f>EXP(-LN(2)/25)*AA11+(1-EXP(-LN(2)/25))/(LN(2)/25)*Calculateur!V12*Calculateur!X12*VLOOKUP('Données projet'!$B$9,Paramètres!$A$1:$I$89,3,0)*0.475*44/12</f>
        <v>#N/A</v>
      </c>
      <c r="AB12" s="23" t="e">
        <f>EXP(-LN(2)/2)*AB11+(1-EXP(-LN(2)/2))/(LN(2)/2)*V12*Y12*VLOOKUP('Données projet'!$B$9,Paramètres!$A$1:$I$89,3,0)*0.475*44/12</f>
        <v>#N/A</v>
      </c>
      <c r="AC12" s="24" t="e">
        <f t="shared" si="3"/>
        <v>#N/A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0" t="e">
        <f t="shared" si="5"/>
        <v>#N/A</v>
      </c>
      <c r="AN12" s="60" t="e">
        <f ca="1">AVERAGE(OFFSET($AM$3,0,0,'Données projet'!$E$10+1,1))-AVERAGE(OFFSET($H$3,0,0,'Données projet'!$E$10+1,1))</f>
        <v>#N/A</v>
      </c>
      <c r="AO12" s="60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2.2649572649572649</v>
      </c>
      <c r="BD12" s="13">
        <f>IF('Données projet'!$A$88&gt;35,BD11+BC12-BL11,IF(A12&lt;'Données projet'!$A$88,$BA$205^A12,IF(A12='Données projet'!$A$88,'Données projet'!$B$88,BD11+BC12-BL11)))</f>
        <v>8.2926008667302167</v>
      </c>
      <c r="BE12" s="14">
        <f>BD12*VLOOKUP('Données projet'!$B$11,Paramètres!$A$1:$I$89,3,0)*VLOOKUP('Données projet'!$B$11,Paramètres!$A$1:$I$89,5,0)</f>
        <v>7.8912389847804736</v>
      </c>
      <c r="BF12" s="14">
        <f t="shared" si="37"/>
        <v>2.8593647580749275</v>
      </c>
      <c r="BG12" s="22">
        <f t="shared" si="7"/>
        <v>18.723968185473154</v>
      </c>
      <c r="BH12" s="60">
        <f t="shared" si="8"/>
        <v>286.39063485213984</v>
      </c>
      <c r="BI12" s="60">
        <f ca="1">AVERAGE(OFFSET($BH$3,0,0,'Données projet'!$E$11+1,1))-AVERAGE(OFFSET($H$3,0,0,'Données projet'!$E$11+1,1))</f>
        <v>357.083670644861</v>
      </c>
      <c r="BJ12" s="60">
        <f t="shared" si="38"/>
        <v>299.88885091109654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3.4358974358974361</v>
      </c>
      <c r="BY12" s="13">
        <f>IF('Données projet'!$A$114&gt;35,BY11+BX12-CG11,IF(A12&lt;'Données projet'!$A$114,$BV$205^A12,IF(A12='Données projet'!$A$114,'Données projet'!$B$114,BY11+BX12-CG11)))</f>
        <v>4.0174310683886194</v>
      </c>
      <c r="BZ12" s="14">
        <f>BY12*VLOOKUP('Données projet'!$B$12,Paramètres!$A$1:$I$89,3,0)*VLOOKUP('Données projet'!$B$12,Paramètres!$A$1:$I$89,5,0)</f>
        <v>1.8801577400058738</v>
      </c>
      <c r="CA12" s="14">
        <f t="shared" si="39"/>
        <v>0.80506349951468992</v>
      </c>
      <c r="CB12" s="22">
        <f t="shared" si="10"/>
        <v>4.6767603254983152</v>
      </c>
      <c r="CC12" s="60">
        <f t="shared" si="11"/>
        <v>272.34342699216501</v>
      </c>
      <c r="CD12" s="60">
        <f ca="1">AVERAGE(OFFSET($CC$3,0,0,'Données projet'!$E$12+1,1))-AVERAGE(OFFSET($H$3,0,0,'Données projet'!$E$12+1,1))</f>
        <v>245.98992992759543</v>
      </c>
      <c r="CE12" s="60">
        <f t="shared" si="40"/>
        <v>145.34368562171613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5.1997021679141717</v>
      </c>
      <c r="CV12" s="14">
        <f t="shared" si="41"/>
        <v>1.977837649208241</v>
      </c>
      <c r="CW12" s="22">
        <f t="shared" si="13"/>
        <v>12.500881848154869</v>
      </c>
      <c r="CX12" s="60">
        <f t="shared" si="14"/>
        <v>280.16754851482153</v>
      </c>
      <c r="CY12" s="60">
        <f ca="1">AVERAGE(OFFSET($CX$3,0,0,'Données projet'!$E$13+1,1))-AVERAGE(OFFSET($H$3,0,0,'Données projet'!$E$13+1,1))</f>
        <v>455.50822833641354</v>
      </c>
      <c r="CZ12" s="60">
        <f t="shared" si="42"/>
        <v>261.14722581688039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5.7867653159044812</v>
      </c>
      <c r="DQ12" s="14">
        <f t="shared" si="43"/>
        <v>2.1739041889582755</v>
      </c>
      <c r="DR12" s="22">
        <f t="shared" si="16"/>
        <v>13.864832720969302</v>
      </c>
      <c r="DS12" s="60">
        <f t="shared" si="17"/>
        <v>281.53149938763596</v>
      </c>
      <c r="DT12" s="60">
        <f ca="1">AVERAGE(OFFSET($DS$3,0,0,'Données projet'!$E$14+1,1))-AVERAGE(OFFSET($H$3,0,0,'Données projet'!$E$14+1,1))</f>
        <v>502.07782026233912</v>
      </c>
      <c r="DU12" s="60">
        <f t="shared" si="44"/>
        <v>285.83623046025156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2.1</v>
      </c>
      <c r="EJ12" s="13">
        <f>IF('Données projet'!$A$192&gt;35,EJ11+EI12-ER11,IF(A12&lt;'Données projet'!$A$192,$EG$205^A12,IF(A12='Données projet'!$A$192,'Données projet'!$B$192,EJ11+EI12-ER11)))</f>
        <v>5.3760361537574148</v>
      </c>
      <c r="EK12" s="18">
        <f>EJ12*VLOOKUP('Données projet'!$B$15,Paramètres!$A$1:$I$89,3,0)*VLOOKUP('Données projet'!$B$15,Paramètres!$A$1:$I$89,5,0)</f>
        <v>4.8642375119197085</v>
      </c>
      <c r="EL12" s="14">
        <f t="shared" si="45"/>
        <v>1.8646542609995393</v>
      </c>
      <c r="EM12" s="22">
        <f t="shared" si="19"/>
        <v>11.719486504501022</v>
      </c>
      <c r="EN12" s="60">
        <f t="shared" si="20"/>
        <v>279.38615317116773</v>
      </c>
      <c r="EO12" s="60">
        <f ca="1">AVERAGE(OFFSET($EN$3,0,0,'Données projet'!$E$15+1,1))-AVERAGE(OFFSET($H$3,0,0,'Données projet'!$E$15+1,1))</f>
        <v>428.8489304403459</v>
      </c>
      <c r="EP12" s="60">
        <f t="shared" si="46"/>
        <v>247.01165577562966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0</v>
      </c>
      <c r="N13" s="14">
        <f>IF('Données projet'!$A$36&gt;35,N12+M13-V12,IF(A13&lt;'Données projet'!$A$36,$K$205^A13,IF(A13='Données projet'!$A$36,'Données projet'!$B$36,N12+M13-V12)))</f>
        <v>0</v>
      </c>
      <c r="O13" s="14" t="e">
        <f>N13*VLOOKUP('Données projet'!$B$9,Paramètres!$A$1:$I$89,3,0)*VLOOKUP('Données projet'!$B$9,Paramètres!$A$1:$I$89,5,0)</f>
        <v>#N/A</v>
      </c>
      <c r="P13" s="14" t="e">
        <f t="shared" si="33"/>
        <v>#N/A</v>
      </c>
      <c r="Q13" s="22" t="e">
        <f t="shared" si="2"/>
        <v>#N/A</v>
      </c>
      <c r="R13" s="60" t="e">
        <f t="shared" si="0"/>
        <v>#N/A</v>
      </c>
      <c r="S13" s="60" t="e">
        <f ca="1">AVERAGE(OFFSET($R$3,0,0,'Données projet'!$E$9+1,1))-AVERAGE(OFFSET($H$3,0,0,'Données projet'!$E$9+1,1))</f>
        <v>#N/A</v>
      </c>
      <c r="T13" s="60" t="e">
        <f t="shared" si="34"/>
        <v>#N/A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 t="e">
        <f>EXP(-LN(2)/35)*Z12+(1-EXP(-LN(2)/35))/(LN(2)/35)*V13*W13*VLOOKUP('Données projet'!$B$9,Paramètres!$A$1:$I$89,3,0)*0.475*44/12</f>
        <v>#N/A</v>
      </c>
      <c r="AA13" s="23" t="e">
        <f>EXP(-LN(2)/25)*AA12+(1-EXP(-LN(2)/25))/(LN(2)/25)*Calculateur!V13*Calculateur!X13*VLOOKUP('Données projet'!$B$9,Paramètres!$A$1:$I$89,3,0)*0.475*44/12</f>
        <v>#N/A</v>
      </c>
      <c r="AB13" s="23" t="e">
        <f>EXP(-LN(2)/2)*AB12+(1-EXP(-LN(2)/2))/(LN(2)/2)*V13*Y13*VLOOKUP('Données projet'!$B$9,Paramètres!$A$1:$I$89,3,0)*0.475*44/12</f>
        <v>#N/A</v>
      </c>
      <c r="AC13" s="24" t="e">
        <f t="shared" si="3"/>
        <v>#N/A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0" t="e">
        <f t="shared" si="5"/>
        <v>#N/A</v>
      </c>
      <c r="AN13" s="60" t="e">
        <f ca="1">AVERAGE(OFFSET($AM$3,0,0,'Données projet'!$E$10+1,1))-AVERAGE(OFFSET($H$3,0,0,'Données projet'!$E$10+1,1))</f>
        <v>#N/A</v>
      </c>
      <c r="AO13" s="60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2.2649572649572649</v>
      </c>
      <c r="BD13" s="13">
        <f>IF('Données projet'!$A$88&gt;35,BD12+BC13-BL12,IF(A13&lt;'Données projet'!$A$88,$BA$205^A13,IF(A13='Données projet'!$A$88,'Données projet'!$B$88,BD12+BC13-BL12)))</f>
        <v>10.489807396125579</v>
      </c>
      <c r="BE13" s="14">
        <f>BD13*VLOOKUP('Données projet'!$B$11,Paramètres!$A$1:$I$89,3,0)*VLOOKUP('Données projet'!$B$11,Paramètres!$A$1:$I$89,5,0)</f>
        <v>9.9821007181531005</v>
      </c>
      <c r="BF13" s="14">
        <f t="shared" si="37"/>
        <v>3.5193671639432234</v>
      </c>
      <c r="BG13" s="22">
        <f t="shared" si="7"/>
        <v>23.515056561317763</v>
      </c>
      <c r="BH13" s="60">
        <f t="shared" si="8"/>
        <v>292.40394545020661</v>
      </c>
      <c r="BI13" s="60">
        <f ca="1">AVERAGE(OFFSET($BH$3,0,0,'Données projet'!$E$11+1,1))-AVERAGE(OFFSET($H$3,0,0,'Données projet'!$E$11+1,1))</f>
        <v>357.083670644861</v>
      </c>
      <c r="BJ13" s="60">
        <f t="shared" si="38"/>
        <v>299.88885091109654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3.4358974358974361</v>
      </c>
      <c r="BY13" s="13">
        <f>IF('Données projet'!$A$114&gt;35,BY12+BX13-CG12,IF(A13&lt;'Données projet'!$A$114,$BV$205^A13,IF(A13='Données projet'!$A$114,'Données projet'!$B$114,BY12+BX13-CG12)))</f>
        <v>4.6887147848714186</v>
      </c>
      <c r="BZ13" s="14">
        <f>BY13*VLOOKUP('Données projet'!$B$12,Paramètres!$A$1:$I$89,3,0)*VLOOKUP('Données projet'!$B$12,Paramètres!$A$1:$I$89,5,0)</f>
        <v>2.194318519319824</v>
      </c>
      <c r="CA13" s="14">
        <f t="shared" si="39"/>
        <v>0.9228358380932653</v>
      </c>
      <c r="CB13" s="22">
        <f t="shared" si="10"/>
        <v>5.4290438391611309</v>
      </c>
      <c r="CC13" s="60">
        <f t="shared" si="11"/>
        <v>274.31793272804998</v>
      </c>
      <c r="CD13" s="60">
        <f ca="1">AVERAGE(OFFSET($CC$3,0,0,'Données projet'!$E$12+1,1))-AVERAGE(OFFSET($H$3,0,0,'Données projet'!$E$12+1,1))</f>
        <v>245.98992992759543</v>
      </c>
      <c r="CE13" s="60">
        <f t="shared" si="40"/>
        <v>145.34368562171613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6.2681724035000874</v>
      </c>
      <c r="CV13" s="14">
        <f t="shared" si="41"/>
        <v>2.3329519459947301</v>
      </c>
      <c r="CW13" s="22">
        <f t="shared" si="13"/>
        <v>14.98029157537014</v>
      </c>
      <c r="CX13" s="60">
        <f t="shared" si="14"/>
        <v>283.86918046425899</v>
      </c>
      <c r="CY13" s="60">
        <f ca="1">AVERAGE(OFFSET($CX$3,0,0,'Données projet'!$E$13+1,1))-AVERAGE(OFFSET($H$3,0,0,'Données projet'!$E$13+1,1))</f>
        <v>455.50822833641354</v>
      </c>
      <c r="CZ13" s="60">
        <f t="shared" si="42"/>
        <v>261.14722581688039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6.9758692877662263</v>
      </c>
      <c r="DQ13" s="14">
        <f t="shared" si="43"/>
        <v>2.5642215932468222</v>
      </c>
      <c r="DR13" s="22">
        <f t="shared" si="16"/>
        <v>16.61565828443106</v>
      </c>
      <c r="DS13" s="60">
        <f t="shared" si="17"/>
        <v>285.50454717331991</v>
      </c>
      <c r="DT13" s="60">
        <f ca="1">AVERAGE(OFFSET($DS$3,0,0,'Données projet'!$E$14+1,1))-AVERAGE(OFFSET($H$3,0,0,'Données projet'!$E$14+1,1))</f>
        <v>502.07782026233912</v>
      </c>
      <c r="DU13" s="60">
        <f t="shared" si="44"/>
        <v>285.83623046025156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2.1</v>
      </c>
      <c r="EJ13" s="13">
        <f>IF('Données projet'!$A$192&gt;35,EJ12+EI13-ER12,IF(A13&lt;'Données projet'!$A$192,$EG$205^A13,IF(A13='Données projet'!$A$192,'Données projet'!$B$192,EJ12+EI13-ER12)))</f>
        <v>6.4807406984078657</v>
      </c>
      <c r="EK13" s="18">
        <f>EJ13*VLOOKUP('Données projet'!$B$15,Paramètres!$A$1:$I$89,3,0)*VLOOKUP('Données projet'!$B$15,Paramètres!$A$1:$I$89,5,0)</f>
        <v>5.8637741839194364</v>
      </c>
      <c r="EL13" s="14">
        <f t="shared" si="45"/>
        <v>2.1994468497187687</v>
      </c>
      <c r="EM13" s="22">
        <f t="shared" si="19"/>
        <v>14.043443300253207</v>
      </c>
      <c r="EN13" s="60">
        <f t="shared" si="20"/>
        <v>282.93233218914207</v>
      </c>
      <c r="EO13" s="60">
        <f ca="1">AVERAGE(OFFSET($EN$3,0,0,'Données projet'!$E$15+1,1))-AVERAGE(OFFSET($H$3,0,0,'Données projet'!$E$15+1,1))</f>
        <v>428.8489304403459</v>
      </c>
      <c r="EP13" s="60">
        <f t="shared" si="46"/>
        <v>247.01165577562966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0</v>
      </c>
      <c r="N14" s="14">
        <f>IF('Données projet'!$A$36&gt;35,N13+M14-V13,IF(A14&lt;'Données projet'!$A$36,$K$205^A14,IF(A14='Données projet'!$A$36,'Données projet'!$B$36,N13+M14-V13)))</f>
        <v>0</v>
      </c>
      <c r="O14" s="14" t="e">
        <f>N14*VLOOKUP('Données projet'!$B$9,Paramètres!$A$1:$I$89,3,0)*VLOOKUP('Données projet'!$B$9,Paramètres!$A$1:$I$89,5,0)</f>
        <v>#N/A</v>
      </c>
      <c r="P14" s="14" t="e">
        <f t="shared" si="33"/>
        <v>#N/A</v>
      </c>
      <c r="Q14" s="22" t="e">
        <f t="shared" si="2"/>
        <v>#N/A</v>
      </c>
      <c r="R14" s="60" t="e">
        <f t="shared" si="0"/>
        <v>#N/A</v>
      </c>
      <c r="S14" s="60" t="e">
        <f ca="1">AVERAGE(OFFSET($R$3,0,0,'Données projet'!$E$9+1,1))-AVERAGE(OFFSET($H$3,0,0,'Données projet'!$E$9+1,1))</f>
        <v>#N/A</v>
      </c>
      <c r="T14" s="60" t="e">
        <f t="shared" si="34"/>
        <v>#N/A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 t="e">
        <f>EXP(-LN(2)/35)*Z13+(1-EXP(-LN(2)/35))/(LN(2)/35)*V14*W14*VLOOKUP('Données projet'!$B$9,Paramètres!$A$1:$I$89,3,0)*0.475*44/12</f>
        <v>#N/A</v>
      </c>
      <c r="AA14" s="23" t="e">
        <f>EXP(-LN(2)/25)*AA13+(1-EXP(-LN(2)/25))/(LN(2)/25)*Calculateur!V14*Calculateur!X14*VLOOKUP('Données projet'!$B$9,Paramètres!$A$1:$I$89,3,0)*0.475*44/12</f>
        <v>#N/A</v>
      </c>
      <c r="AB14" s="23" t="e">
        <f>EXP(-LN(2)/2)*AB13+(1-EXP(-LN(2)/2))/(LN(2)/2)*V14*Y14*VLOOKUP('Données projet'!$B$9,Paramètres!$A$1:$I$89,3,0)*0.475*44/12</f>
        <v>#N/A</v>
      </c>
      <c r="AC14" s="24" t="e">
        <f t="shared" si="3"/>
        <v>#N/A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0" t="e">
        <f t="shared" si="5"/>
        <v>#N/A</v>
      </c>
      <c r="AN14" s="60" t="e">
        <f ca="1">AVERAGE(OFFSET($AM$3,0,0,'Données projet'!$E$10+1,1))-AVERAGE(OFFSET($H$3,0,0,'Données projet'!$E$10+1,1))</f>
        <v>#N/A</v>
      </c>
      <c r="AO14" s="60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2.2649572649572649</v>
      </c>
      <c r="BD14" s="13">
        <f>IF('Données projet'!$A$88&gt;35,BD13+BC14-BL13,IF(A14&lt;'Données projet'!$A$88,$BA$205^A14,IF(A14='Données projet'!$A$88,'Données projet'!$B$88,BD13+BC14-BL13)))</f>
        <v>13.269185503582337</v>
      </c>
      <c r="BE14" s="14">
        <f>BD14*VLOOKUP('Données projet'!$B$11,Paramètres!$A$1:$I$89,3,0)*VLOOKUP('Données projet'!$B$11,Paramètres!$A$1:$I$89,5,0)</f>
        <v>12.626956925208951</v>
      </c>
      <c r="BF14" s="14">
        <f t="shared" si="37"/>
        <v>4.3317122097359233</v>
      </c>
      <c r="BG14" s="22">
        <f t="shared" si="7"/>
        <v>29.536348743362321</v>
      </c>
      <c r="BH14" s="60">
        <f t="shared" si="8"/>
        <v>299.64745985447348</v>
      </c>
      <c r="BI14" s="60">
        <f ca="1">AVERAGE(OFFSET($BH$3,0,0,'Données projet'!$E$11+1,1))-AVERAGE(OFFSET($H$3,0,0,'Données projet'!$E$11+1,1))</f>
        <v>357.083670644861</v>
      </c>
      <c r="BJ14" s="60">
        <f t="shared" si="38"/>
        <v>299.88885091109654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3.4358974358974361</v>
      </c>
      <c r="BY14" s="13">
        <f>IF('Données projet'!$A$114&gt;35,BY13+BX14-CG13,IF(A14&lt;'Données projet'!$A$114,$BV$205^A14,IF(A14='Données projet'!$A$114,'Données projet'!$B$114,BY13+BX14-CG13)))</f>
        <v>5.472165162174039</v>
      </c>
      <c r="BZ14" s="14">
        <f>BY14*VLOOKUP('Données projet'!$B$12,Paramètres!$A$1:$I$89,3,0)*VLOOKUP('Données projet'!$B$12,Paramètres!$A$1:$I$89,5,0)</f>
        <v>2.5609732958974503</v>
      </c>
      <c r="CA14" s="14">
        <f t="shared" si="39"/>
        <v>1.0578370334547251</v>
      </c>
      <c r="CB14" s="22">
        <f t="shared" si="10"/>
        <v>6.3027613236217057</v>
      </c>
      <c r="CC14" s="60">
        <f t="shared" si="11"/>
        <v>276.41387243473287</v>
      </c>
      <c r="CD14" s="60">
        <f ca="1">AVERAGE(OFFSET($CC$3,0,0,'Données projet'!$E$12+1,1))-AVERAGE(OFFSET($H$3,0,0,'Données projet'!$E$12+1,1))</f>
        <v>245.98992992759543</v>
      </c>
      <c r="CE14" s="60">
        <f t="shared" si="40"/>
        <v>145.34368562171613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7.5561991843392455</v>
      </c>
      <c r="CV14" s="14">
        <f t="shared" si="41"/>
        <v>2.7518258561310041</v>
      </c>
      <c r="CW14" s="22">
        <f t="shared" si="13"/>
        <v>17.953143612152349</v>
      </c>
      <c r="CX14" s="60">
        <f t="shared" si="14"/>
        <v>288.0642547232635</v>
      </c>
      <c r="CY14" s="60">
        <f ca="1">AVERAGE(OFFSET($CX$3,0,0,'Données projet'!$E$13+1,1))-AVERAGE(OFFSET($H$3,0,0,'Données projet'!$E$13+1,1))</f>
        <v>455.50822833641354</v>
      </c>
      <c r="CZ14" s="60">
        <f t="shared" si="42"/>
        <v>261.14722581688039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8.4093184470872249</v>
      </c>
      <c r="DQ14" s="14">
        <f t="shared" si="43"/>
        <v>3.0246192139792929</v>
      </c>
      <c r="DR14" s="22">
        <f t="shared" si="16"/>
        <v>19.914108093024186</v>
      </c>
      <c r="DS14" s="60">
        <f t="shared" si="17"/>
        <v>290.02521920413534</v>
      </c>
      <c r="DT14" s="60">
        <f ca="1">AVERAGE(OFFSET($DS$3,0,0,'Données projet'!$E$14+1,1))-AVERAGE(OFFSET($H$3,0,0,'Données projet'!$E$14+1,1))</f>
        <v>502.07782026233912</v>
      </c>
      <c r="DU14" s="60">
        <f t="shared" si="44"/>
        <v>285.83623046025156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2.1</v>
      </c>
      <c r="EJ14" s="13">
        <f>IF('Données projet'!$A$192&gt;35,EJ13+EI14-ER13,IF(A14&lt;'Données projet'!$A$192,$EG$205^A14,IF(A14='Données projet'!$A$192,'Données projet'!$B$192,EJ13+EI14-ER13)))</f>
        <v>7.8124474610620815</v>
      </c>
      <c r="EK14" s="18">
        <f>EJ14*VLOOKUP('Données projet'!$B$15,Paramètres!$A$1:$I$89,3,0)*VLOOKUP('Données projet'!$B$15,Paramètres!$A$1:$I$89,5,0)</f>
        <v>7.0687024627689707</v>
      </c>
      <c r="EL14" s="14">
        <f t="shared" si="45"/>
        <v>2.5943503554083325</v>
      </c>
      <c r="EM14" s="22">
        <f t="shared" si="19"/>
        <v>16.829816991658799</v>
      </c>
      <c r="EN14" s="60">
        <f t="shared" si="20"/>
        <v>286.94092810276993</v>
      </c>
      <c r="EO14" s="60">
        <f ca="1">AVERAGE(OFFSET($EN$3,0,0,'Données projet'!$E$15+1,1))-AVERAGE(OFFSET($H$3,0,0,'Données projet'!$E$15+1,1))</f>
        <v>428.8489304403459</v>
      </c>
      <c r="EP14" s="60">
        <f t="shared" si="46"/>
        <v>247.01165577562966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0</v>
      </c>
      <c r="N15" s="14">
        <f>IF('Données projet'!$A$36&gt;35,N14+M15-V14,IF(A15&lt;'Données projet'!$A$36,$K$205^A15,IF(A15='Données projet'!$A$36,'Données projet'!$B$36,N14+M15-V14)))</f>
        <v>0</v>
      </c>
      <c r="O15" s="14" t="e">
        <f>N15*VLOOKUP('Données projet'!$B$9,Paramètres!$A$1:$I$89,3,0)*VLOOKUP('Données projet'!$B$9,Paramètres!$A$1:$I$89,5,0)</f>
        <v>#N/A</v>
      </c>
      <c r="P15" s="14" t="e">
        <f t="shared" si="33"/>
        <v>#N/A</v>
      </c>
      <c r="Q15" s="22" t="e">
        <f t="shared" si="2"/>
        <v>#N/A</v>
      </c>
      <c r="R15" s="60" t="e">
        <f t="shared" si="0"/>
        <v>#N/A</v>
      </c>
      <c r="S15" s="60" t="e">
        <f ca="1">AVERAGE(OFFSET($R$3,0,0,'Données projet'!$E$9+1,1))-AVERAGE(OFFSET($H$3,0,0,'Données projet'!$E$9+1,1))</f>
        <v>#N/A</v>
      </c>
      <c r="T15" s="60" t="e">
        <f t="shared" si="34"/>
        <v>#N/A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 t="e">
        <f>EXP(-LN(2)/35)*Z14+(1-EXP(-LN(2)/35))/(LN(2)/35)*V15*W15*VLOOKUP('Données projet'!$B$9,Paramètres!$A$1:$I$89,3,0)*0.475*44/12</f>
        <v>#N/A</v>
      </c>
      <c r="AA15" s="23" t="e">
        <f>EXP(-LN(2)/25)*AA14+(1-EXP(-LN(2)/25))/(LN(2)/25)*Calculateur!V15*Calculateur!X15*VLOOKUP('Données projet'!$B$9,Paramètres!$A$1:$I$89,3,0)*0.475*44/12</f>
        <v>#N/A</v>
      </c>
      <c r="AB15" s="23" t="e">
        <f>EXP(-LN(2)/2)*AB14+(1-EXP(-LN(2)/2))/(LN(2)/2)*V15*Y15*VLOOKUP('Données projet'!$B$9,Paramètres!$A$1:$I$89,3,0)*0.475*44/12</f>
        <v>#N/A</v>
      </c>
      <c r="AC15" s="24" t="e">
        <f t="shared" si="3"/>
        <v>#N/A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0" t="e">
        <f t="shared" si="5"/>
        <v>#N/A</v>
      </c>
      <c r="AN15" s="60" t="e">
        <f ca="1">AVERAGE(OFFSET($AM$3,0,0,'Données projet'!$E$10+1,1))-AVERAGE(OFFSET($H$3,0,0,'Données projet'!$E$10+1,1))</f>
        <v>#N/A</v>
      </c>
      <c r="AO15" s="60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2.2649572649572649</v>
      </c>
      <c r="BD15" s="13">
        <f>IF('Données projet'!$A$88&gt;35,BD14+BC15-BL14,IF(A15&lt;'Données projet'!$A$88,$BA$205^A15,IF(A15='Données projet'!$A$88,'Données projet'!$B$88,BD14+BC15-BL14)))</f>
        <v>16.784987300482918</v>
      </c>
      <c r="BE15" s="14">
        <f>BD15*VLOOKUP('Données projet'!$B$11,Paramètres!$A$1:$I$89,3,0)*VLOOKUP('Données projet'!$B$11,Paramètres!$A$1:$I$89,5,0)</f>
        <v>15.972593915139546</v>
      </c>
      <c r="BF15" s="14">
        <f t="shared" si="37"/>
        <v>5.3315638277853701</v>
      </c>
      <c r="BG15" s="22">
        <f t="shared" si="7"/>
        <v>37.104741402260892</v>
      </c>
      <c r="BH15" s="60">
        <f t="shared" si="8"/>
        <v>308.43807473559423</v>
      </c>
      <c r="BI15" s="60">
        <f ca="1">AVERAGE(OFFSET($BH$3,0,0,'Données projet'!$E$11+1,1))-AVERAGE(OFFSET($H$3,0,0,'Données projet'!$E$11+1,1))</f>
        <v>357.083670644861</v>
      </c>
      <c r="BJ15" s="60">
        <f t="shared" si="38"/>
        <v>299.88885091109654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3.4358974358974361</v>
      </c>
      <c r="BY15" s="13">
        <f>IF('Données projet'!$A$114&gt;35,BY14+BX15-CG14,IF(A15&lt;'Données projet'!$A$114,$BV$205^A15,IF(A15='Données projet'!$A$114,'Données projet'!$B$114,BY14+BX15-CG14)))</f>
        <v>6.3865244392195226</v>
      </c>
      <c r="BZ15" s="14">
        <f>BY15*VLOOKUP('Données projet'!$B$12,Paramètres!$A$1:$I$89,3,0)*VLOOKUP('Données projet'!$B$12,Paramètres!$A$1:$I$89,5,0)</f>
        <v>2.9888934375547365</v>
      </c>
      <c r="CA15" s="14">
        <f t="shared" si="39"/>
        <v>1.2125874864812094</v>
      </c>
      <c r="CB15" s="22">
        <f t="shared" si="10"/>
        <v>7.3175792760292708</v>
      </c>
      <c r="CC15" s="60">
        <f t="shared" si="11"/>
        <v>278.65091260936259</v>
      </c>
      <c r="CD15" s="60">
        <f ca="1">AVERAGE(OFFSET($CC$3,0,0,'Données projet'!$E$12+1,1))-AVERAGE(OFFSET($H$3,0,0,'Données projet'!$E$12+1,1))</f>
        <v>245.98992992759543</v>
      </c>
      <c r="CE15" s="60">
        <f t="shared" si="40"/>
        <v>145.34368562171613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9.1088984855501316</v>
      </c>
      <c r="CV15" s="14">
        <f t="shared" si="41"/>
        <v>3.2459072101643005</v>
      </c>
      <c r="CW15" s="22">
        <f t="shared" si="13"/>
        <v>21.517953253369303</v>
      </c>
      <c r="CX15" s="60">
        <f t="shared" si="14"/>
        <v>292.8512865867026</v>
      </c>
      <c r="CY15" s="60">
        <f ca="1">AVERAGE(OFFSET($CX$3,0,0,'Données projet'!$E$13+1,1))-AVERAGE(OFFSET($H$3,0,0,'Données projet'!$E$13+1,1))</f>
        <v>455.50822833641354</v>
      </c>
      <c r="CZ15" s="60">
        <f t="shared" si="42"/>
        <v>261.14722581688039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10.137322508112241</v>
      </c>
      <c r="DQ15" s="14">
        <f t="shared" si="43"/>
        <v>3.5676797253661268</v>
      </c>
      <c r="DR15" s="22">
        <f t="shared" si="16"/>
        <v>23.869545556641487</v>
      </c>
      <c r="DS15" s="60">
        <f t="shared" si="17"/>
        <v>295.20287888997478</v>
      </c>
      <c r="DT15" s="60">
        <f ca="1">AVERAGE(OFFSET($DS$3,0,0,'Données projet'!$E$14+1,1))-AVERAGE(OFFSET($H$3,0,0,'Données projet'!$E$14+1,1))</f>
        <v>502.07782026233912</v>
      </c>
      <c r="DU15" s="60">
        <f t="shared" si="44"/>
        <v>285.83623046025156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2.1</v>
      </c>
      <c r="EJ15" s="13">
        <f>IF('Données projet'!$A$192&gt;35,EJ14+EI15-ER14,IF(A15&lt;'Données projet'!$A$192,$EG$205^A15,IF(A15='Données projet'!$A$192,'Données projet'!$B$192,EJ14+EI15-ER14)))</f>
        <v>9.4178024044149407</v>
      </c>
      <c r="EK15" s="18">
        <f>EJ15*VLOOKUP('Données projet'!$B$15,Paramètres!$A$1:$I$89,3,0)*VLOOKUP('Données projet'!$B$15,Paramètres!$A$1:$I$89,5,0)</f>
        <v>8.521227615514638</v>
      </c>
      <c r="EL15" s="14">
        <f t="shared" si="45"/>
        <v>3.0601574970852128</v>
      </c>
      <c r="EM15" s="22">
        <f t="shared" si="19"/>
        <v>20.170912404444739</v>
      </c>
      <c r="EN15" s="60">
        <f t="shared" si="20"/>
        <v>291.50424573777804</v>
      </c>
      <c r="EO15" s="60">
        <f ca="1">AVERAGE(OFFSET($EN$3,0,0,'Données projet'!$E$15+1,1))-AVERAGE(OFFSET($H$3,0,0,'Données projet'!$E$15+1,1))</f>
        <v>428.8489304403459</v>
      </c>
      <c r="EP15" s="60">
        <f t="shared" si="46"/>
        <v>247.01165577562966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0</v>
      </c>
      <c r="N16" s="14">
        <f>IF('Données projet'!$A$36&gt;35,N15+M16-V15,IF(A16&lt;'Données projet'!$A$36,$K$205^A16,IF(A16='Données projet'!$A$36,'Données projet'!$B$36,N15+M16-V15)))</f>
        <v>0</v>
      </c>
      <c r="O16" s="14" t="e">
        <f>N16*VLOOKUP('Données projet'!$B$9,Paramètres!$A$1:$I$89,3,0)*VLOOKUP('Données projet'!$B$9,Paramètres!$A$1:$I$89,5,0)</f>
        <v>#N/A</v>
      </c>
      <c r="P16" s="14" t="e">
        <f t="shared" si="33"/>
        <v>#N/A</v>
      </c>
      <c r="Q16" s="22" t="e">
        <f t="shared" si="2"/>
        <v>#N/A</v>
      </c>
      <c r="R16" s="60" t="e">
        <f t="shared" si="0"/>
        <v>#N/A</v>
      </c>
      <c r="S16" s="60" t="e">
        <f ca="1">AVERAGE(OFFSET($R$3,0,0,'Données projet'!$E$9+1,1))-AVERAGE(OFFSET($H$3,0,0,'Données projet'!$E$9+1,1))</f>
        <v>#N/A</v>
      </c>
      <c r="T16" s="60" t="e">
        <f t="shared" si="34"/>
        <v>#N/A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 t="e">
        <f>EXP(-LN(2)/35)*Z15+(1-EXP(-LN(2)/35))/(LN(2)/35)*V16*W16*VLOOKUP('Données projet'!$B$9,Paramètres!$A$1:$I$89,3,0)*0.475*44/12</f>
        <v>#N/A</v>
      </c>
      <c r="AA16" s="23" t="e">
        <f>EXP(-LN(2)/25)*AA15+(1-EXP(-LN(2)/25))/(LN(2)/25)*Calculateur!V16*Calculateur!X16*VLOOKUP('Données projet'!$B$9,Paramètres!$A$1:$I$89,3,0)*0.475*44/12</f>
        <v>#N/A</v>
      </c>
      <c r="AB16" s="23" t="e">
        <f>EXP(-LN(2)/2)*AB15+(1-EXP(-LN(2)/2))/(LN(2)/2)*V16*Y16*VLOOKUP('Données projet'!$B$9,Paramètres!$A$1:$I$89,3,0)*0.475*44/12</f>
        <v>#N/A</v>
      </c>
      <c r="AC16" s="24" t="e">
        <f t="shared" si="3"/>
        <v>#N/A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0" t="e">
        <f t="shared" si="5"/>
        <v>#N/A</v>
      </c>
      <c r="AN16" s="60" t="e">
        <f ca="1">AVERAGE(OFFSET($AM$3,0,0,'Données projet'!$E$10+1,1))-AVERAGE(OFFSET($H$3,0,0,'Données projet'!$E$10+1,1))</f>
        <v>#N/A</v>
      </c>
      <c r="AO16" s="60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2.2649572649572649</v>
      </c>
      <c r="BD16" s="13">
        <f>IF('Données projet'!$A$88&gt;35,BD15+BC16-BL15,IF(A16&lt;'Données projet'!$A$88,$BA$205^A16,IF(A16='Données projet'!$A$88,'Données projet'!$B$88,BD15+BC16-BL15)))</f>
        <v>21.232335519110155</v>
      </c>
      <c r="BE16" s="14">
        <f>BD16*VLOOKUP('Données projet'!$B$11,Paramètres!$A$1:$I$89,3,0)*VLOOKUP('Données projet'!$B$11,Paramètres!$A$1:$I$89,5,0)</f>
        <v>20.204690479985224</v>
      </c>
      <c r="BF16" s="14">
        <f t="shared" si="37"/>
        <v>6.5622025364151133</v>
      </c>
      <c r="BG16" s="22">
        <f t="shared" si="7"/>
        <v>46.619005336897253</v>
      </c>
      <c r="BH16" s="60">
        <f t="shared" si="8"/>
        <v>319.1745608924528</v>
      </c>
      <c r="BI16" s="60">
        <f ca="1">AVERAGE(OFFSET($BH$3,0,0,'Données projet'!$E$11+1,1))-AVERAGE(OFFSET($H$3,0,0,'Données projet'!$E$11+1,1))</f>
        <v>357.083670644861</v>
      </c>
      <c r="BJ16" s="60">
        <f t="shared" si="38"/>
        <v>299.88885091109654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3.4358974358974361</v>
      </c>
      <c r="BY16" s="13">
        <f>IF('Données projet'!$A$114&gt;35,BY15+BX16-CG15,IF(A16&lt;'Données projet'!$A$114,$BV$205^A16,IF(A16='Données projet'!$A$114,'Données projet'!$B$114,BY15+BX16-CG15)))</f>
        <v>7.4536665476931043</v>
      </c>
      <c r="BZ16" s="14">
        <f>BY16*VLOOKUP('Données projet'!$B$12,Paramètres!$A$1:$I$89,3,0)*VLOOKUP('Données projet'!$B$12,Paramètres!$A$1:$I$89,5,0)</f>
        <v>3.4883159443203726</v>
      </c>
      <c r="CA16" s="14">
        <f t="shared" si="39"/>
        <v>1.3899763062452366</v>
      </c>
      <c r="CB16" s="22">
        <f t="shared" si="10"/>
        <v>8.4963590030684362</v>
      </c>
      <c r="CC16" s="60">
        <f t="shared" si="11"/>
        <v>281.05191455862399</v>
      </c>
      <c r="CD16" s="60">
        <f ca="1">AVERAGE(OFFSET($CC$3,0,0,'Données projet'!$E$12+1,1))-AVERAGE(OFFSET($H$3,0,0,'Données projet'!$E$12+1,1))</f>
        <v>245.98992992759543</v>
      </c>
      <c r="CE16" s="60">
        <f t="shared" si="40"/>
        <v>145.34368562171613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10.98065702026792</v>
      </c>
      <c r="CV16" s="14">
        <f t="shared" si="41"/>
        <v>3.8286992592655618</v>
      </c>
      <c r="CW16" s="22">
        <f t="shared" si="13"/>
        <v>25.792962186854144</v>
      </c>
      <c r="CX16" s="60">
        <f t="shared" si="14"/>
        <v>298.34851774240968</v>
      </c>
      <c r="CY16" s="60">
        <f ca="1">AVERAGE(OFFSET($CX$3,0,0,'Données projet'!$E$13+1,1))-AVERAGE(OFFSET($H$3,0,0,'Données projet'!$E$13+1,1))</f>
        <v>455.50822833641354</v>
      </c>
      <c r="CZ16" s="60">
        <f t="shared" si="42"/>
        <v>261.14722581688039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12.220408619330426</v>
      </c>
      <c r="DQ16" s="14">
        <f t="shared" si="43"/>
        <v>4.2082449797185175</v>
      </c>
      <c r="DR16" s="22">
        <f t="shared" si="16"/>
        <v>28.613238351676909</v>
      </c>
      <c r="DS16" s="60">
        <f t="shared" si="17"/>
        <v>301.16879390723244</v>
      </c>
      <c r="DT16" s="60">
        <f ca="1">AVERAGE(OFFSET($DS$3,0,0,'Données projet'!$E$14+1,1))-AVERAGE(OFFSET($H$3,0,0,'Données projet'!$E$14+1,1))</f>
        <v>502.07782026233912</v>
      </c>
      <c r="DU16" s="60">
        <f t="shared" si="44"/>
        <v>285.83623046025156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2.1</v>
      </c>
      <c r="EJ16" s="13">
        <f>IF('Données projet'!$A$192&gt;35,EJ15+EI16-ER15,IF(A16&lt;'Données projet'!$A$192,$EG$205^A16,IF(A16='Données projet'!$A$192,'Données projet'!$B$192,EJ15+EI16-ER15)))</f>
        <v>11.35303662145153</v>
      </c>
      <c r="EK16" s="18">
        <f>EJ16*VLOOKUP('Données projet'!$B$15,Paramètres!$A$1:$I$89,3,0)*VLOOKUP('Données projet'!$B$15,Paramètres!$A$1:$I$89,5,0)</f>
        <v>10.272227535089344</v>
      </c>
      <c r="EL16" s="14">
        <f t="shared" si="45"/>
        <v>3.6095987912522753</v>
      </c>
      <c r="EM16" s="22">
        <f t="shared" si="19"/>
        <v>24.177514185044988</v>
      </c>
      <c r="EN16" s="60">
        <f t="shared" si="20"/>
        <v>296.73306974060051</v>
      </c>
      <c r="EO16" s="60">
        <f ca="1">AVERAGE(OFFSET($EN$3,0,0,'Données projet'!$E$15+1,1))-AVERAGE(OFFSET($H$3,0,0,'Données projet'!$E$15+1,1))</f>
        <v>428.8489304403459</v>
      </c>
      <c r="EP16" s="60">
        <f t="shared" si="46"/>
        <v>247.01165577562966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0</v>
      </c>
      <c r="N17" s="14">
        <f>IF('Données projet'!$A$36&gt;35,N16+M17-V16,IF(A17&lt;'Données projet'!$A$36,$K$205^A17,IF(A17='Données projet'!$A$36,'Données projet'!$B$36,N16+M17-V16)))</f>
        <v>0</v>
      </c>
      <c r="O17" s="14" t="e">
        <f>N17*VLOOKUP('Données projet'!$B$9,Paramètres!$A$1:$I$89,3,0)*VLOOKUP('Données projet'!$B$9,Paramètres!$A$1:$I$89,5,0)</f>
        <v>#N/A</v>
      </c>
      <c r="P17" s="14" t="e">
        <f t="shared" si="33"/>
        <v>#N/A</v>
      </c>
      <c r="Q17" s="22" t="e">
        <f t="shared" si="2"/>
        <v>#N/A</v>
      </c>
      <c r="R17" s="60" t="e">
        <f t="shared" si="0"/>
        <v>#N/A</v>
      </c>
      <c r="S17" s="60" t="e">
        <f ca="1">AVERAGE(OFFSET($R$3,0,0,'Données projet'!$E$9+1,1))-AVERAGE(OFFSET($H$3,0,0,'Données projet'!$E$9+1,1))</f>
        <v>#N/A</v>
      </c>
      <c r="T17" s="60" t="e">
        <f t="shared" si="34"/>
        <v>#N/A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 t="e">
        <f>EXP(-LN(2)/35)*Z16+(1-EXP(-LN(2)/35))/(LN(2)/35)*V17*W17*VLOOKUP('Données projet'!$B$9,Paramètres!$A$1:$I$89,3,0)*0.475*44/12</f>
        <v>#N/A</v>
      </c>
      <c r="AA17" s="23" t="e">
        <f>EXP(-LN(2)/25)*AA16+(1-EXP(-LN(2)/25))/(LN(2)/25)*Calculateur!V17*Calculateur!X17*VLOOKUP('Données projet'!$B$9,Paramètres!$A$1:$I$89,3,0)*0.475*44/12</f>
        <v>#N/A</v>
      </c>
      <c r="AB17" s="23" t="e">
        <f>EXP(-LN(2)/2)*AB16+(1-EXP(-LN(2)/2))/(LN(2)/2)*V17*Y17*VLOOKUP('Données projet'!$B$9,Paramètres!$A$1:$I$89,3,0)*0.475*44/12</f>
        <v>#N/A</v>
      </c>
      <c r="AC17" s="24" t="e">
        <f t="shared" si="3"/>
        <v>#N/A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0" t="e">
        <f t="shared" si="5"/>
        <v>#N/A</v>
      </c>
      <c r="AN17" s="60" t="e">
        <f ca="1">AVERAGE(OFFSET($AM$3,0,0,'Données projet'!$E$10+1,1))-AVERAGE(OFFSET($H$3,0,0,'Données projet'!$E$10+1,1))</f>
        <v>#N/A</v>
      </c>
      <c r="AO17" s="60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2.2649572649572649</v>
      </c>
      <c r="BD17" s="13">
        <f>IF('Données projet'!$A$88&gt;35,BD16+BC17-BL16,IF(A17&lt;'Données projet'!$A$88,$BA$205^A17,IF(A17='Données projet'!$A$88,'Données projet'!$B$88,BD16+BC17-BL16)))</f>
        <v>26.85805258745096</v>
      </c>
      <c r="BE17" s="14">
        <f>BD17*VLOOKUP('Données projet'!$B$11,Paramètres!$A$1:$I$89,3,0)*VLOOKUP('Données projet'!$B$11,Paramètres!$A$1:$I$89,5,0)</f>
        <v>25.558122842218335</v>
      </c>
      <c r="BF17" s="14">
        <f t="shared" si="37"/>
        <v>8.0768989211970617</v>
      </c>
      <c r="BG17" s="22">
        <f t="shared" si="7"/>
        <v>58.580996237948476</v>
      </c>
      <c r="BH17" s="60">
        <f t="shared" si="8"/>
        <v>332.35877401572623</v>
      </c>
      <c r="BI17" s="60">
        <f ca="1">AVERAGE(OFFSET($BH$3,0,0,'Données projet'!$E$11+1,1))-AVERAGE(OFFSET($H$3,0,0,'Données projet'!$E$11+1,1))</f>
        <v>357.083670644861</v>
      </c>
      <c r="BJ17" s="60">
        <f t="shared" si="38"/>
        <v>299.88885091109654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3.4358974358974361</v>
      </c>
      <c r="BY17" s="13">
        <f>IF('Données projet'!$A$114&gt;35,BY16+BX17-CG16,IF(A17&lt;'Données projet'!$A$114,$BV$205^A17,IF(A17='Données projet'!$A$114,'Données projet'!$B$114,BY16+BX17-CG16)))</f>
        <v>8.6991203952847798</v>
      </c>
      <c r="BZ17" s="14">
        <f>BY17*VLOOKUP('Données projet'!$B$12,Paramètres!$A$1:$I$89,3,0)*VLOOKUP('Données projet'!$B$12,Paramètres!$A$1:$I$89,5,0)</f>
        <v>4.0711883449932769</v>
      </c>
      <c r="CA17" s="14">
        <f t="shared" si="39"/>
        <v>1.5933152481473272</v>
      </c>
      <c r="CB17" s="22">
        <f t="shared" si="10"/>
        <v>9.8656770913865515</v>
      </c>
      <c r="CC17" s="60">
        <f t="shared" si="11"/>
        <v>283.64345486916432</v>
      </c>
      <c r="CD17" s="60">
        <f ca="1">AVERAGE(OFFSET($CC$3,0,0,'Données projet'!$E$12+1,1))-AVERAGE(OFFSET($H$3,0,0,'Données projet'!$E$12+1,1))</f>
        <v>245.98992992759543</v>
      </c>
      <c r="CE17" s="60">
        <f t="shared" si="40"/>
        <v>145.34368562171613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13.237037254068934</v>
      </c>
      <c r="CV17" s="14">
        <f t="shared" si="41"/>
        <v>4.5161297192961545</v>
      </c>
      <c r="CW17" s="22">
        <f t="shared" si="13"/>
        <v>30.920099145277529</v>
      </c>
      <c r="CX17" s="60">
        <f t="shared" si="14"/>
        <v>304.69787692305528</v>
      </c>
      <c r="CY17" s="60">
        <f ca="1">AVERAGE(OFFSET($CX$3,0,0,'Données projet'!$E$13+1,1))-AVERAGE(OFFSET($H$3,0,0,'Données projet'!$E$13+1,1))</f>
        <v>455.50822833641354</v>
      </c>
      <c r="CZ17" s="60">
        <f t="shared" si="42"/>
        <v>261.14722581688039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14.731541460173487</v>
      </c>
      <c r="DQ17" s="14">
        <f t="shared" si="43"/>
        <v>4.9638216355053304</v>
      </c>
      <c r="DR17" s="22">
        <f t="shared" si="16"/>
        <v>34.302757391640604</v>
      </c>
      <c r="DS17" s="60">
        <f t="shared" si="17"/>
        <v>308.0805351694184</v>
      </c>
      <c r="DT17" s="60">
        <f ca="1">AVERAGE(OFFSET($DS$3,0,0,'Données projet'!$E$14+1,1))-AVERAGE(OFFSET($H$3,0,0,'Données projet'!$E$14+1,1))</f>
        <v>502.07782026233912</v>
      </c>
      <c r="DU17" s="60">
        <f t="shared" si="44"/>
        <v>285.83623046025156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2.1</v>
      </c>
      <c r="EJ17" s="13">
        <f>IF('Données projet'!$A$192&gt;35,EJ16+EI17-ER16,IF(A17&lt;'Données projet'!$A$192,$EG$205^A17,IF(A17='Données projet'!$A$192,'Données projet'!$B$192,EJ16+EI17-ER16)))</f>
        <v>13.685935953338433</v>
      </c>
      <c r="EK17" s="18">
        <f>EJ17*VLOOKUP('Données projet'!$B$15,Paramètres!$A$1:$I$89,3,0)*VLOOKUP('Données projet'!$B$15,Paramètres!$A$1:$I$89,5,0)</f>
        <v>12.383034850580612</v>
      </c>
      <c r="EL17" s="14">
        <f t="shared" si="45"/>
        <v>4.2576904771143838</v>
      </c>
      <c r="EM17" s="22">
        <f t="shared" si="19"/>
        <v>28.982596612402116</v>
      </c>
      <c r="EN17" s="60">
        <f t="shared" si="20"/>
        <v>302.76037439017989</v>
      </c>
      <c r="EO17" s="60">
        <f ca="1">AVERAGE(OFFSET($EN$3,0,0,'Données projet'!$E$15+1,1))-AVERAGE(OFFSET($H$3,0,0,'Données projet'!$E$15+1,1))</f>
        <v>428.8489304403459</v>
      </c>
      <c r="EP17" s="60">
        <f t="shared" si="46"/>
        <v>247.01165577562966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0</v>
      </c>
      <c r="N18" s="14">
        <f>IF('Données projet'!$A$36&gt;35,N17+M18-V17,IF(A18&lt;'Données projet'!$A$36,$K$205^A18,IF(A18='Données projet'!$A$36,'Données projet'!$B$36,N17+M18-V17)))</f>
        <v>0</v>
      </c>
      <c r="O18" s="14" t="e">
        <f>N18*VLOOKUP('Données projet'!$B$9,Paramètres!$A$1:$I$89,3,0)*VLOOKUP('Données projet'!$B$9,Paramètres!$A$1:$I$89,5,0)</f>
        <v>#N/A</v>
      </c>
      <c r="P18" s="14" t="e">
        <f t="shared" si="33"/>
        <v>#N/A</v>
      </c>
      <c r="Q18" s="22" t="e">
        <f t="shared" si="2"/>
        <v>#N/A</v>
      </c>
      <c r="R18" s="60" t="e">
        <f t="shared" si="0"/>
        <v>#N/A</v>
      </c>
      <c r="S18" s="60" t="e">
        <f ca="1">AVERAGE(OFFSET($R$3,0,0,'Données projet'!$E$9+1,1))-AVERAGE(OFFSET($H$3,0,0,'Données projet'!$E$9+1,1))</f>
        <v>#N/A</v>
      </c>
      <c r="T18" s="60" t="e">
        <f t="shared" si="34"/>
        <v>#N/A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 t="e">
        <f>EXP(-LN(2)/35)*Z17+(1-EXP(-LN(2)/35))/(LN(2)/35)*V18*W18*VLOOKUP('Données projet'!$B$9,Paramètres!$A$1:$I$89,3,0)*0.475*44/12</f>
        <v>#N/A</v>
      </c>
      <c r="AA18" s="23" t="e">
        <f>EXP(-LN(2)/25)*AA17+(1-EXP(-LN(2)/25))/(LN(2)/25)*Calculateur!V18*Calculateur!X18*VLOOKUP('Données projet'!$B$9,Paramètres!$A$1:$I$89,3,0)*0.475*44/12</f>
        <v>#N/A</v>
      </c>
      <c r="AB18" s="23" t="e">
        <f>EXP(-LN(2)/2)*AB17+(1-EXP(-LN(2)/2))/(LN(2)/2)*V18*Y18*VLOOKUP('Données projet'!$B$9,Paramètres!$A$1:$I$89,3,0)*0.475*44/12</f>
        <v>#N/A</v>
      </c>
      <c r="AC18" s="24" t="e">
        <f t="shared" si="3"/>
        <v>#N/A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0" t="e">
        <f t="shared" si="5"/>
        <v>#N/A</v>
      </c>
      <c r="AN18" s="60" t="e">
        <f ca="1">AVERAGE(OFFSET($AM$3,0,0,'Données projet'!$E$10+1,1))-AVERAGE(OFFSET($H$3,0,0,'Données projet'!$E$10+1,1))</f>
        <v>#N/A</v>
      </c>
      <c r="AO18" s="60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33.974358974358971</v>
      </c>
      <c r="BB18" s="13">
        <f>VLOOKUP(A18,'Données projet'!$A$87:$I$107,9,0)</f>
        <v>2.2649572649572649</v>
      </c>
      <c r="BC18" s="13">
        <f t="array" ref="BC18">INDEX(BB:BB,MIN(IF(ISNUMBER(BB18:BB214),ROW(BB18:BB214),"")))</f>
        <v>2.2649572649572649</v>
      </c>
      <c r="BD18" s="13">
        <f>IF('Données projet'!$A$88&gt;35,BD17+BC18-BL17,IF(A18&lt;'Données projet'!$A$88,$BA$205^A18,IF(A18='Données projet'!$A$88,'Données projet'!$B$88,BD17+BC18-BL17)))</f>
        <v>33.974358974358971</v>
      </c>
      <c r="BE18" s="14">
        <f>BD18*VLOOKUP('Données projet'!$B$11,Paramètres!$A$1:$I$89,3,0)*VLOOKUP('Données projet'!$B$11,Paramètres!$A$1:$I$89,5,0)</f>
        <v>32.33</v>
      </c>
      <c r="BF18" s="14">
        <f t="shared" si="37"/>
        <v>9.9412195556634533</v>
      </c>
      <c r="BG18" s="22">
        <f t="shared" si="7"/>
        <v>73.622374059447182</v>
      </c>
      <c r="BH18" s="60">
        <f t="shared" si="8"/>
        <v>348.62237405944717</v>
      </c>
      <c r="BI18" s="60">
        <f ca="1">AVERAGE(OFFSET($BH$3,0,0,'Données projet'!$E$11+1,1))-AVERAGE(OFFSET($H$3,0,0,'Données projet'!$E$11+1,1))</f>
        <v>357.083670644861</v>
      </c>
      <c r="BJ18" s="60">
        <f t="shared" si="38"/>
        <v>299.88885091109654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3.4358974358974361</v>
      </c>
      <c r="BY18" s="13">
        <f>IF('Données projet'!$A$114&gt;35,BY17+BX18-CG17,IF(A18&lt;'Données projet'!$A$114,$BV$205^A18,IF(A18='Données projet'!$A$114,'Données projet'!$B$114,BY17+BX18-CG17)))</f>
        <v>10.152680585782415</v>
      </c>
      <c r="BZ18" s="14">
        <f>BY18*VLOOKUP('Données projet'!$B$12,Paramètres!$A$1:$I$89,3,0)*VLOOKUP('Données projet'!$B$12,Paramètres!$A$1:$I$89,5,0)</f>
        <v>4.7514545141461699</v>
      </c>
      <c r="CA18" s="14">
        <f t="shared" si="39"/>
        <v>1.8264005426369321</v>
      </c>
      <c r="CB18" s="22">
        <f t="shared" si="10"/>
        <v>11.456430890563903</v>
      </c>
      <c r="CC18" s="60">
        <f t="shared" si="11"/>
        <v>286.45643089056392</v>
      </c>
      <c r="CD18" s="60">
        <f ca="1">AVERAGE(OFFSET($CC$3,0,0,'Données projet'!$E$12+1,1))-AVERAGE(OFFSET($H$3,0,0,'Données projet'!$E$12+1,1))</f>
        <v>245.98992992759543</v>
      </c>
      <c r="CE18" s="60">
        <f t="shared" si="40"/>
        <v>145.34368562171613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15.957073874741019</v>
      </c>
      <c r="CV18" s="14">
        <f t="shared" si="41"/>
        <v>5.3269860755326848</v>
      </c>
      <c r="CW18" s="22">
        <f t="shared" si="13"/>
        <v>37.069737746726702</v>
      </c>
      <c r="CX18" s="60">
        <f t="shared" si="14"/>
        <v>312.06973774672667</v>
      </c>
      <c r="CY18" s="60">
        <f ca="1">AVERAGE(OFFSET($CX$3,0,0,'Données projet'!$E$13+1,1))-AVERAGE(OFFSET($H$3,0,0,'Données projet'!$E$13+1,1))</f>
        <v>455.50822833641354</v>
      </c>
      <c r="CZ18" s="60">
        <f t="shared" si="42"/>
        <v>261.14722581688039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17.758678989631132</v>
      </c>
      <c r="DQ18" s="14">
        <f t="shared" si="43"/>
        <v>5.8550596146042126</v>
      </c>
      <c r="DR18" s="22">
        <f t="shared" si="16"/>
        <v>41.127261402376554</v>
      </c>
      <c r="DS18" s="60">
        <f t="shared" si="17"/>
        <v>316.12726140237658</v>
      </c>
      <c r="DT18" s="60">
        <f ca="1">AVERAGE(OFFSET($DS$3,0,0,'Données projet'!$E$14+1,1))-AVERAGE(OFFSET($H$3,0,0,'Données projet'!$E$14+1,1))</f>
        <v>502.07782026233912</v>
      </c>
      <c r="DU18" s="60">
        <f t="shared" si="44"/>
        <v>285.83623046025156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2.1</v>
      </c>
      <c r="EJ18" s="13">
        <f>IF('Données projet'!$A$192&gt;35,EJ17+EI18-ER17,IF(A18&lt;'Données projet'!$A$192,$EG$205^A18,IF(A18='Données projet'!$A$192,'Données projet'!$B$192,EJ17+EI18-ER17)))</f>
        <v>16.498215337821566</v>
      </c>
      <c r="EK18" s="18">
        <f>EJ18*VLOOKUP('Données projet'!$B$15,Paramètres!$A$1:$I$89,3,0)*VLOOKUP('Données projet'!$B$15,Paramètres!$A$1:$I$89,5,0)</f>
        <v>14.927585237660953</v>
      </c>
      <c r="EL18" s="14">
        <f t="shared" si="45"/>
        <v>5.0221449106318534</v>
      </c>
      <c r="EM18" s="22">
        <f t="shared" si="19"/>
        <v>34.745780008276633</v>
      </c>
      <c r="EN18" s="60">
        <f t="shared" si="20"/>
        <v>309.74578000827665</v>
      </c>
      <c r="EO18" s="60">
        <f ca="1">AVERAGE(OFFSET($EN$3,0,0,'Données projet'!$E$15+1,1))-AVERAGE(OFFSET($H$3,0,0,'Données projet'!$E$15+1,1))</f>
        <v>428.8489304403459</v>
      </c>
      <c r="EP18" s="60">
        <f t="shared" si="46"/>
        <v>247.01165577562966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0</v>
      </c>
      <c r="N19" s="14">
        <f>IF('Données projet'!$A$36&gt;35,N18+M19-V18,IF(A19&lt;'Données projet'!$A$36,$K$205^A19,IF(A19='Données projet'!$A$36,'Données projet'!$B$36,N18+M19-V18)))</f>
        <v>0</v>
      </c>
      <c r="O19" s="14" t="e">
        <f>N19*VLOOKUP('Données projet'!$B$9,Paramètres!$A$1:$I$89,3,0)*VLOOKUP('Données projet'!$B$9,Paramètres!$A$1:$I$89,5,0)</f>
        <v>#N/A</v>
      </c>
      <c r="P19" s="14" t="e">
        <f t="shared" si="33"/>
        <v>#N/A</v>
      </c>
      <c r="Q19" s="22" t="e">
        <f t="shared" si="2"/>
        <v>#N/A</v>
      </c>
      <c r="R19" s="60" t="e">
        <f t="shared" si="0"/>
        <v>#N/A</v>
      </c>
      <c r="S19" s="60" t="e">
        <f ca="1">AVERAGE(OFFSET($R$3,0,0,'Données projet'!$E$9+1,1))-AVERAGE(OFFSET($H$3,0,0,'Données projet'!$E$9+1,1))</f>
        <v>#N/A</v>
      </c>
      <c r="T19" s="60" t="e">
        <f t="shared" si="34"/>
        <v>#N/A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 t="e">
        <f>EXP(-LN(2)/35)*Z18+(1-EXP(-LN(2)/35))/(LN(2)/35)*V19*W19*VLOOKUP('Données projet'!$B$9,Paramètres!$A$1:$I$89,3,0)*0.475*44/12</f>
        <v>#N/A</v>
      </c>
      <c r="AA19" s="23" t="e">
        <f>EXP(-LN(2)/25)*AA18+(1-EXP(-LN(2)/25))/(LN(2)/25)*Calculateur!V19*Calculateur!X19*VLOOKUP('Données projet'!$B$9,Paramètres!$A$1:$I$89,3,0)*0.475*44/12</f>
        <v>#N/A</v>
      </c>
      <c r="AB19" s="23" t="e">
        <f>EXP(-LN(2)/2)*AB18+(1-EXP(-LN(2)/2))/(LN(2)/2)*V19*Y19*VLOOKUP('Données projet'!$B$9,Paramètres!$A$1:$I$89,3,0)*0.475*44/12</f>
        <v>#N/A</v>
      </c>
      <c r="AC19" s="24" t="e">
        <f t="shared" si="3"/>
        <v>#N/A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0" t="e">
        <f t="shared" si="5"/>
        <v>#N/A</v>
      </c>
      <c r="AN19" s="60" t="e">
        <f ca="1">AVERAGE(OFFSET($AM$3,0,0,'Données projet'!$E$10+1,1))-AVERAGE(OFFSET($H$3,0,0,'Données projet'!$E$10+1,1))</f>
        <v>#N/A</v>
      </c>
      <c r="AO19" s="60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5.8974358974358978</v>
      </c>
      <c r="BD19" s="13">
        <f>IF('Données projet'!$A$88&gt;35,BD18+BC19-BL18,IF(A19&lt;'Données projet'!$A$88,$BA$205^A19,IF(A19='Données projet'!$A$88,'Données projet'!$B$88,BD18+BC19-BL18)))</f>
        <v>39.871794871794869</v>
      </c>
      <c r="BE19" s="14">
        <f>BD19*VLOOKUP('Données projet'!$B$11,Paramètres!$A$1:$I$89,3,0)*VLOOKUP('Données projet'!$B$11,Paramètres!$A$1:$I$89,5,0)</f>
        <v>37.941999999999993</v>
      </c>
      <c r="BF19" s="14">
        <f t="shared" si="37"/>
        <v>11.45150826835841</v>
      </c>
      <c r="BG19" s="22">
        <f t="shared" si="7"/>
        <v>86.027026900724209</v>
      </c>
      <c r="BH19" s="60">
        <f t="shared" si="8"/>
        <v>362.24924912294642</v>
      </c>
      <c r="BI19" s="60">
        <f ca="1">AVERAGE(OFFSET($BH$3,0,0,'Données projet'!$E$11+1,1))-AVERAGE(OFFSET($H$3,0,0,'Données projet'!$E$11+1,1))</f>
        <v>357.083670644861</v>
      </c>
      <c r="BJ19" s="60">
        <f t="shared" si="38"/>
        <v>299.88885091109654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3.4358974358974361</v>
      </c>
      <c r="BY19" s="13">
        <f>IF('Données projet'!$A$114&gt;35,BY18+BX19-CG18,IF(A19&lt;'Données projet'!$A$114,$BV$205^A19,IF(A19='Données projet'!$A$114,'Données projet'!$B$114,BY18+BX19-CG18)))</f>
        <v>11.849120186081615</v>
      </c>
      <c r="BZ19" s="14">
        <f>BY19*VLOOKUP('Données projet'!$B$12,Paramètres!$A$1:$I$89,3,0)*VLOOKUP('Données projet'!$B$12,Paramètres!$A$1:$I$89,5,0)</f>
        <v>5.545388247086195</v>
      </c>
      <c r="CA19" s="14">
        <f t="shared" si="39"/>
        <v>2.0935837688261665</v>
      </c>
      <c r="CB19" s="22">
        <f t="shared" si="10"/>
        <v>13.304542927714031</v>
      </c>
      <c r="CC19" s="60">
        <f t="shared" si="11"/>
        <v>289.52676514993624</v>
      </c>
      <c r="CD19" s="60">
        <f ca="1">AVERAGE(OFFSET($CC$3,0,0,'Données projet'!$E$12+1,1))-AVERAGE(OFFSET($H$3,0,0,'Données projet'!$E$12+1,1))</f>
        <v>245.98992992759543</v>
      </c>
      <c r="CE19" s="60">
        <f t="shared" si="40"/>
        <v>145.34368562171613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19.236042156311996</v>
      </c>
      <c r="CV19" s="14">
        <f t="shared" si="41"/>
        <v>6.2834290449348904</v>
      </c>
      <c r="CW19" s="22">
        <f t="shared" si="13"/>
        <v>44.446412342171662</v>
      </c>
      <c r="CX19" s="60">
        <f t="shared" si="14"/>
        <v>320.66863456439387</v>
      </c>
      <c r="CY19" s="60">
        <f ca="1">AVERAGE(OFFSET($CX$3,0,0,'Données projet'!$E$13+1,1))-AVERAGE(OFFSET($H$3,0,0,'Données projet'!$E$13+1,1))</f>
        <v>455.50822833641354</v>
      </c>
      <c r="CZ19" s="60">
        <f t="shared" si="42"/>
        <v>261.14722581688039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21.407853367508512</v>
      </c>
      <c r="DQ19" s="14">
        <f t="shared" si="43"/>
        <v>6.906316464991046</v>
      </c>
      <c r="DR19" s="22">
        <f t="shared" si="16"/>
        <v>49.313845791603399</v>
      </c>
      <c r="DS19" s="60">
        <f t="shared" si="17"/>
        <v>325.53606801382563</v>
      </c>
      <c r="DT19" s="60">
        <f ca="1">AVERAGE(OFFSET($DS$3,0,0,'Données projet'!$E$14+1,1))-AVERAGE(OFFSET($H$3,0,0,'Données projet'!$E$14+1,1))</f>
        <v>502.07782026233912</v>
      </c>
      <c r="DU19" s="60">
        <f t="shared" si="44"/>
        <v>285.83623046025156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2.1</v>
      </c>
      <c r="EJ19" s="13">
        <f>IF('Données projet'!$A$192&gt;35,EJ18+EI19-ER18,IF(A19&lt;'Données projet'!$A$192,$EG$205^A19,IF(A19='Données projet'!$A$192,'Données projet'!$B$192,EJ18+EI19-ER18)))</f>
        <v>19.888381054913147</v>
      </c>
      <c r="EK19" s="18">
        <f>EJ19*VLOOKUP('Données projet'!$B$15,Paramètres!$A$1:$I$89,3,0)*VLOOKUP('Données projet'!$B$15,Paramètres!$A$1:$I$89,5,0)</f>
        <v>17.995007178485412</v>
      </c>
      <c r="EL19" s="14">
        <f t="shared" si="45"/>
        <v>5.9238546434872337</v>
      </c>
      <c r="EM19" s="22">
        <f t="shared" si="19"/>
        <v>41.658684339935689</v>
      </c>
      <c r="EN19" s="60">
        <f t="shared" si="20"/>
        <v>317.88090656215792</v>
      </c>
      <c r="EO19" s="60">
        <f ca="1">AVERAGE(OFFSET($EN$3,0,0,'Données projet'!$E$15+1,1))-AVERAGE(OFFSET($H$3,0,0,'Données projet'!$E$15+1,1))</f>
        <v>428.8489304403459</v>
      </c>
      <c r="EP19" s="60">
        <f t="shared" si="46"/>
        <v>247.01165577562966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 t="e">
        <f>N20*VLOOKUP('Données projet'!$B$9,Paramètres!$A$1:$I$89,3,0)*VLOOKUP('Données projet'!$B$9,Paramètres!$A$1:$I$89,5,0)</f>
        <v>#N/A</v>
      </c>
      <c r="P20" s="14" t="e">
        <f t="shared" si="33"/>
        <v>#N/A</v>
      </c>
      <c r="Q20" s="22" t="e">
        <f t="shared" si="2"/>
        <v>#N/A</v>
      </c>
      <c r="R20" s="60" t="e">
        <f t="shared" si="0"/>
        <v>#N/A</v>
      </c>
      <c r="S20" s="60" t="e">
        <f ca="1">AVERAGE(OFFSET($R$3,0,0,'Données projet'!$E$9+1,1))-AVERAGE(OFFSET($H$3,0,0,'Données projet'!$E$9+1,1))</f>
        <v>#N/A</v>
      </c>
      <c r="T20" s="60" t="e">
        <f t="shared" si="34"/>
        <v>#N/A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 t="e">
        <f>EXP(-LN(2)/35)*Z19+(1-EXP(-LN(2)/35))/(LN(2)/35)*V20*W20*VLOOKUP('Données projet'!$B$9,Paramètres!$A$1:$I$89,3,0)*0.475*44/12</f>
        <v>#N/A</v>
      </c>
      <c r="AA20" s="23" t="e">
        <f>EXP(-LN(2)/25)*AA19+(1-EXP(-LN(2)/25))/(LN(2)/25)*Calculateur!V20*Calculateur!X20*VLOOKUP('Données projet'!$B$9,Paramètres!$A$1:$I$89,3,0)*0.475*44/12</f>
        <v>#N/A</v>
      </c>
      <c r="AB20" s="23" t="e">
        <f>EXP(-LN(2)/2)*AB19+(1-EXP(-LN(2)/2))/(LN(2)/2)*V20*Y20*VLOOKUP('Données projet'!$B$9,Paramètres!$A$1:$I$89,3,0)*0.475*44/12</f>
        <v>#N/A</v>
      </c>
      <c r="AC20" s="24" t="e">
        <f t="shared" si="3"/>
        <v>#N/A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0" t="e">
        <f t="shared" si="5"/>
        <v>#N/A</v>
      </c>
      <c r="AN20" s="60" t="e">
        <f ca="1">AVERAGE(OFFSET($AM$3,0,0,'Données projet'!$E$10+1,1))-AVERAGE(OFFSET($H$3,0,0,'Données projet'!$E$10+1,1))</f>
        <v>#N/A</v>
      </c>
      <c r="AO20" s="60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5.8974358974358978</v>
      </c>
      <c r="BD20" s="13">
        <f>IF('Données projet'!$A$88&gt;35,BD19+BC20-BL19,IF(A20&lt;'Données projet'!$A$88,$BA$205^A20,IF(A20='Données projet'!$A$88,'Données projet'!$B$88,BD19+BC20-BL19)))</f>
        <v>45.769230769230766</v>
      </c>
      <c r="BE20" s="14">
        <f>BD20*VLOOKUP('Données projet'!$B$11,Paramètres!$A$1:$I$89,3,0)*VLOOKUP('Données projet'!$B$11,Paramètres!$A$1:$I$89,5,0)</f>
        <v>43.554000000000002</v>
      </c>
      <c r="BF20" s="14">
        <f t="shared" si="37"/>
        <v>12.935917793577156</v>
      </c>
      <c r="BG20" s="22">
        <f t="shared" si="7"/>
        <v>98.386606823813551</v>
      </c>
      <c r="BH20" s="60">
        <f t="shared" si="8"/>
        <v>375.83105126825802</v>
      </c>
      <c r="BI20" s="60">
        <f ca="1">AVERAGE(OFFSET($BH$3,0,0,'Données projet'!$E$11+1,1))-AVERAGE(OFFSET($H$3,0,0,'Données projet'!$E$11+1,1))</f>
        <v>357.083670644861</v>
      </c>
      <c r="BJ20" s="60">
        <f t="shared" si="38"/>
        <v>299.88885091109654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3.4358974358974361</v>
      </c>
      <c r="BY20" s="13">
        <f>IF('Données projet'!$A$114&gt;35,BY19+BX20-CG19,IF(A20&lt;'Données projet'!$A$114,$BV$205^A20,IF(A20='Données projet'!$A$114,'Données projet'!$B$114,BY19+BX20-CG19)))</f>
        <v>13.82902259141513</v>
      </c>
      <c r="BZ20" s="14">
        <f>BY20*VLOOKUP('Données projet'!$B$12,Paramètres!$A$1:$I$89,3,0)*VLOOKUP('Données projet'!$B$12,Paramètres!$A$1:$I$89,5,0)</f>
        <v>6.4719825727822808</v>
      </c>
      <c r="CA20" s="14">
        <f t="shared" si="39"/>
        <v>2.399853096169215</v>
      </c>
      <c r="CB20" s="22">
        <f t="shared" si="10"/>
        <v>15.45178045675719</v>
      </c>
      <c r="CC20" s="60">
        <f t="shared" si="11"/>
        <v>292.89622490120166</v>
      </c>
      <c r="CD20" s="60">
        <f ca="1">AVERAGE(OFFSET($CC$3,0,0,'Données projet'!$E$12+1,1))-AVERAGE(OFFSET($H$3,0,0,'Données projet'!$E$12+1,1))</f>
        <v>245.98992992759543</v>
      </c>
      <c r="CE20" s="60">
        <f t="shared" si="40"/>
        <v>145.34368562171613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23.188795185384055</v>
      </c>
      <c r="CV20" s="14">
        <f t="shared" si="41"/>
        <v>7.4115982288884323</v>
      </c>
      <c r="CW20" s="22">
        <f t="shared" si="13"/>
        <v>53.29568519652458</v>
      </c>
      <c r="CX20" s="60">
        <f t="shared" si="14"/>
        <v>330.74012964096903</v>
      </c>
      <c r="CY20" s="60">
        <f ca="1">AVERAGE(OFFSET($CX$3,0,0,'Données projet'!$E$13+1,1))-AVERAGE(OFFSET($H$3,0,0,'Données projet'!$E$13+1,1))</f>
        <v>455.50822833641354</v>
      </c>
      <c r="CZ20" s="60">
        <f t="shared" si="42"/>
        <v>261.14722581688039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25.80688496437903</v>
      </c>
      <c r="DQ20" s="14">
        <f t="shared" si="43"/>
        <v>8.146323052908933</v>
      </c>
      <c r="DR20" s="22">
        <f t="shared" si="16"/>
        <v>59.135170630109862</v>
      </c>
      <c r="DS20" s="60">
        <f t="shared" si="17"/>
        <v>336.57961507455434</v>
      </c>
      <c r="DT20" s="60">
        <f ca="1">AVERAGE(OFFSET($DS$3,0,0,'Données projet'!$E$14+1,1))-AVERAGE(OFFSET($H$3,0,0,'Données projet'!$E$14+1,1))</f>
        <v>502.07782026233912</v>
      </c>
      <c r="DU20" s="60">
        <f t="shared" si="44"/>
        <v>285.83623046025156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2.1</v>
      </c>
      <c r="EJ20" s="13">
        <f>IF('Données projet'!$A$192&gt;35,EJ19+EI20-ER19,IF(A20&lt;'Données projet'!$A$192,$EG$205^A20,IF(A20='Données projet'!$A$192,'Données projet'!$B$192,EJ19+EI20-ER19)))</f>
        <v>23.975181126327602</v>
      </c>
      <c r="EK20" s="18">
        <f>EJ20*VLOOKUP('Données projet'!$B$15,Paramètres!$A$1:$I$89,3,0)*VLOOKUP('Données projet'!$B$15,Paramètres!$A$1:$I$89,5,0)</f>
        <v>21.692743883101215</v>
      </c>
      <c r="EL20" s="14">
        <f t="shared" si="45"/>
        <v>6.98746341685115</v>
      </c>
      <c r="EM20" s="22">
        <f t="shared" si="19"/>
        <v>49.951361047417038</v>
      </c>
      <c r="EN20" s="60">
        <f t="shared" si="20"/>
        <v>327.39580549186149</v>
      </c>
      <c r="EO20" s="60">
        <f ca="1">AVERAGE(OFFSET($EN$3,0,0,'Données projet'!$E$15+1,1))-AVERAGE(OFFSET($H$3,0,0,'Données projet'!$E$15+1,1))</f>
        <v>428.8489304403459</v>
      </c>
      <c r="EP20" s="60">
        <f t="shared" si="46"/>
        <v>247.01165577562966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 t="e">
        <f>N21*VLOOKUP('Données projet'!$B$9,Paramètres!$A$1:$I$89,3,0)*VLOOKUP('Données projet'!$B$9,Paramètres!$A$1:$I$89,5,0)</f>
        <v>#N/A</v>
      </c>
      <c r="P21" s="14" t="e">
        <f t="shared" si="33"/>
        <v>#N/A</v>
      </c>
      <c r="Q21" s="22" t="e">
        <f t="shared" si="2"/>
        <v>#N/A</v>
      </c>
      <c r="R21" s="60" t="e">
        <f t="shared" si="0"/>
        <v>#N/A</v>
      </c>
      <c r="S21" s="60" t="e">
        <f ca="1">AVERAGE(OFFSET($R$3,0,0,'Données projet'!$E$9+1,1))-AVERAGE(OFFSET($H$3,0,0,'Données projet'!$E$9+1,1))</f>
        <v>#N/A</v>
      </c>
      <c r="T21" s="60" t="e">
        <f t="shared" si="34"/>
        <v>#N/A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 t="e">
        <f>EXP(-LN(2)/35)*Z20+(1-EXP(-LN(2)/35))/(LN(2)/35)*V21*W21*VLOOKUP('Données projet'!$B$9,Paramètres!$A$1:$I$89,3,0)*0.475*44/12</f>
        <v>#N/A</v>
      </c>
      <c r="AA21" s="23" t="e">
        <f>EXP(-LN(2)/25)*AA20+(1-EXP(-LN(2)/25))/(LN(2)/25)*Calculateur!V21*Calculateur!X21*VLOOKUP('Données projet'!$B$9,Paramètres!$A$1:$I$89,3,0)*0.475*44/12</f>
        <v>#N/A</v>
      </c>
      <c r="AB21" s="23" t="e">
        <f>EXP(-LN(2)/2)*AB20+(1-EXP(-LN(2)/2))/(LN(2)/2)*V21*Y21*VLOOKUP('Données projet'!$B$9,Paramètres!$A$1:$I$89,3,0)*0.475*44/12</f>
        <v>#N/A</v>
      </c>
      <c r="AC21" s="24" t="e">
        <f t="shared" si="3"/>
        <v>#N/A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0" t="e">
        <f t="shared" si="5"/>
        <v>#N/A</v>
      </c>
      <c r="AN21" s="60" t="e">
        <f ca="1">AVERAGE(OFFSET($AM$3,0,0,'Données projet'!$E$10+1,1))-AVERAGE(OFFSET($H$3,0,0,'Données projet'!$E$10+1,1))</f>
        <v>#N/A</v>
      </c>
      <c r="AO21" s="60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5.8974358974358978</v>
      </c>
      <c r="BD21" s="13">
        <f>IF('Données projet'!$A$88&gt;35,BD20+BC21-BL20,IF(A21&lt;'Données projet'!$A$88,$BA$205^A21,IF(A21='Données projet'!$A$88,'Données projet'!$B$88,BD20+BC21-BL20)))</f>
        <v>51.666666666666664</v>
      </c>
      <c r="BE21" s="14">
        <f>BD21*VLOOKUP('Données projet'!$B$11,Paramètres!$A$1:$I$89,3,0)*VLOOKUP('Données projet'!$B$11,Paramètres!$A$1:$I$89,5,0)</f>
        <v>49.165999999999997</v>
      </c>
      <c r="BF21" s="14">
        <f t="shared" si="37"/>
        <v>14.398165127385489</v>
      </c>
      <c r="BG21" s="22">
        <f t="shared" si="7"/>
        <v>110.70758759686305</v>
      </c>
      <c r="BH21" s="60">
        <f t="shared" si="8"/>
        <v>389.37425426352974</v>
      </c>
      <c r="BI21" s="60">
        <f ca="1">AVERAGE(OFFSET($BH$3,0,0,'Données projet'!$E$11+1,1))-AVERAGE(OFFSET($H$3,0,0,'Données projet'!$E$11+1,1))</f>
        <v>357.083670644861</v>
      </c>
      <c r="BJ21" s="60">
        <f t="shared" si="38"/>
        <v>299.88885091109654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3.4358974358974361</v>
      </c>
      <c r="BY21" s="13">
        <f>IF('Données projet'!$A$114&gt;35,BY20+BX21-CG20,IF(A21&lt;'Données projet'!$A$114,$BV$205^A21,IF(A21='Données projet'!$A$114,'Données projet'!$B$114,BY20+BX21-CG20)))</f>
        <v>16.139752389254127</v>
      </c>
      <c r="BZ21" s="14">
        <f>BY21*VLOOKUP('Données projet'!$B$12,Paramètres!$A$1:$I$89,3,0)*VLOOKUP('Données projet'!$B$12,Paramètres!$A$1:$I$89,5,0)</f>
        <v>7.5534041181709313</v>
      </c>
      <c r="CA21" s="14">
        <f t="shared" si="39"/>
        <v>2.7509264109465743</v>
      </c>
      <c r="CB21" s="22">
        <f t="shared" si="10"/>
        <v>17.946709004879654</v>
      </c>
      <c r="CC21" s="60">
        <f t="shared" si="11"/>
        <v>296.61337567154635</v>
      </c>
      <c r="CD21" s="60">
        <f ca="1">AVERAGE(OFFSET($CC$3,0,0,'Données projet'!$E$12+1,1))-AVERAGE(OFFSET($H$3,0,0,'Données projet'!$E$12+1,1))</f>
        <v>245.98992992759543</v>
      </c>
      <c r="CE21" s="60">
        <f t="shared" si="40"/>
        <v>145.34368562171613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27.953786843477392</v>
      </c>
      <c r="CV21" s="14">
        <f t="shared" si="41"/>
        <v>8.7423265089215931</v>
      </c>
      <c r="CW21" s="22">
        <f t="shared" si="13"/>
        <v>63.912397422094891</v>
      </c>
      <c r="CX21" s="60">
        <f t="shared" si="14"/>
        <v>342.57906408876158</v>
      </c>
      <c r="CY21" s="60">
        <f ca="1">AVERAGE(OFFSET($CX$3,0,0,'Données projet'!$E$13+1,1))-AVERAGE(OFFSET($H$3,0,0,'Données projet'!$E$13+1,1))</f>
        <v>455.50822833641354</v>
      </c>
      <c r="CZ21" s="60">
        <f t="shared" si="42"/>
        <v>261.14722581688039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31.109859551611933</v>
      </c>
      <c r="DQ21" s="14">
        <f t="shared" si="43"/>
        <v>9.6089687778941872</v>
      </c>
      <c r="DR21" s="22">
        <f t="shared" si="16"/>
        <v>70.918626007223153</v>
      </c>
      <c r="DS21" s="60">
        <f t="shared" si="17"/>
        <v>349.58529267388985</v>
      </c>
      <c r="DT21" s="60">
        <f ca="1">AVERAGE(OFFSET($DS$3,0,0,'Données projet'!$E$14+1,1))-AVERAGE(OFFSET($H$3,0,0,'Données projet'!$E$14+1,1))</f>
        <v>502.07782026233912</v>
      </c>
      <c r="DU21" s="60">
        <f t="shared" si="44"/>
        <v>285.83623046025156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2.1</v>
      </c>
      <c r="EJ21" s="13">
        <f>IF('Données projet'!$A$192&gt;35,EJ20+EI21-ER20,IF(A21&lt;'Données projet'!$A$192,$EG$205^A21,IF(A21='Données projet'!$A$192,'Données projet'!$B$192,EJ20+EI21-ER20)))</f>
        <v>28.901764726506816</v>
      </c>
      <c r="EK21" s="18">
        <f>EJ21*VLOOKUP('Données projet'!$B$15,Paramètres!$A$1:$I$89,3,0)*VLOOKUP('Données projet'!$B$15,Paramètres!$A$1:$I$89,5,0)</f>
        <v>26.150316724543362</v>
      </c>
      <c r="EL21" s="14">
        <f t="shared" si="45"/>
        <v>8.2420396752158016</v>
      </c>
      <c r="EM21" s="22">
        <f t="shared" si="19"/>
        <v>59.900020729580547</v>
      </c>
      <c r="EN21" s="60">
        <f t="shared" si="20"/>
        <v>338.56668739624723</v>
      </c>
      <c r="EO21" s="60">
        <f ca="1">AVERAGE(OFFSET($EN$3,0,0,'Données projet'!$E$15+1,1))-AVERAGE(OFFSET($H$3,0,0,'Données projet'!$E$15+1,1))</f>
        <v>428.8489304403459</v>
      </c>
      <c r="EP21" s="60">
        <f t="shared" si="46"/>
        <v>247.01165577562966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 t="e">
        <f>N22*VLOOKUP('Données projet'!$B$9,Paramètres!$A$1:$I$89,3,0)*VLOOKUP('Données projet'!$B$9,Paramètres!$A$1:$I$89,5,0)</f>
        <v>#N/A</v>
      </c>
      <c r="P22" s="14" t="e">
        <f t="shared" si="33"/>
        <v>#N/A</v>
      </c>
      <c r="Q22" s="22" t="e">
        <f t="shared" si="2"/>
        <v>#N/A</v>
      </c>
      <c r="R22" s="60" t="e">
        <f t="shared" si="0"/>
        <v>#N/A</v>
      </c>
      <c r="S22" s="60" t="e">
        <f ca="1">AVERAGE(OFFSET($R$3,0,0,'Données projet'!$E$9+1,1))-AVERAGE(OFFSET($H$3,0,0,'Données projet'!$E$9+1,1))</f>
        <v>#N/A</v>
      </c>
      <c r="T22" s="60" t="e">
        <f t="shared" si="34"/>
        <v>#N/A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 t="e">
        <f>EXP(-LN(2)/35)*Z21+(1-EXP(-LN(2)/35))/(LN(2)/35)*V22*W22*VLOOKUP('Données projet'!$B$9,Paramètres!$A$1:$I$89,3,0)*0.475*44/12</f>
        <v>#N/A</v>
      </c>
      <c r="AA22" s="23" t="e">
        <f>EXP(-LN(2)/25)*AA21+(1-EXP(-LN(2)/25))/(LN(2)/25)*Calculateur!V22*Calculateur!X22*VLOOKUP('Données projet'!$B$9,Paramètres!$A$1:$I$89,3,0)*0.475*44/12</f>
        <v>#N/A</v>
      </c>
      <c r="AB22" s="23" t="e">
        <f>EXP(-LN(2)/2)*AB21+(1-EXP(-LN(2)/2))/(LN(2)/2)*V22*Y22*VLOOKUP('Données projet'!$B$9,Paramètres!$A$1:$I$89,3,0)*0.475*44/12</f>
        <v>#N/A</v>
      </c>
      <c r="AC22" s="24" t="e">
        <f t="shared" si="3"/>
        <v>#N/A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0" t="e">
        <f t="shared" si="5"/>
        <v>#N/A</v>
      </c>
      <c r="AN22" s="60" t="e">
        <f ca="1">AVERAGE(OFFSET($AM$3,0,0,'Données projet'!$E$10+1,1))-AVERAGE(OFFSET($H$3,0,0,'Données projet'!$E$10+1,1))</f>
        <v>#N/A</v>
      </c>
      <c r="AO22" s="60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5.8974358974358978</v>
      </c>
      <c r="BD22" s="13">
        <f>IF('Données projet'!$A$88&gt;35,BD21+BC22-BL21,IF(A22&lt;'Données projet'!$A$88,$BA$205^A22,IF(A22='Données projet'!$A$88,'Données projet'!$B$88,BD21+BC22-BL21)))</f>
        <v>57.564102564102562</v>
      </c>
      <c r="BE22" s="14">
        <f>BD22*VLOOKUP('Données projet'!$B$11,Paramètres!$A$1:$I$89,3,0)*VLOOKUP('Données projet'!$B$11,Paramètres!$A$1:$I$89,5,0)</f>
        <v>54.777999999999992</v>
      </c>
      <c r="BF22" s="14">
        <f t="shared" si="37"/>
        <v>15.841068726644904</v>
      </c>
      <c r="BG22" s="22">
        <f t="shared" si="7"/>
        <v>122.99487803223985</v>
      </c>
      <c r="BH22" s="60">
        <f t="shared" si="8"/>
        <v>402.88376692112871</v>
      </c>
      <c r="BI22" s="60">
        <f ca="1">AVERAGE(OFFSET($BH$3,0,0,'Données projet'!$E$11+1,1))-AVERAGE(OFFSET($H$3,0,0,'Données projet'!$E$11+1,1))</f>
        <v>357.083670644861</v>
      </c>
      <c r="BJ22" s="60">
        <f t="shared" si="38"/>
        <v>299.88885091109654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3.4358974358974361</v>
      </c>
      <c r="BY22" s="13">
        <f>IF('Données projet'!$A$114&gt;35,BY21+BX22-CG21,IF(A22&lt;'Données projet'!$A$114,$BV$205^A22,IF(A22='Données projet'!$A$114,'Données projet'!$B$114,BY21+BX22-CG21)))</f>
        <v>18.836588447555499</v>
      </c>
      <c r="BZ22" s="14">
        <f>BY22*VLOOKUP('Données projet'!$B$12,Paramètres!$A$1:$I$89,3,0)*VLOOKUP('Données projet'!$B$12,Paramètres!$A$1:$I$89,5,0)</f>
        <v>8.8155233934559742</v>
      </c>
      <c r="CA22" s="14">
        <f t="shared" si="39"/>
        <v>3.153358066176315</v>
      </c>
      <c r="CB22" s="22">
        <f t="shared" si="10"/>
        <v>20.845801875526238</v>
      </c>
      <c r="CC22" s="60">
        <f t="shared" si="11"/>
        <v>300.73469076441512</v>
      </c>
      <c r="CD22" s="60">
        <f ca="1">AVERAGE(OFFSET($CC$3,0,0,'Données projet'!$E$12+1,1))-AVERAGE(OFFSET($H$3,0,0,'Données projet'!$E$12+1,1))</f>
        <v>245.98992992759543</v>
      </c>
      <c r="CE22" s="60">
        <f t="shared" si="40"/>
        <v>145.34368562171613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33.697921459200977</v>
      </c>
      <c r="CV22" s="14">
        <f t="shared" si="41"/>
        <v>10.31198270984201</v>
      </c>
      <c r="CW22" s="22">
        <f t="shared" si="13"/>
        <v>76.650583094416518</v>
      </c>
      <c r="CX22" s="60">
        <f t="shared" si="14"/>
        <v>356.53947198330536</v>
      </c>
      <c r="CY22" s="60">
        <f ca="1">AVERAGE(OFFSET($CX$3,0,0,'Données projet'!$E$13+1,1))-AVERAGE(OFFSET($H$3,0,0,'Données projet'!$E$13+1,1))</f>
        <v>455.50822833641354</v>
      </c>
      <c r="CZ22" s="60">
        <f t="shared" si="42"/>
        <v>261.14722581688039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37.502525494917215</v>
      </c>
      <c r="DQ22" s="14">
        <f t="shared" si="43"/>
        <v>11.334227770598273</v>
      </c>
      <c r="DR22" s="22">
        <f t="shared" si="16"/>
        <v>85.057345270772814</v>
      </c>
      <c r="DS22" s="60">
        <f t="shared" si="17"/>
        <v>364.94623415966169</v>
      </c>
      <c r="DT22" s="60">
        <f ca="1">AVERAGE(OFFSET($DS$3,0,0,'Données projet'!$E$14+1,1))-AVERAGE(OFFSET($H$3,0,0,'Données projet'!$E$14+1,1))</f>
        <v>502.07782026233912</v>
      </c>
      <c r="DU22" s="60">
        <f t="shared" si="44"/>
        <v>285.83623046025156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2.1</v>
      </c>
      <c r="EJ22" s="13">
        <f>IF('Données projet'!$A$192&gt;35,EJ21+EI22-ER21,IF(A22&lt;'Données projet'!$A$192,$EG$205^A22,IF(A22='Données projet'!$A$192,'Données projet'!$B$192,EJ21+EI22-ER21)))</f>
        <v>34.840696297767764</v>
      </c>
      <c r="EK22" s="18">
        <f>EJ22*VLOOKUP('Données projet'!$B$15,Paramètres!$A$1:$I$89,3,0)*VLOOKUP('Données projet'!$B$15,Paramètres!$A$1:$I$89,5,0)</f>
        <v>31.52386201022027</v>
      </c>
      <c r="EL22" s="14">
        <f t="shared" si="45"/>
        <v>9.7218710074397983</v>
      </c>
      <c r="EM22" s="22">
        <f t="shared" si="19"/>
        <v>71.836318339091292</v>
      </c>
      <c r="EN22" s="60">
        <f t="shared" si="20"/>
        <v>351.72520722798015</v>
      </c>
      <c r="EO22" s="60">
        <f ca="1">AVERAGE(OFFSET($EN$3,0,0,'Données projet'!$E$15+1,1))-AVERAGE(OFFSET($H$3,0,0,'Données projet'!$E$15+1,1))</f>
        <v>428.8489304403459</v>
      </c>
      <c r="EP22" s="60">
        <f t="shared" si="46"/>
        <v>247.01165577562966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 t="e">
        <f>N23*VLOOKUP('Données projet'!$B$9,Paramètres!$A$1:$I$89,3,0)*VLOOKUP('Données projet'!$B$9,Paramètres!$A$1:$I$89,5,0)</f>
        <v>#N/A</v>
      </c>
      <c r="P23" s="14" t="e">
        <f t="shared" si="33"/>
        <v>#N/A</v>
      </c>
      <c r="Q23" s="22" t="e">
        <f t="shared" si="2"/>
        <v>#N/A</v>
      </c>
      <c r="R23" s="60" t="e">
        <f t="shared" si="0"/>
        <v>#N/A</v>
      </c>
      <c r="S23" s="60" t="e">
        <f ca="1">AVERAGE(OFFSET($R$3,0,0,'Données projet'!$E$9+1,1))-AVERAGE(OFFSET($H$3,0,0,'Données projet'!$E$9+1,1))</f>
        <v>#N/A</v>
      </c>
      <c r="T23" s="60" t="e">
        <f t="shared" si="34"/>
        <v>#N/A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 t="e">
        <f>EXP(-LN(2)/35)*Z22+(1-EXP(-LN(2)/35))/(LN(2)/35)*V23*W23*VLOOKUP('Données projet'!$B$9,Paramètres!$A$1:$I$89,3,0)*0.475*44/12</f>
        <v>#N/A</v>
      </c>
      <c r="AA23" s="23" t="e">
        <f>EXP(-LN(2)/25)*AA22+(1-EXP(-LN(2)/25))/(LN(2)/25)*Calculateur!V23*Calculateur!X23*VLOOKUP('Données projet'!$B$9,Paramètres!$A$1:$I$89,3,0)*0.475*44/12</f>
        <v>#N/A</v>
      </c>
      <c r="AB23" s="23" t="e">
        <f>EXP(-LN(2)/2)*AB22+(1-EXP(-LN(2)/2))/(LN(2)/2)*V23*Y23*VLOOKUP('Données projet'!$B$9,Paramètres!$A$1:$I$89,3,0)*0.475*44/12</f>
        <v>#N/A</v>
      </c>
      <c r="AC23" s="24" t="e">
        <f t="shared" si="3"/>
        <v>#N/A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0" t="e">
        <f t="shared" si="5"/>
        <v>#N/A</v>
      </c>
      <c r="AN23" s="60" t="e">
        <f ca="1">AVERAGE(OFFSET($AM$3,0,0,'Données projet'!$E$10+1,1))-AVERAGE(OFFSET($H$3,0,0,'Données projet'!$E$10+1,1))</f>
        <v>#N/A</v>
      </c>
      <c r="AO23" s="60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63.46153846153846</v>
      </c>
      <c r="BB23" s="13">
        <f>VLOOKUP(A23,'Données projet'!$A$87:$I$107,9,0)</f>
        <v>5.8974358974358978</v>
      </c>
      <c r="BC23" s="13">
        <f t="array" ref="BC23">INDEX(BB:BB,MIN(IF(ISNUMBER(BB23:BB219),ROW(BB23:BB219),"")))</f>
        <v>5.8974358974358978</v>
      </c>
      <c r="BD23" s="13">
        <f>IF('Données projet'!$A$88&gt;35,BD22+BC23-BL22,IF(A23&lt;'Données projet'!$A$88,$BA$205^A23,IF(A23='Données projet'!$A$88,'Données projet'!$B$88,BD22+BC23-BL22)))</f>
        <v>63.46153846153846</v>
      </c>
      <c r="BE23" s="14">
        <f>BD23*VLOOKUP('Données projet'!$B$11,Paramètres!$A$1:$I$89,3,0)*VLOOKUP('Données projet'!$B$11,Paramètres!$A$1:$I$89,5,0)</f>
        <v>60.39</v>
      </c>
      <c r="BF23" s="14">
        <f t="shared" si="37"/>
        <v>17.266836036680591</v>
      </c>
      <c r="BG23" s="22">
        <f t="shared" si="7"/>
        <v>135.25232276388536</v>
      </c>
      <c r="BH23" s="60">
        <f t="shared" si="8"/>
        <v>416.36343387499653</v>
      </c>
      <c r="BI23" s="60">
        <f ca="1">AVERAGE(OFFSET($BH$3,0,0,'Données projet'!$E$11+1,1))-AVERAGE(OFFSET($H$3,0,0,'Données projet'!$E$11+1,1))</f>
        <v>357.083670644861</v>
      </c>
      <c r="BJ23" s="60">
        <f t="shared" si="38"/>
        <v>299.88885091109654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3.4358974358974361</v>
      </c>
      <c r="BY23" s="13">
        <f>IF('Données projet'!$A$114&gt;35,BY22+BX23-CG22,IF(A23&lt;'Données projet'!$A$114,$BV$205^A23,IF(A23='Données projet'!$A$114,'Données projet'!$B$114,BY22+BX23-CG22)))</f>
        <v>21.984046333871831</v>
      </c>
      <c r="BZ23" s="14">
        <f>BY23*VLOOKUP('Données projet'!$B$12,Paramètres!$A$1:$I$89,3,0)*VLOOKUP('Données projet'!$B$12,Paramètres!$A$1:$I$89,5,0)</f>
        <v>10.288533684252016</v>
      </c>
      <c r="CA23" s="14">
        <f t="shared" si="39"/>
        <v>3.6146612479167253</v>
      </c>
      <c r="CB23" s="22">
        <f t="shared" si="10"/>
        <v>24.214731173527223</v>
      </c>
      <c r="CC23" s="60">
        <f t="shared" si="11"/>
        <v>305.32584228463838</v>
      </c>
      <c r="CD23" s="60">
        <f ca="1">AVERAGE(OFFSET($CC$3,0,0,'Données projet'!$E$12+1,1))-AVERAGE(OFFSET($H$3,0,0,'Données projet'!$E$12+1,1))</f>
        <v>245.98992992759543</v>
      </c>
      <c r="CE23" s="60">
        <f t="shared" si="40"/>
        <v>145.34368562171613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40.622399999999999</v>
      </c>
      <c r="CV23" s="14">
        <f t="shared" si="41"/>
        <v>12.163465560290264</v>
      </c>
      <c r="CW23" s="22">
        <f t="shared" si="13"/>
        <v>91.935382517505545</v>
      </c>
      <c r="CX23" s="60">
        <f t="shared" si="14"/>
        <v>373.0464936286167</v>
      </c>
      <c r="CY23" s="60">
        <f ca="1">AVERAGE(OFFSET($CX$3,0,0,'Données projet'!$E$13+1,1))-AVERAGE(OFFSET($H$3,0,0,'Données projet'!$E$13+1,1))</f>
        <v>455.50822833641354</v>
      </c>
      <c r="CZ23" s="60">
        <f t="shared" si="42"/>
        <v>261.14722581688039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45.208799999999997</v>
      </c>
      <c r="DQ23" s="14">
        <f t="shared" si="43"/>
        <v>13.369251386406743</v>
      </c>
      <c r="DR23" s="22">
        <f t="shared" si="16"/>
        <v>102.02343949799173</v>
      </c>
      <c r="DS23" s="60">
        <f t="shared" si="17"/>
        <v>383.13455060910286</v>
      </c>
      <c r="DT23" s="60">
        <f ca="1">AVERAGE(OFFSET($DS$3,0,0,'Données projet'!$E$14+1,1))-AVERAGE(OFFSET($H$3,0,0,'Données projet'!$E$14+1,1))</f>
        <v>502.07782026233912</v>
      </c>
      <c r="DU23" s="60">
        <f t="shared" si="44"/>
        <v>285.83623046025156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42</v>
      </c>
      <c r="EH23" s="13">
        <f>VLOOKUP(A23,'Données projet'!$A$191:$I$211,9,0)</f>
        <v>2.1</v>
      </c>
      <c r="EI23" s="13">
        <f t="array" ref="EI23">INDEX(EH:EH,MIN(IF(ISNUMBER(EH23:EH219),ROW(EH23:EH219),"")))</f>
        <v>2.1</v>
      </c>
      <c r="EJ23" s="13">
        <f>IF('Données projet'!$A$192&gt;35,EJ22+EI23-ER22,IF(A23&lt;'Données projet'!$A$192,$EG$205^A23,IF(A23='Données projet'!$A$192,'Données projet'!$B$192,EJ22+EI23-ER22)))</f>
        <v>42</v>
      </c>
      <c r="EK23" s="18">
        <f>EJ23*VLOOKUP('Données projet'!$B$15,Paramètres!$A$1:$I$89,3,0)*VLOOKUP('Données projet'!$B$15,Paramètres!$A$1:$I$89,5,0)</f>
        <v>38.001600000000003</v>
      </c>
      <c r="EL23" s="14">
        <f t="shared" si="45"/>
        <v>11.467401227090512</v>
      </c>
      <c r="EM23" s="22">
        <f t="shared" si="19"/>
        <v>86.158510470515978</v>
      </c>
      <c r="EN23" s="60">
        <f t="shared" si="20"/>
        <v>367.26962158162712</v>
      </c>
      <c r="EO23" s="60">
        <f ca="1">AVERAGE(OFFSET($EN$3,0,0,'Données projet'!$E$15+1,1))-AVERAGE(OFFSET($H$3,0,0,'Données projet'!$E$15+1,1))</f>
        <v>428.8489304403459</v>
      </c>
      <c r="EP23" s="60">
        <f t="shared" si="46"/>
        <v>247.01165577562966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 t="e">
        <f>N24*VLOOKUP('Données projet'!$B$9,Paramètres!$A$1:$I$89,3,0)*VLOOKUP('Données projet'!$B$9,Paramètres!$A$1:$I$89,5,0)</f>
        <v>#N/A</v>
      </c>
      <c r="P24" s="14" t="e">
        <f t="shared" si="33"/>
        <v>#N/A</v>
      </c>
      <c r="Q24" s="22" t="e">
        <f t="shared" si="2"/>
        <v>#N/A</v>
      </c>
      <c r="R24" s="60" t="e">
        <f t="shared" si="0"/>
        <v>#N/A</v>
      </c>
      <c r="S24" s="60" t="e">
        <f ca="1">AVERAGE(OFFSET($R$3,0,0,'Données projet'!$E$9+1,1))-AVERAGE(OFFSET($H$3,0,0,'Données projet'!$E$9+1,1))</f>
        <v>#N/A</v>
      </c>
      <c r="T24" s="60" t="e">
        <f t="shared" si="34"/>
        <v>#N/A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 t="e">
        <f>EXP(-LN(2)/35)*Z23+(1-EXP(-LN(2)/35))/(LN(2)/35)*V24*W24*VLOOKUP('Données projet'!$B$9,Paramètres!$A$1:$I$89,3,0)*0.475*44/12</f>
        <v>#N/A</v>
      </c>
      <c r="AA24" s="23" t="e">
        <f>EXP(-LN(2)/25)*AA23+(1-EXP(-LN(2)/25))/(LN(2)/25)*Calculateur!V24*Calculateur!X24*VLOOKUP('Données projet'!$B$9,Paramètres!$A$1:$I$89,3,0)*0.475*44/12</f>
        <v>#N/A</v>
      </c>
      <c r="AB24" s="23" t="e">
        <f>EXP(-LN(2)/2)*AB23+(1-EXP(-LN(2)/2))/(LN(2)/2)*V24*Y24*VLOOKUP('Données projet'!$B$9,Paramètres!$A$1:$I$89,3,0)*0.475*44/12</f>
        <v>#N/A</v>
      </c>
      <c r="AC24" s="24" t="e">
        <f t="shared" si="3"/>
        <v>#N/A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0" t="e">
        <f t="shared" si="5"/>
        <v>#N/A</v>
      </c>
      <c r="AN24" s="60" t="e">
        <f ca="1">AVERAGE(OFFSET($AM$3,0,0,'Données projet'!$E$10+1,1))-AVERAGE(OFFSET($H$3,0,0,'Données projet'!$E$10+1,1))</f>
        <v>#N/A</v>
      </c>
      <c r="AO24" s="60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6.1538461538461533</v>
      </c>
      <c r="BD24" s="13">
        <f>IF('Données projet'!$A$88&gt;35,BD23+BC24-BL23,IF(A24&lt;'Données projet'!$A$88,$BA$205^A24,IF(A24='Données projet'!$A$88,'Données projet'!$B$88,BD23+BC24-BL23)))</f>
        <v>69.615384615384613</v>
      </c>
      <c r="BE24" s="14">
        <f>BD24*VLOOKUP('Données projet'!$B$11,Paramètres!$A$1:$I$89,3,0)*VLOOKUP('Données projet'!$B$11,Paramètres!$A$1:$I$89,5,0)</f>
        <v>66.245999999999995</v>
      </c>
      <c r="BF24" s="14">
        <f t="shared" si="37"/>
        <v>18.738237565286223</v>
      </c>
      <c r="BG24" s="22">
        <f t="shared" si="7"/>
        <v>148.01421375954016</v>
      </c>
      <c r="BH24" s="60">
        <f t="shared" si="8"/>
        <v>430.34754709287347</v>
      </c>
      <c r="BI24" s="60">
        <f ca="1">AVERAGE(OFFSET($BH$3,0,0,'Données projet'!$E$11+1,1))-AVERAGE(OFFSET($H$3,0,0,'Données projet'!$E$11+1,1))</f>
        <v>357.083670644861</v>
      </c>
      <c r="BJ24" s="60">
        <f t="shared" si="38"/>
        <v>299.88885091109654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3.4358974358974361</v>
      </c>
      <c r="BY24" s="13">
        <f>IF('Données projet'!$A$114&gt;35,BY23+BX24-CG23,IF(A24&lt;'Données projet'!$A$114,$BV$205^A24,IF(A24='Données projet'!$A$114,'Données projet'!$B$114,BY23+BX24-CG23)))</f>
        <v>25.657421701143715</v>
      </c>
      <c r="BZ24" s="14">
        <f>BY24*VLOOKUP('Données projet'!$B$12,Paramètres!$A$1:$I$89,3,0)*VLOOKUP('Données projet'!$B$12,Paramètres!$A$1:$I$89,5,0)</f>
        <v>12.007673356135259</v>
      </c>
      <c r="CA24" s="14">
        <f t="shared" si="39"/>
        <v>4.1434482424744576</v>
      </c>
      <c r="CB24" s="22">
        <f t="shared" si="10"/>
        <v>28.129870117578587</v>
      </c>
      <c r="CC24" s="60">
        <f t="shared" si="11"/>
        <v>310.46320345091192</v>
      </c>
      <c r="CD24" s="60">
        <f ca="1">AVERAGE(OFFSET($CC$3,0,0,'Données projet'!$E$12+1,1))-AVERAGE(OFFSET($H$3,0,0,'Données projet'!$E$12+1,1))</f>
        <v>245.98992992759543</v>
      </c>
      <c r="CE24" s="60">
        <f t="shared" si="40"/>
        <v>145.34368562171613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46.038720000000005</v>
      </c>
      <c r="CV24" s="14">
        <f t="shared" si="41"/>
        <v>13.585879560828786</v>
      </c>
      <c r="CW24" s="22">
        <f t="shared" si="13"/>
        <v>103.84617756844348</v>
      </c>
      <c r="CX24" s="60">
        <f t="shared" si="14"/>
        <v>386.17951090177678</v>
      </c>
      <c r="CY24" s="60">
        <f ca="1">AVERAGE(OFFSET($CX$3,0,0,'Données projet'!$E$13+1,1))-AVERAGE(OFFSET($H$3,0,0,'Données projet'!$E$13+1,1))</f>
        <v>455.50822833641354</v>
      </c>
      <c r="CZ24" s="60">
        <f t="shared" si="42"/>
        <v>261.14722581688039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51.236640000000001</v>
      </c>
      <c r="DQ24" s="14">
        <f t="shared" si="43"/>
        <v>14.932671799321549</v>
      </c>
      <c r="DR24" s="22">
        <f t="shared" si="16"/>
        <v>115.24488471715169</v>
      </c>
      <c r="DS24" s="60">
        <f t="shared" si="17"/>
        <v>397.57821805048502</v>
      </c>
      <c r="DT24" s="60">
        <f ca="1">AVERAGE(OFFSET($DS$3,0,0,'Données projet'!$E$14+1,1))-AVERAGE(OFFSET($H$3,0,0,'Données projet'!$E$14+1,1))</f>
        <v>502.07782026233912</v>
      </c>
      <c r="DU24" s="60">
        <f t="shared" si="44"/>
        <v>285.83623046025156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5.6</v>
      </c>
      <c r="EJ24" s="13">
        <f>IF('Données projet'!$A$192&gt;35,EJ23+EI24-ER23,IF(A24&lt;'Données projet'!$A$192,$EG$205^A24,IF(A24='Données projet'!$A$192,'Données projet'!$B$192,EJ23+EI24-ER23)))</f>
        <v>47.6</v>
      </c>
      <c r="EK24" s="18">
        <f>EJ24*VLOOKUP('Données projet'!$B$15,Paramètres!$A$1:$I$89,3,0)*VLOOKUP('Données projet'!$B$15,Paramètres!$A$1:$I$89,5,0)</f>
        <v>43.068480000000001</v>
      </c>
      <c r="EL24" s="14">
        <f t="shared" si="45"/>
        <v>12.808416415102187</v>
      </c>
      <c r="EM24" s="22">
        <f t="shared" si="19"/>
        <v>97.318927922969635</v>
      </c>
      <c r="EN24" s="60">
        <f t="shared" si="20"/>
        <v>379.65226125630295</v>
      </c>
      <c r="EO24" s="60">
        <f ca="1">AVERAGE(OFFSET($EN$3,0,0,'Données projet'!$E$15+1,1))-AVERAGE(OFFSET($H$3,0,0,'Données projet'!$E$15+1,1))</f>
        <v>428.8489304403459</v>
      </c>
      <c r="EP24" s="60">
        <f t="shared" si="46"/>
        <v>247.01165577562966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 t="e">
        <f>N25*VLOOKUP('Données projet'!$B$9,Paramètres!$A$1:$I$89,3,0)*VLOOKUP('Données projet'!$B$9,Paramètres!$A$1:$I$89,5,0)</f>
        <v>#N/A</v>
      </c>
      <c r="P25" s="14" t="e">
        <f t="shared" si="33"/>
        <v>#N/A</v>
      </c>
      <c r="Q25" s="22" t="e">
        <f t="shared" si="2"/>
        <v>#N/A</v>
      </c>
      <c r="R25" s="60" t="e">
        <f t="shared" si="0"/>
        <v>#N/A</v>
      </c>
      <c r="S25" s="60" t="e">
        <f ca="1">AVERAGE(OFFSET($R$3,0,0,'Données projet'!$E$9+1,1))-AVERAGE(OFFSET($H$3,0,0,'Données projet'!$E$9+1,1))</f>
        <v>#N/A</v>
      </c>
      <c r="T25" s="60" t="e">
        <f t="shared" si="34"/>
        <v>#N/A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 t="e">
        <f>EXP(-LN(2)/35)*Z24+(1-EXP(-LN(2)/35))/(LN(2)/35)*V25*W25*VLOOKUP('Données projet'!$B$9,Paramètres!$A$1:$I$89,3,0)*0.475*44/12</f>
        <v>#N/A</v>
      </c>
      <c r="AA25" s="23" t="e">
        <f>EXP(-LN(2)/25)*AA24+(1-EXP(-LN(2)/25))/(LN(2)/25)*Calculateur!V25*Calculateur!X25*VLOOKUP('Données projet'!$B$9,Paramètres!$A$1:$I$89,3,0)*0.475*44/12</f>
        <v>#N/A</v>
      </c>
      <c r="AB25" s="23" t="e">
        <f>EXP(-LN(2)/2)*AB24+(1-EXP(-LN(2)/2))/(LN(2)/2)*V25*Y25*VLOOKUP('Données projet'!$B$9,Paramètres!$A$1:$I$89,3,0)*0.475*44/12</f>
        <v>#N/A</v>
      </c>
      <c r="AC25" s="24" t="e">
        <f t="shared" si="3"/>
        <v>#N/A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0" t="e">
        <f t="shared" si="5"/>
        <v>#N/A</v>
      </c>
      <c r="AN25" s="60" t="e">
        <f ca="1">AVERAGE(OFFSET($AM$3,0,0,'Données projet'!$E$10+1,1))-AVERAGE(OFFSET($H$3,0,0,'Données projet'!$E$10+1,1))</f>
        <v>#N/A</v>
      </c>
      <c r="AO25" s="60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6.1538461538461533</v>
      </c>
      <c r="BD25" s="13">
        <f>IF('Données projet'!$A$88&gt;35,BD24+BC25-BL24,IF(A25&lt;'Données projet'!$A$88,$BA$205^A25,IF(A25='Données projet'!$A$88,'Données projet'!$B$88,BD24+BC25-BL24)))</f>
        <v>75.769230769230774</v>
      </c>
      <c r="BE25" s="14">
        <f>BD25*VLOOKUP('Données projet'!$B$11,Paramètres!$A$1:$I$89,3,0)*VLOOKUP('Données projet'!$B$11,Paramètres!$A$1:$I$89,5,0)</f>
        <v>72.102000000000004</v>
      </c>
      <c r="BF25" s="14">
        <f t="shared" si="37"/>
        <v>20.194556009371063</v>
      </c>
      <c r="BG25" s="22">
        <f t="shared" si="7"/>
        <v>160.74983504965459</v>
      </c>
      <c r="BH25" s="60">
        <f t="shared" si="8"/>
        <v>444.30539060521016</v>
      </c>
      <c r="BI25" s="60">
        <f ca="1">AVERAGE(OFFSET($BH$3,0,0,'Données projet'!$E$11+1,1))-AVERAGE(OFFSET($H$3,0,0,'Données projet'!$E$11+1,1))</f>
        <v>357.083670644861</v>
      </c>
      <c r="BJ25" s="60">
        <f t="shared" si="38"/>
        <v>299.88885091109654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3.4358974358974361</v>
      </c>
      <c r="BY25" s="13">
        <f>IF('Données projet'!$A$114&gt;35,BY24+BX25-CG24,IF(A25&lt;'Données projet'!$A$114,$BV$205^A25,IF(A25='Données projet'!$A$114,'Données projet'!$B$114,BY24+BX25-CG24)))</f>
        <v>29.944591562111224</v>
      </c>
      <c r="BZ25" s="14">
        <f>BY25*VLOOKUP('Données projet'!$B$12,Paramètres!$A$1:$I$89,3,0)*VLOOKUP('Données projet'!$B$12,Paramètres!$A$1:$I$89,5,0)</f>
        <v>14.014068851068053</v>
      </c>
      <c r="CA25" s="14">
        <f t="shared" si="39"/>
        <v>4.749591223232712</v>
      </c>
      <c r="CB25" s="22">
        <f t="shared" si="10"/>
        <v>32.680041296073831</v>
      </c>
      <c r="CC25" s="60">
        <f t="shared" si="11"/>
        <v>316.2355968516294</v>
      </c>
      <c r="CD25" s="60">
        <f ca="1">AVERAGE(OFFSET($CC$3,0,0,'Données projet'!$E$12+1,1))-AVERAGE(OFFSET($H$3,0,0,'Données projet'!$E$12+1,1))</f>
        <v>245.98992992759543</v>
      </c>
      <c r="CE25" s="60">
        <f t="shared" si="40"/>
        <v>145.34368562171613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51.455040000000004</v>
      </c>
      <c r="CV25" s="14">
        <f t="shared" si="41"/>
        <v>14.988900446655085</v>
      </c>
      <c r="CW25" s="22">
        <f t="shared" si="13"/>
        <v>115.72319627792427</v>
      </c>
      <c r="CX25" s="60">
        <f t="shared" si="14"/>
        <v>399.27875183347982</v>
      </c>
      <c r="CY25" s="60">
        <f ca="1">AVERAGE(OFFSET($CX$3,0,0,'Données projet'!$E$13+1,1))-AVERAGE(OFFSET($H$3,0,0,'Données projet'!$E$13+1,1))</f>
        <v>455.50822833641354</v>
      </c>
      <c r="CZ25" s="60">
        <f t="shared" si="42"/>
        <v>261.14722581688039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57.264479999999999</v>
      </c>
      <c r="DQ25" s="14">
        <f t="shared" si="43"/>
        <v>16.474776623807379</v>
      </c>
      <c r="DR25" s="22">
        <f t="shared" si="16"/>
        <v>128.42920528646451</v>
      </c>
      <c r="DS25" s="60">
        <f t="shared" si="17"/>
        <v>411.98476084202002</v>
      </c>
      <c r="DT25" s="60">
        <f ca="1">AVERAGE(OFFSET($DS$3,0,0,'Données projet'!$E$14+1,1))-AVERAGE(OFFSET($H$3,0,0,'Données projet'!$E$14+1,1))</f>
        <v>502.07782026233912</v>
      </c>
      <c r="DU25" s="60">
        <f t="shared" si="44"/>
        <v>285.83623046025156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5.6</v>
      </c>
      <c r="EJ25" s="13">
        <f>IF('Données projet'!$A$192&gt;35,EJ24+EI25-ER24,IF(A25&lt;'Données projet'!$A$192,$EG$205^A25,IF(A25='Données projet'!$A$192,'Données projet'!$B$192,EJ24+EI25-ER24)))</f>
        <v>53.2</v>
      </c>
      <c r="EK25" s="18">
        <f>EJ25*VLOOKUP('Données projet'!$B$15,Paramètres!$A$1:$I$89,3,0)*VLOOKUP('Données projet'!$B$15,Paramètres!$A$1:$I$89,5,0)</f>
        <v>48.135359999999999</v>
      </c>
      <c r="EL25" s="14">
        <f t="shared" si="45"/>
        <v>14.131148275361113</v>
      </c>
      <c r="EM25" s="22">
        <f t="shared" si="19"/>
        <v>108.4475019129206</v>
      </c>
      <c r="EN25" s="60">
        <f t="shared" si="20"/>
        <v>392.00305746847613</v>
      </c>
      <c r="EO25" s="60">
        <f ca="1">AVERAGE(OFFSET($EN$3,0,0,'Données projet'!$E$15+1,1))-AVERAGE(OFFSET($H$3,0,0,'Données projet'!$E$15+1,1))</f>
        <v>428.8489304403459</v>
      </c>
      <c r="EP25" s="60">
        <f t="shared" si="46"/>
        <v>247.01165577562966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 t="e">
        <f>N26*VLOOKUP('Données projet'!$B$9,Paramètres!$A$1:$I$89,3,0)*VLOOKUP('Données projet'!$B$9,Paramètres!$A$1:$I$89,5,0)</f>
        <v>#N/A</v>
      </c>
      <c r="P26" s="14" t="e">
        <f t="shared" si="33"/>
        <v>#N/A</v>
      </c>
      <c r="Q26" s="22" t="e">
        <f t="shared" si="2"/>
        <v>#N/A</v>
      </c>
      <c r="R26" s="60" t="e">
        <f t="shared" si="0"/>
        <v>#N/A</v>
      </c>
      <c r="S26" s="60" t="e">
        <f ca="1">AVERAGE(OFFSET($R$3,0,0,'Données projet'!$E$9+1,1))-AVERAGE(OFFSET($H$3,0,0,'Données projet'!$E$9+1,1))</f>
        <v>#N/A</v>
      </c>
      <c r="T26" s="60" t="e">
        <f t="shared" si="34"/>
        <v>#N/A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 t="e">
        <f>EXP(-LN(2)/35)*Z25+(1-EXP(-LN(2)/35))/(LN(2)/35)*V26*W26*VLOOKUP('Données projet'!$B$9,Paramètres!$A$1:$I$89,3,0)*0.475*44/12</f>
        <v>#N/A</v>
      </c>
      <c r="AA26" s="23" t="e">
        <f>EXP(-LN(2)/25)*AA25+(1-EXP(-LN(2)/25))/(LN(2)/25)*Calculateur!V26*Calculateur!X26*VLOOKUP('Données projet'!$B$9,Paramètres!$A$1:$I$89,3,0)*0.475*44/12</f>
        <v>#N/A</v>
      </c>
      <c r="AB26" s="23" t="e">
        <f>EXP(-LN(2)/2)*AB25+(1-EXP(-LN(2)/2))/(LN(2)/2)*V26*Y26*VLOOKUP('Données projet'!$B$9,Paramètres!$A$1:$I$89,3,0)*0.475*44/12</f>
        <v>#N/A</v>
      </c>
      <c r="AC26" s="24" t="e">
        <f t="shared" si="3"/>
        <v>#N/A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0" t="e">
        <f t="shared" si="5"/>
        <v>#N/A</v>
      </c>
      <c r="AN26" s="60" t="e">
        <f ca="1">AVERAGE(OFFSET($AM$3,0,0,'Données projet'!$E$10+1,1))-AVERAGE(OFFSET($H$3,0,0,'Données projet'!$E$10+1,1))</f>
        <v>#N/A</v>
      </c>
      <c r="AO26" s="60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6.1538461538461533</v>
      </c>
      <c r="BD26" s="13">
        <f>IF('Données projet'!$A$88&gt;35,BD25+BC26-BL25,IF(A26&lt;'Données projet'!$A$88,$BA$205^A26,IF(A26='Données projet'!$A$88,'Données projet'!$B$88,BD25+BC26-BL25)))</f>
        <v>81.923076923076934</v>
      </c>
      <c r="BE26" s="14">
        <f>BD26*VLOOKUP('Données projet'!$B$11,Paramètres!$A$1:$I$89,3,0)*VLOOKUP('Données projet'!$B$11,Paramètres!$A$1:$I$89,5,0)</f>
        <v>77.958000000000013</v>
      </c>
      <c r="BF26" s="14">
        <f t="shared" si="37"/>
        <v>21.637155663637412</v>
      </c>
      <c r="BG26" s="22">
        <f t="shared" si="7"/>
        <v>173.46156278083515</v>
      </c>
      <c r="BH26" s="60">
        <f t="shared" si="8"/>
        <v>458.23934055861292</v>
      </c>
      <c r="BI26" s="60">
        <f ca="1">AVERAGE(OFFSET($BH$3,0,0,'Données projet'!$E$11+1,1))-AVERAGE(OFFSET($H$3,0,0,'Données projet'!$E$11+1,1))</f>
        <v>357.083670644861</v>
      </c>
      <c r="BJ26" s="60">
        <f t="shared" si="38"/>
        <v>299.88885091109654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3.4358974358974361</v>
      </c>
      <c r="BY26" s="13">
        <f>IF('Données projet'!$A$114&gt;35,BY25+BX26-CG25,IF(A26&lt;'Données projet'!$A$114,$BV$205^A26,IF(A26='Données projet'!$A$114,'Données projet'!$B$114,BY25+BX26-CG25)))</f>
        <v>34.948116543670167</v>
      </c>
      <c r="BZ26" s="14">
        <f>BY26*VLOOKUP('Données projet'!$B$12,Paramètres!$A$1:$I$89,3,0)*VLOOKUP('Données projet'!$B$12,Paramètres!$A$1:$I$89,5,0)</f>
        <v>16.355718542437639</v>
      </c>
      <c r="CA26" s="14">
        <f t="shared" si="39"/>
        <v>5.4444065589044843</v>
      </c>
      <c r="CB26" s="22">
        <f t="shared" si="10"/>
        <v>37.968551218170866</v>
      </c>
      <c r="CC26" s="60">
        <f t="shared" si="11"/>
        <v>322.74632899594866</v>
      </c>
      <c r="CD26" s="60">
        <f ca="1">AVERAGE(OFFSET($CC$3,0,0,'Données projet'!$E$12+1,1))-AVERAGE(OFFSET($H$3,0,0,'Données projet'!$E$12+1,1))</f>
        <v>245.98992992759543</v>
      </c>
      <c r="CE26" s="60">
        <f t="shared" si="40"/>
        <v>145.34368562171613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56.87136000000001</v>
      </c>
      <c r="CV26" s="14">
        <f t="shared" si="41"/>
        <v>16.374802181791551</v>
      </c>
      <c r="CW26" s="22">
        <f t="shared" si="13"/>
        <v>127.57039913328697</v>
      </c>
      <c r="CX26" s="60">
        <f t="shared" si="14"/>
        <v>412.34817691106474</v>
      </c>
      <c r="CY26" s="60">
        <f ca="1">AVERAGE(OFFSET($CX$3,0,0,'Données projet'!$E$13+1,1))-AVERAGE(OFFSET($H$3,0,0,'Données projet'!$E$13+1,1))</f>
        <v>455.50822833641354</v>
      </c>
      <c r="CZ26" s="60">
        <f t="shared" si="42"/>
        <v>261.14722581688039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63.292320000000004</v>
      </c>
      <c r="DQ26" s="14">
        <f t="shared" si="43"/>
        <v>17.998065245956816</v>
      </c>
      <c r="DR26" s="22">
        <f t="shared" si="16"/>
        <v>141.58075430337479</v>
      </c>
      <c r="DS26" s="60">
        <f t="shared" si="17"/>
        <v>426.35853208115259</v>
      </c>
      <c r="DT26" s="60">
        <f ca="1">AVERAGE(OFFSET($DS$3,0,0,'Données projet'!$E$14+1,1))-AVERAGE(OFFSET($H$3,0,0,'Données projet'!$E$14+1,1))</f>
        <v>502.07782026233912</v>
      </c>
      <c r="DU26" s="60">
        <f t="shared" si="44"/>
        <v>285.83623046025156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5.6</v>
      </c>
      <c r="EJ26" s="13">
        <f>IF('Données projet'!$A$192&gt;35,EJ25+EI26-ER25,IF(A26&lt;'Données projet'!$A$192,$EG$205^A26,IF(A26='Données projet'!$A$192,'Données projet'!$B$192,EJ25+EI26-ER25)))</f>
        <v>58.800000000000004</v>
      </c>
      <c r="EK26" s="18">
        <f>EJ26*VLOOKUP('Données projet'!$B$15,Paramètres!$A$1:$I$89,3,0)*VLOOKUP('Données projet'!$B$15,Paramètres!$A$1:$I$89,5,0)</f>
        <v>53.202240000000003</v>
      </c>
      <c r="EL26" s="14">
        <f t="shared" si="45"/>
        <v>15.437740642425908</v>
      </c>
      <c r="EM26" s="22">
        <f t="shared" si="19"/>
        <v>119.54796628555846</v>
      </c>
      <c r="EN26" s="60">
        <f t="shared" si="20"/>
        <v>404.32574406333623</v>
      </c>
      <c r="EO26" s="60">
        <f ca="1">AVERAGE(OFFSET($EN$3,0,0,'Données projet'!$E$15+1,1))-AVERAGE(OFFSET($H$3,0,0,'Données projet'!$E$15+1,1))</f>
        <v>428.8489304403459</v>
      </c>
      <c r="EP26" s="60">
        <f t="shared" si="46"/>
        <v>247.01165577562966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 t="e">
        <f>N27*VLOOKUP('Données projet'!$B$9,Paramètres!$A$1:$I$89,3,0)*VLOOKUP('Données projet'!$B$9,Paramètres!$A$1:$I$89,5,0)</f>
        <v>#N/A</v>
      </c>
      <c r="P27" s="14" t="e">
        <f t="shared" si="33"/>
        <v>#N/A</v>
      </c>
      <c r="Q27" s="22" t="e">
        <f t="shared" si="2"/>
        <v>#N/A</v>
      </c>
      <c r="R27" s="60" t="e">
        <f t="shared" si="0"/>
        <v>#N/A</v>
      </c>
      <c r="S27" s="60" t="e">
        <f ca="1">AVERAGE(OFFSET($R$3,0,0,'Données projet'!$E$9+1,1))-AVERAGE(OFFSET($H$3,0,0,'Données projet'!$E$9+1,1))</f>
        <v>#N/A</v>
      </c>
      <c r="T27" s="60" t="e">
        <f t="shared" si="34"/>
        <v>#N/A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 t="e">
        <f>EXP(-LN(2)/35)*Z26+(1-EXP(-LN(2)/35))/(LN(2)/35)*V27*W27*VLOOKUP('Données projet'!$B$9,Paramètres!$A$1:$I$89,3,0)*0.475*44/12</f>
        <v>#N/A</v>
      </c>
      <c r="AA27" s="23" t="e">
        <f>EXP(-LN(2)/25)*AA26+(1-EXP(-LN(2)/25))/(LN(2)/25)*Calculateur!V27*Calculateur!X27*VLOOKUP('Données projet'!$B$9,Paramètres!$A$1:$I$89,3,0)*0.475*44/12</f>
        <v>#N/A</v>
      </c>
      <c r="AB27" s="23" t="e">
        <f>EXP(-LN(2)/2)*AB26+(1-EXP(-LN(2)/2))/(LN(2)/2)*V27*Y27*VLOOKUP('Données projet'!$B$9,Paramètres!$A$1:$I$89,3,0)*0.475*44/12</f>
        <v>#N/A</v>
      </c>
      <c r="AC27" s="24" t="e">
        <f t="shared" si="3"/>
        <v>#N/A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0" t="e">
        <f t="shared" si="5"/>
        <v>#N/A</v>
      </c>
      <c r="AN27" s="60" t="e">
        <f ca="1">AVERAGE(OFFSET($AM$3,0,0,'Données projet'!$E$10+1,1))-AVERAGE(OFFSET($H$3,0,0,'Données projet'!$E$10+1,1))</f>
        <v>#N/A</v>
      </c>
      <c r="AO27" s="60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6.1538461538461533</v>
      </c>
      <c r="BD27" s="13">
        <f>IF('Données projet'!$A$88&gt;35,BD26+BC27-BL26,IF(A27&lt;'Données projet'!$A$88,$BA$205^A27,IF(A27='Données projet'!$A$88,'Données projet'!$B$88,BD26+BC27-BL26)))</f>
        <v>88.076923076923094</v>
      </c>
      <c r="BE27" s="14">
        <f>BD27*VLOOKUP('Données projet'!$B$11,Paramètres!$A$1:$I$89,3,0)*VLOOKUP('Données projet'!$B$11,Paramètres!$A$1:$I$89,5,0)</f>
        <v>83.814000000000021</v>
      </c>
      <c r="BF27" s="14">
        <f t="shared" si="37"/>
        <v>23.067184225497325</v>
      </c>
      <c r="BG27" s="22">
        <f t="shared" si="7"/>
        <v>186.1513958594079</v>
      </c>
      <c r="BH27" s="60">
        <f t="shared" si="8"/>
        <v>472.1513958594079</v>
      </c>
      <c r="BI27" s="60">
        <f ca="1">AVERAGE(OFFSET($BH$3,0,0,'Données projet'!$E$11+1,1))-AVERAGE(OFFSET($H$3,0,0,'Données projet'!$E$11+1,1))</f>
        <v>357.083670644861</v>
      </c>
      <c r="BJ27" s="60">
        <f t="shared" si="38"/>
        <v>299.88885091109654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3.4358974358974361</v>
      </c>
      <c r="BY27" s="13">
        <f>IF('Données projet'!$A$114&gt;35,BY26+BX27-CG26,IF(A27&lt;'Données projet'!$A$114,$BV$205^A27,IF(A27='Données projet'!$A$114,'Données projet'!$B$114,BY26+BX27-CG26)))</f>
        <v>40.787694412748245</v>
      </c>
      <c r="BZ27" s="14">
        <f>BY27*VLOOKUP('Données projet'!$B$12,Paramètres!$A$1:$I$89,3,0)*VLOOKUP('Données projet'!$B$12,Paramètres!$A$1:$I$89,5,0)</f>
        <v>19.08864098516618</v>
      </c>
      <c r="CA27" s="14">
        <f t="shared" si="39"/>
        <v>6.2408660841484478</v>
      </c>
      <c r="CB27" s="22">
        <f t="shared" si="10"/>
        <v>44.115558145722979</v>
      </c>
      <c r="CC27" s="60">
        <f t="shared" si="11"/>
        <v>330.11555814572296</v>
      </c>
      <c r="CD27" s="60">
        <f ca="1">AVERAGE(OFFSET($CC$3,0,0,'Données projet'!$E$12+1,1))-AVERAGE(OFFSET($H$3,0,0,'Données projet'!$E$12+1,1))</f>
        <v>245.98992992759543</v>
      </c>
      <c r="CE27" s="60">
        <f t="shared" si="40"/>
        <v>145.34368562171613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62.287680000000009</v>
      </c>
      <c r="CV27" s="14">
        <f t="shared" si="41"/>
        <v>17.745400652396182</v>
      </c>
      <c r="CW27" s="22">
        <f t="shared" si="13"/>
        <v>139.39094880292336</v>
      </c>
      <c r="CX27" s="60">
        <f t="shared" si="14"/>
        <v>425.39094880292339</v>
      </c>
      <c r="CY27" s="60">
        <f ca="1">AVERAGE(OFFSET($CX$3,0,0,'Données projet'!$E$13+1,1))-AVERAGE(OFFSET($H$3,0,0,'Données projet'!$E$13+1,1))</f>
        <v>455.50822833641354</v>
      </c>
      <c r="CZ27" s="60">
        <f t="shared" si="42"/>
        <v>261.14722581688039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69.320160000000001</v>
      </c>
      <c r="DQ27" s="14">
        <f t="shared" si="43"/>
        <v>19.50453356393022</v>
      </c>
      <c r="DR27" s="22">
        <f t="shared" si="16"/>
        <v>154.70300795717847</v>
      </c>
      <c r="DS27" s="60">
        <f t="shared" si="17"/>
        <v>440.70300795717844</v>
      </c>
      <c r="DT27" s="60">
        <f ca="1">AVERAGE(OFFSET($DS$3,0,0,'Données projet'!$E$14+1,1))-AVERAGE(OFFSET($H$3,0,0,'Données projet'!$E$14+1,1))</f>
        <v>502.07782026233912</v>
      </c>
      <c r="DU27" s="60">
        <f t="shared" si="44"/>
        <v>285.83623046025156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5.6</v>
      </c>
      <c r="EJ27" s="13">
        <f>IF('Données projet'!$A$192&gt;35,EJ26+EI27-ER26,IF(A27&lt;'Données projet'!$A$192,$EG$205^A27,IF(A27='Données projet'!$A$192,'Données projet'!$B$192,EJ26+EI27-ER26)))</f>
        <v>64.400000000000006</v>
      </c>
      <c r="EK27" s="18">
        <f>EJ27*VLOOKUP('Données projet'!$B$15,Paramètres!$A$1:$I$89,3,0)*VLOOKUP('Données projet'!$B$15,Paramètres!$A$1:$I$89,5,0)</f>
        <v>58.269120000000008</v>
      </c>
      <c r="EL27" s="14">
        <f t="shared" si="45"/>
        <v>16.729905486873804</v>
      </c>
      <c r="EM27" s="22">
        <f t="shared" si="19"/>
        <v>130.62330272297189</v>
      </c>
      <c r="EN27" s="60">
        <f t="shared" si="20"/>
        <v>416.62330272297186</v>
      </c>
      <c r="EO27" s="60">
        <f ca="1">AVERAGE(OFFSET($EN$3,0,0,'Données projet'!$E$15+1,1))-AVERAGE(OFFSET($H$3,0,0,'Données projet'!$E$15+1,1))</f>
        <v>428.8489304403459</v>
      </c>
      <c r="EP27" s="60">
        <f t="shared" si="46"/>
        <v>247.01165577562966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 t="e">
        <f>N28*VLOOKUP('Données projet'!$B$9,Paramètres!$A$1:$I$89,3,0)*VLOOKUP('Données projet'!$B$9,Paramètres!$A$1:$I$89,5,0)</f>
        <v>#N/A</v>
      </c>
      <c r="P28" s="14" t="e">
        <f t="shared" si="33"/>
        <v>#N/A</v>
      </c>
      <c r="Q28" s="22" t="e">
        <f t="shared" si="2"/>
        <v>#N/A</v>
      </c>
      <c r="R28" s="60" t="e">
        <f t="shared" si="0"/>
        <v>#N/A</v>
      </c>
      <c r="S28" s="60" t="e">
        <f ca="1">AVERAGE(OFFSET($R$3,0,0,'Données projet'!$E$9+1,1))-AVERAGE(OFFSET($H$3,0,0,'Données projet'!$E$9+1,1))</f>
        <v>#N/A</v>
      </c>
      <c r="T28" s="60" t="e">
        <f t="shared" si="34"/>
        <v>#N/A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 t="e">
        <f>EXP(-LN(2)/35)*Z27+(1-EXP(-LN(2)/35))/(LN(2)/35)*V28*W28*VLOOKUP('Données projet'!$B$9,Paramètres!$A$1:$I$89,3,0)*0.475*44/12</f>
        <v>#N/A</v>
      </c>
      <c r="AA28" s="23" t="e">
        <f>EXP(-LN(2)/25)*AA27+(1-EXP(-LN(2)/25))/(LN(2)/25)*Calculateur!V28*Calculateur!X28*VLOOKUP('Données projet'!$B$9,Paramètres!$A$1:$I$89,3,0)*0.475*44/12</f>
        <v>#N/A</v>
      </c>
      <c r="AB28" s="23" t="e">
        <f>EXP(-LN(2)/2)*AB27+(1-EXP(-LN(2)/2))/(LN(2)/2)*V28*Y28*VLOOKUP('Données projet'!$B$9,Paramètres!$A$1:$I$89,3,0)*0.475*44/12</f>
        <v>#N/A</v>
      </c>
      <c r="AC28" s="24" t="e">
        <f t="shared" si="3"/>
        <v>#N/A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0" t="e">
        <f t="shared" si="5"/>
        <v>#N/A</v>
      </c>
      <c r="AN28" s="60" t="e">
        <f ca="1">AVERAGE(OFFSET($AM$3,0,0,'Données projet'!$E$10+1,1))-AVERAGE(OFFSET($H$3,0,0,'Données projet'!$E$10+1,1))</f>
        <v>#N/A</v>
      </c>
      <c r="AO28" s="60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94.230769230769226</v>
      </c>
      <c r="BB28" s="13">
        <f>VLOOKUP(A28,'Données projet'!$A$87:$I$107,9,0)</f>
        <v>6.1538461538461533</v>
      </c>
      <c r="BC28" s="13">
        <f t="array" ref="BC28">INDEX(BB:BB,MIN(IF(ISNUMBER(BB28:BB224),ROW(BB28:BB224),"")))</f>
        <v>6.1538461538461533</v>
      </c>
      <c r="BD28" s="13">
        <f>IF('Données projet'!$A$88&gt;35,BD27+BC28-BL27,IF(A28&lt;'Données projet'!$A$88,$BA$205^A28,IF(A28='Données projet'!$A$88,'Données projet'!$B$88,BD27+BC28-BL27)))</f>
        <v>94.230769230769255</v>
      </c>
      <c r="BE28" s="14">
        <f>BD28*VLOOKUP('Données projet'!$B$11,Paramètres!$A$1:$I$89,3,0)*VLOOKUP('Données projet'!$B$11,Paramètres!$A$1:$I$89,5,0)</f>
        <v>89.67000000000003</v>
      </c>
      <c r="BF28" s="14">
        <f t="shared" si="37"/>
        <v>24.4856199329822</v>
      </c>
      <c r="BG28" s="22">
        <f t="shared" si="7"/>
        <v>198.82103804994404</v>
      </c>
      <c r="BH28" s="60">
        <f t="shared" si="8"/>
        <v>486.04326027216626</v>
      </c>
      <c r="BI28" s="60">
        <f ca="1">AVERAGE(OFFSET($BH$3,0,0,'Données projet'!$E$11+1,1))-AVERAGE(OFFSET($H$3,0,0,'Données projet'!$E$11+1,1))</f>
        <v>357.083670644861</v>
      </c>
      <c r="BJ28" s="60">
        <f t="shared" si="38"/>
        <v>299.88885091109654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3.4358974358974361</v>
      </c>
      <c r="BY28" s="13">
        <f>IF('Données projet'!$A$114&gt;35,BY27+BX28-CG27,IF(A28&lt;'Données projet'!$A$114,$BV$205^A28,IF(A28='Données projet'!$A$114,'Données projet'!$B$114,BY27+BX28-CG27)))</f>
        <v>47.603023568635017</v>
      </c>
      <c r="BZ28" s="14">
        <f>BY28*VLOOKUP('Données projet'!$B$12,Paramètres!$A$1:$I$89,3,0)*VLOOKUP('Données projet'!$B$12,Paramètres!$A$1:$I$89,5,0)</f>
        <v>22.278215030121189</v>
      </c>
      <c r="CA28" s="14">
        <f t="shared" si="39"/>
        <v>7.1538392768580321</v>
      </c>
      <c r="CB28" s="22">
        <f t="shared" si="10"/>
        <v>51.260827917988813</v>
      </c>
      <c r="CC28" s="60">
        <f t="shared" si="11"/>
        <v>338.48305014021105</v>
      </c>
      <c r="CD28" s="60">
        <f ca="1">AVERAGE(OFFSET($CC$3,0,0,'Données projet'!$E$12+1,1))-AVERAGE(OFFSET($H$3,0,0,'Données projet'!$E$12+1,1))</f>
        <v>245.98992992759543</v>
      </c>
      <c r="CE28" s="60">
        <f t="shared" si="40"/>
        <v>145.34368562171613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67.703999999999994</v>
      </c>
      <c r="CV28" s="14">
        <f t="shared" si="41"/>
        <v>19.102177882771514</v>
      </c>
      <c r="CW28" s="22">
        <f t="shared" si="13"/>
        <v>151.18742647916039</v>
      </c>
      <c r="CX28" s="60">
        <f t="shared" si="14"/>
        <v>438.40964870138259</v>
      </c>
      <c r="CY28" s="60">
        <f ca="1">AVERAGE(OFFSET($CX$3,0,0,'Données projet'!$E$13+1,1))-AVERAGE(OFFSET($H$3,0,0,'Données projet'!$E$13+1,1))</f>
        <v>455.50822833641354</v>
      </c>
      <c r="CZ28" s="60">
        <f t="shared" si="42"/>
        <v>261.14722581688039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75.347999999999999</v>
      </c>
      <c r="DQ28" s="14">
        <f t="shared" si="43"/>
        <v>20.99581051771704</v>
      </c>
      <c r="DR28" s="22">
        <f t="shared" si="16"/>
        <v>167.79880331835713</v>
      </c>
      <c r="DS28" s="60">
        <f t="shared" si="17"/>
        <v>455.02102554057933</v>
      </c>
      <c r="DT28" s="60">
        <f ca="1">AVERAGE(OFFSET($DS$3,0,0,'Données projet'!$E$14+1,1))-AVERAGE(OFFSET($H$3,0,0,'Données projet'!$E$14+1,1))</f>
        <v>502.07782026233912</v>
      </c>
      <c r="DU28" s="60">
        <f t="shared" si="44"/>
        <v>285.83623046025156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70</v>
      </c>
      <c r="EH28" s="13">
        <f>VLOOKUP(A28,'Données projet'!$A$191:$I$211,9,0)</f>
        <v>5.6</v>
      </c>
      <c r="EI28" s="13">
        <f t="array" ref="EI28">INDEX(EH:EH,MIN(IF(ISNUMBER(EH28:EH224),ROW(EH28:EH224),"")))</f>
        <v>5.6</v>
      </c>
      <c r="EJ28" s="13">
        <f>IF('Données projet'!$A$192&gt;35,EJ27+EI28-ER27,IF(A28&lt;'Données projet'!$A$192,$EG$205^A28,IF(A28='Données projet'!$A$192,'Données projet'!$B$192,EJ27+EI28-ER27)))</f>
        <v>70</v>
      </c>
      <c r="EK28" s="18">
        <f>EJ28*VLOOKUP('Données projet'!$B$15,Paramètres!$A$1:$I$89,3,0)*VLOOKUP('Données projet'!$B$15,Paramètres!$A$1:$I$89,5,0)</f>
        <v>63.335999999999991</v>
      </c>
      <c r="EL28" s="14">
        <f t="shared" si="45"/>
        <v>18.009040022946227</v>
      </c>
      <c r="EM28" s="22">
        <f t="shared" si="19"/>
        <v>141.67594470663133</v>
      </c>
      <c r="EN28" s="60">
        <f t="shared" si="20"/>
        <v>428.89816692885358</v>
      </c>
      <c r="EO28" s="60">
        <f ca="1">AVERAGE(OFFSET($EN$3,0,0,'Données projet'!$E$15+1,1))-AVERAGE(OFFSET($H$3,0,0,'Données projet'!$E$15+1,1))</f>
        <v>428.8489304403459</v>
      </c>
      <c r="EP28" s="60">
        <f t="shared" si="46"/>
        <v>247.01165577562966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 t="e">
        <f>N29*VLOOKUP('Données projet'!$B$9,Paramètres!$A$1:$I$89,3,0)*VLOOKUP('Données projet'!$B$9,Paramètres!$A$1:$I$89,5,0)</f>
        <v>#N/A</v>
      </c>
      <c r="P29" s="14" t="e">
        <f t="shared" si="33"/>
        <v>#N/A</v>
      </c>
      <c r="Q29" s="22" t="e">
        <f t="shared" si="2"/>
        <v>#N/A</v>
      </c>
      <c r="R29" s="60" t="e">
        <f t="shared" si="0"/>
        <v>#N/A</v>
      </c>
      <c r="S29" s="60" t="e">
        <f ca="1">AVERAGE(OFFSET($R$3,0,0,'Données projet'!$E$9+1,1))-AVERAGE(OFFSET($H$3,0,0,'Données projet'!$E$9+1,1))</f>
        <v>#N/A</v>
      </c>
      <c r="T29" s="60" t="e">
        <f t="shared" si="34"/>
        <v>#N/A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 t="e">
        <f>EXP(-LN(2)/35)*Z28+(1-EXP(-LN(2)/35))/(LN(2)/35)*V29*W29*VLOOKUP('Données projet'!$B$9,Paramètres!$A$1:$I$89,3,0)*0.475*44/12</f>
        <v>#N/A</v>
      </c>
      <c r="AA29" s="23" t="e">
        <f>EXP(-LN(2)/25)*AA28+(1-EXP(-LN(2)/25))/(LN(2)/25)*Calculateur!V29*Calculateur!X29*VLOOKUP('Données projet'!$B$9,Paramètres!$A$1:$I$89,3,0)*0.475*44/12</f>
        <v>#N/A</v>
      </c>
      <c r="AB29" s="23" t="e">
        <f>EXP(-LN(2)/2)*AB28+(1-EXP(-LN(2)/2))/(LN(2)/2)*V29*Y29*VLOOKUP('Données projet'!$B$9,Paramètres!$A$1:$I$89,3,0)*0.475*44/12</f>
        <v>#N/A</v>
      </c>
      <c r="AC29" s="24" t="e">
        <f t="shared" si="3"/>
        <v>#N/A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0" t="e">
        <f t="shared" si="5"/>
        <v>#N/A</v>
      </c>
      <c r="AN29" s="60" t="e">
        <f ca="1">AVERAGE(OFFSET($AM$3,0,0,'Données projet'!$E$10+1,1))-AVERAGE(OFFSET($H$3,0,0,'Données projet'!$E$10+1,1))</f>
        <v>#N/A</v>
      </c>
      <c r="AO29" s="60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6.2820512820512819</v>
      </c>
      <c r="BD29" s="13">
        <f>IF('Données projet'!$A$88&gt;35,BD28+BC29-BL28,IF(A29&lt;'Données projet'!$A$88,$BA$205^A29,IF(A29='Données projet'!$A$88,'Données projet'!$B$88,BD28+BC29-BL28)))</f>
        <v>100.51282051282054</v>
      </c>
      <c r="BE29" s="14">
        <f>BD29*VLOOKUP('Données projet'!$B$11,Paramètres!$A$1:$I$89,3,0)*VLOOKUP('Données projet'!$B$11,Paramètres!$A$1:$I$89,5,0)</f>
        <v>95.648000000000025</v>
      </c>
      <c r="BF29" s="14">
        <f t="shared" si="37"/>
        <v>25.922523940710363</v>
      </c>
      <c r="BG29" s="22">
        <f t="shared" si="7"/>
        <v>211.73532919673724</v>
      </c>
      <c r="BH29" s="60">
        <f t="shared" si="8"/>
        <v>500.17977364118167</v>
      </c>
      <c r="BI29" s="60">
        <f ca="1">AVERAGE(OFFSET($BH$3,0,0,'Données projet'!$E$11+1,1))-AVERAGE(OFFSET($H$3,0,0,'Données projet'!$E$11+1,1))</f>
        <v>357.083670644861</v>
      </c>
      <c r="BJ29" s="60">
        <f t="shared" si="38"/>
        <v>299.88885091109654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3.4358974358974361</v>
      </c>
      <c r="BY29" s="13">
        <f>IF('Données projet'!$A$114&gt;35,BY28+BX29-CG28,IF(A29&lt;'Données projet'!$A$114,$BV$205^A29,IF(A29='Données projet'!$A$114,'Données projet'!$B$114,BY28+BX29-CG28)))</f>
        <v>55.557145004199242</v>
      </c>
      <c r="BZ29" s="14">
        <f>BY29*VLOOKUP('Données projet'!$B$12,Paramètres!$A$1:$I$89,3,0)*VLOOKUP('Données projet'!$B$12,Paramètres!$A$1:$I$89,5,0)</f>
        <v>26.000743861965244</v>
      </c>
      <c r="CA29" s="14">
        <f t="shared" si="39"/>
        <v>8.2003708634455794</v>
      </c>
      <c r="CB29" s="22">
        <f t="shared" si="10"/>
        <v>59.56694148009052</v>
      </c>
      <c r="CC29" s="60">
        <f t="shared" si="11"/>
        <v>348.01138592453498</v>
      </c>
      <c r="CD29" s="60">
        <f ca="1">AVERAGE(OFFSET($CC$3,0,0,'Données projet'!$E$12+1,1))-AVERAGE(OFFSET($H$3,0,0,'Données projet'!$E$12+1,1))</f>
        <v>245.98992992759543</v>
      </c>
      <c r="CE29" s="60">
        <f t="shared" si="40"/>
        <v>145.34368562171613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74.474400000000003</v>
      </c>
      <c r="CV29" s="14">
        <f t="shared" si="41"/>
        <v>20.780570274034375</v>
      </c>
      <c r="CW29" s="22">
        <f t="shared" si="13"/>
        <v>165.90240656060988</v>
      </c>
      <c r="CX29" s="60">
        <f t="shared" si="14"/>
        <v>454.3468510050543</v>
      </c>
      <c r="CY29" s="60">
        <f ca="1">AVERAGE(OFFSET($CX$3,0,0,'Données projet'!$E$13+1,1))-AVERAGE(OFFSET($H$3,0,0,'Données projet'!$E$13+1,1))</f>
        <v>455.50822833641354</v>
      </c>
      <c r="CZ29" s="60">
        <f t="shared" si="42"/>
        <v>261.14722581688039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77</v>
      </c>
      <c r="DP29" s="18">
        <f>DO29*VLOOKUP('Données projet'!$B$14,Paramètres!$A$1:$I$89,3,0)*VLOOKUP('Données projet'!$B$14,Paramètres!$A$1:$I$89,5,0)</f>
        <v>82.882799999999989</v>
      </c>
      <c r="DQ29" s="14">
        <f t="shared" si="43"/>
        <v>22.840584911380041</v>
      </c>
      <c r="DR29" s="22">
        <f t="shared" si="16"/>
        <v>184.1348953873202</v>
      </c>
      <c r="DS29" s="60">
        <f t="shared" si="17"/>
        <v>472.57933983176463</v>
      </c>
      <c r="DT29" s="60">
        <f ca="1">AVERAGE(OFFSET($DS$3,0,0,'Données projet'!$E$14+1,1))-AVERAGE(OFFSET($H$3,0,0,'Données projet'!$E$14+1,1))</f>
        <v>502.07782026233912</v>
      </c>
      <c r="DU29" s="60">
        <f t="shared" si="44"/>
        <v>285.83623046025156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</v>
      </c>
      <c r="EJ29" s="13">
        <f>IF('Données projet'!$A$192&gt;35,EJ28+EI29-ER28,IF(A29&lt;'Données projet'!$A$192,$EG$205^A29,IF(A29='Données projet'!$A$192,'Données projet'!$B$192,EJ28+EI29-ER28)))</f>
        <v>77</v>
      </c>
      <c r="EK29" s="18">
        <f>EJ29*VLOOKUP('Données projet'!$B$15,Paramètres!$A$1:$I$89,3,0)*VLOOKUP('Données projet'!$B$15,Paramètres!$A$1:$I$89,5,0)</f>
        <v>69.669600000000003</v>
      </c>
      <c r="EL29" s="14">
        <f t="shared" si="45"/>
        <v>19.591385027476957</v>
      </c>
      <c r="EM29" s="22">
        <f t="shared" si="19"/>
        <v>155.46288225618903</v>
      </c>
      <c r="EN29" s="60">
        <f t="shared" si="20"/>
        <v>443.90732670063346</v>
      </c>
      <c r="EO29" s="60">
        <f ca="1">AVERAGE(OFFSET($EN$3,0,0,'Données projet'!$E$15+1,1))-AVERAGE(OFFSET($H$3,0,0,'Données projet'!$E$15+1,1))</f>
        <v>428.8489304403459</v>
      </c>
      <c r="EP29" s="60">
        <f t="shared" si="46"/>
        <v>247.01165577562966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 t="e">
        <f>N30*VLOOKUP('Données projet'!$B$9,Paramètres!$A$1:$I$89,3,0)*VLOOKUP('Données projet'!$B$9,Paramètres!$A$1:$I$89,5,0)</f>
        <v>#N/A</v>
      </c>
      <c r="P30" s="14" t="e">
        <f t="shared" si="33"/>
        <v>#N/A</v>
      </c>
      <c r="Q30" s="22" t="e">
        <f t="shared" si="2"/>
        <v>#N/A</v>
      </c>
      <c r="R30" s="60" t="e">
        <f t="shared" si="0"/>
        <v>#N/A</v>
      </c>
      <c r="S30" s="60" t="e">
        <f ca="1">AVERAGE(OFFSET($R$3,0,0,'Données projet'!$E$9+1,1))-AVERAGE(OFFSET($H$3,0,0,'Données projet'!$E$9+1,1))</f>
        <v>#N/A</v>
      </c>
      <c r="T30" s="60" t="e">
        <f t="shared" si="34"/>
        <v>#N/A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 t="e">
        <f>EXP(-LN(2)/35)*Z29+(1-EXP(-LN(2)/35))/(LN(2)/35)*V30*W30*VLOOKUP('Données projet'!$B$9,Paramètres!$A$1:$I$89,3,0)*0.475*44/12</f>
        <v>#N/A</v>
      </c>
      <c r="AA30" s="23" t="e">
        <f>EXP(-LN(2)/25)*AA29+(1-EXP(-LN(2)/25))/(LN(2)/25)*Calculateur!V30*Calculateur!X30*VLOOKUP('Données projet'!$B$9,Paramètres!$A$1:$I$89,3,0)*0.475*44/12</f>
        <v>#N/A</v>
      </c>
      <c r="AB30" s="23" t="e">
        <f>EXP(-LN(2)/2)*AB29+(1-EXP(-LN(2)/2))/(LN(2)/2)*V30*Y30*VLOOKUP('Données projet'!$B$9,Paramètres!$A$1:$I$89,3,0)*0.475*44/12</f>
        <v>#N/A</v>
      </c>
      <c r="AC30" s="24" t="e">
        <f t="shared" si="3"/>
        <v>#N/A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0" t="e">
        <f t="shared" si="5"/>
        <v>#N/A</v>
      </c>
      <c r="AN30" s="60" t="e">
        <f ca="1">AVERAGE(OFFSET($AM$3,0,0,'Données projet'!$E$10+1,1))-AVERAGE(OFFSET($H$3,0,0,'Données projet'!$E$10+1,1))</f>
        <v>#N/A</v>
      </c>
      <c r="AO30" s="60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6.2820512820512819</v>
      </c>
      <c r="BD30" s="13">
        <f>IF('Données projet'!$A$88&gt;35,BD29+BC30-BL29,IF(A30&lt;'Données projet'!$A$88,$BA$205^A30,IF(A30='Données projet'!$A$88,'Données projet'!$B$88,BD29+BC30-BL29)))</f>
        <v>106.79487179487182</v>
      </c>
      <c r="BE30" s="14">
        <f>BD30*VLOOKUP('Données projet'!$B$11,Paramètres!$A$1:$I$89,3,0)*VLOOKUP('Données projet'!$B$11,Paramètres!$A$1:$I$89,5,0)</f>
        <v>101.62600000000003</v>
      </c>
      <c r="BF30" s="14">
        <f t="shared" si="37"/>
        <v>27.349005243024372</v>
      </c>
      <c r="BG30" s="22">
        <f t="shared" si="7"/>
        <v>224.63146746493419</v>
      </c>
      <c r="BH30" s="60">
        <f t="shared" si="8"/>
        <v>514.29813413160082</v>
      </c>
      <c r="BI30" s="60">
        <f ca="1">AVERAGE(OFFSET($BH$3,0,0,'Données projet'!$E$11+1,1))-AVERAGE(OFFSET($H$3,0,0,'Données projet'!$E$11+1,1))</f>
        <v>357.083670644861</v>
      </c>
      <c r="BJ30" s="60">
        <f t="shared" si="38"/>
        <v>299.88885091109654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3.4358974358974361</v>
      </c>
      <c r="BY30" s="13">
        <f>IF('Données projet'!$A$114&gt;35,BY29+BX30-CG29,IF(A30&lt;'Données projet'!$A$114,$BV$205^A30,IF(A30='Données projet'!$A$114,'Données projet'!$B$114,BY29+BX30-CG29)))</f>
        <v>64.840342684688977</v>
      </c>
      <c r="BZ30" s="14">
        <f>BY30*VLOOKUP('Données projet'!$B$12,Paramètres!$A$1:$I$89,3,0)*VLOOKUP('Données projet'!$B$12,Paramètres!$A$1:$I$89,5,0)</f>
        <v>30.345280376434442</v>
      </c>
      <c r="CA30" s="14">
        <f t="shared" si="39"/>
        <v>9.3999990348653313</v>
      </c>
      <c r="CB30" s="22">
        <f t="shared" si="10"/>
        <v>69.223028308013781</v>
      </c>
      <c r="CC30" s="60">
        <f t="shared" si="11"/>
        <v>358.88969497468048</v>
      </c>
      <c r="CD30" s="60">
        <f ca="1">AVERAGE(OFFSET($CC$3,0,0,'Données projet'!$E$12+1,1))-AVERAGE(OFFSET($H$3,0,0,'Données projet'!$E$12+1,1))</f>
        <v>245.98992992759543</v>
      </c>
      <c r="CE30" s="60">
        <f t="shared" si="40"/>
        <v>145.34368562171613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81.244799999999998</v>
      </c>
      <c r="CV30" s="14">
        <f t="shared" si="41"/>
        <v>22.441270156928962</v>
      </c>
      <c r="CW30" s="22">
        <f t="shared" si="13"/>
        <v>180.58657218998462</v>
      </c>
      <c r="CX30" s="60">
        <f t="shared" si="14"/>
        <v>470.25323885665131</v>
      </c>
      <c r="CY30" s="60">
        <f ca="1">AVERAGE(OFFSET($CX$3,0,0,'Données projet'!$E$13+1,1))-AVERAGE(OFFSET($H$3,0,0,'Données projet'!$E$13+1,1))</f>
        <v>455.50822833641354</v>
      </c>
      <c r="CZ30" s="60">
        <f t="shared" si="42"/>
        <v>261.14722581688039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84</v>
      </c>
      <c r="DP30" s="18">
        <f>DO30*VLOOKUP('Données projet'!$B$14,Paramètres!$A$1:$I$89,3,0)*VLOOKUP('Données projet'!$B$14,Paramètres!$A$1:$I$89,5,0)</f>
        <v>90.417599999999993</v>
      </c>
      <c r="DQ30" s="14">
        <f t="shared" si="43"/>
        <v>24.665912907068826</v>
      </c>
      <c r="DR30" s="22">
        <f t="shared" si="16"/>
        <v>200.43711831314488</v>
      </c>
      <c r="DS30" s="60">
        <f t="shared" si="17"/>
        <v>490.10378497981156</v>
      </c>
      <c r="DT30" s="60">
        <f ca="1">AVERAGE(OFFSET($DS$3,0,0,'Données projet'!$E$14+1,1))-AVERAGE(OFFSET($H$3,0,0,'Données projet'!$E$14+1,1))</f>
        <v>502.07782026233912</v>
      </c>
      <c r="DU30" s="60">
        <f t="shared" si="44"/>
        <v>285.83623046025156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</v>
      </c>
      <c r="EJ30" s="13">
        <f>IF('Données projet'!$A$192&gt;35,EJ29+EI30-ER29,IF(A30&lt;'Données projet'!$A$192,$EG$205^A30,IF(A30='Données projet'!$A$192,'Données projet'!$B$192,EJ29+EI30-ER29)))</f>
        <v>84</v>
      </c>
      <c r="EK30" s="18">
        <f>EJ30*VLOOKUP('Données projet'!$B$15,Paramètres!$A$1:$I$89,3,0)*VLOOKUP('Données projet'!$B$15,Paramètres!$A$1:$I$89,5,0)</f>
        <v>76.003200000000007</v>
      </c>
      <c r="EL30" s="14">
        <f t="shared" si="45"/>
        <v>21.157049992000456</v>
      </c>
      <c r="EM30" s="22">
        <f t="shared" si="19"/>
        <v>169.22076873606747</v>
      </c>
      <c r="EN30" s="60">
        <f t="shared" si="20"/>
        <v>458.88743540273413</v>
      </c>
      <c r="EO30" s="60">
        <f ca="1">AVERAGE(OFFSET($EN$3,0,0,'Données projet'!$E$15+1,1))-AVERAGE(OFFSET($H$3,0,0,'Données projet'!$E$15+1,1))</f>
        <v>428.8489304403459</v>
      </c>
      <c r="EP30" s="60">
        <f t="shared" si="46"/>
        <v>247.01165577562966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 t="e">
        <f>N31*VLOOKUP('Données projet'!$B$9,Paramètres!$A$1:$I$89,3,0)*VLOOKUP('Données projet'!$B$9,Paramètres!$A$1:$I$89,5,0)</f>
        <v>#N/A</v>
      </c>
      <c r="P31" s="14" t="e">
        <f t="shared" si="33"/>
        <v>#N/A</v>
      </c>
      <c r="Q31" s="22" t="e">
        <f t="shared" si="2"/>
        <v>#N/A</v>
      </c>
      <c r="R31" s="60" t="e">
        <f t="shared" si="0"/>
        <v>#N/A</v>
      </c>
      <c r="S31" s="60" t="e">
        <f ca="1">AVERAGE(OFFSET($R$3,0,0,'Données projet'!$E$9+1,1))-AVERAGE(OFFSET($H$3,0,0,'Données projet'!$E$9+1,1))</f>
        <v>#N/A</v>
      </c>
      <c r="T31" s="60" t="e">
        <f t="shared" si="34"/>
        <v>#N/A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 t="e">
        <f>EXP(-LN(2)/35)*Z30+(1-EXP(-LN(2)/35))/(LN(2)/35)*V31*W31*VLOOKUP('Données projet'!$B$9,Paramètres!$A$1:$I$89,3,0)*0.475*44/12</f>
        <v>#N/A</v>
      </c>
      <c r="AA31" s="23" t="e">
        <f>EXP(-LN(2)/25)*AA30+(1-EXP(-LN(2)/25))/(LN(2)/25)*Calculateur!V31*Calculateur!X31*VLOOKUP('Données projet'!$B$9,Paramètres!$A$1:$I$89,3,0)*0.475*44/12</f>
        <v>#N/A</v>
      </c>
      <c r="AB31" s="23" t="e">
        <f>EXP(-LN(2)/2)*AB30+(1-EXP(-LN(2)/2))/(LN(2)/2)*V31*Y31*VLOOKUP('Données projet'!$B$9,Paramètres!$A$1:$I$89,3,0)*0.475*44/12</f>
        <v>#N/A</v>
      </c>
      <c r="AC31" s="24" t="e">
        <f t="shared" si="3"/>
        <v>#N/A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0" t="e">
        <f t="shared" si="5"/>
        <v>#N/A</v>
      </c>
      <c r="AN31" s="60" t="e">
        <f ca="1">AVERAGE(OFFSET($AM$3,0,0,'Données projet'!$E$10+1,1))-AVERAGE(OFFSET($H$3,0,0,'Données projet'!$E$10+1,1))</f>
        <v>#N/A</v>
      </c>
      <c r="AO31" s="60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6.2820512820512819</v>
      </c>
      <c r="BD31" s="13">
        <f>IF('Données projet'!$A$88&gt;35,BD30+BC31-BL30,IF(A31&lt;'Données projet'!$A$88,$BA$205^A31,IF(A31='Données projet'!$A$88,'Données projet'!$B$88,BD30+BC31-BL30)))</f>
        <v>113.07692307692311</v>
      </c>
      <c r="BE31" s="14">
        <f>BD31*VLOOKUP('Données projet'!$B$11,Paramètres!$A$1:$I$89,3,0)*VLOOKUP('Données projet'!$B$11,Paramètres!$A$1:$I$89,5,0)</f>
        <v>107.60400000000004</v>
      </c>
      <c r="BF31" s="14">
        <f t="shared" si="37"/>
        <v>28.765746777571831</v>
      </c>
      <c r="BG31" s="22">
        <f t="shared" si="7"/>
        <v>237.51064230427096</v>
      </c>
      <c r="BH31" s="60">
        <f t="shared" si="8"/>
        <v>528.39953119315987</v>
      </c>
      <c r="BI31" s="60">
        <f ca="1">AVERAGE(OFFSET($BH$3,0,0,'Données projet'!$E$11+1,1))-AVERAGE(OFFSET($H$3,0,0,'Données projet'!$E$11+1,1))</f>
        <v>357.083670644861</v>
      </c>
      <c r="BJ31" s="60">
        <f t="shared" si="38"/>
        <v>299.88885091109654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3.4358974358974361</v>
      </c>
      <c r="BY31" s="13">
        <f>IF('Données projet'!$A$114&gt;35,BY30+BX31-CG30,IF(A31&lt;'Données projet'!$A$114,$BV$205^A31,IF(A31='Données projet'!$A$114,'Données projet'!$B$114,BY30+BX31-CG30)))</f>
        <v>75.674695651659619</v>
      </c>
      <c r="BZ31" s="14">
        <f>BY31*VLOOKUP('Données projet'!$B$12,Paramètres!$A$1:$I$89,3,0)*VLOOKUP('Données projet'!$B$12,Paramètres!$A$1:$I$89,5,0)</f>
        <v>35.415757564976701</v>
      </c>
      <c r="CA31" s="14">
        <f t="shared" si="39"/>
        <v>10.775120214299996</v>
      </c>
      <c r="CB31" s="22">
        <f t="shared" si="10"/>
        <v>80.449112132240245</v>
      </c>
      <c r="CC31" s="60">
        <f t="shared" si="11"/>
        <v>371.33800102112912</v>
      </c>
      <c r="CD31" s="60">
        <f ca="1">AVERAGE(OFFSET($CC$3,0,0,'Données projet'!$E$12+1,1))-AVERAGE(OFFSET($H$3,0,0,'Données projet'!$E$12+1,1))</f>
        <v>245.98992992759543</v>
      </c>
      <c r="CE31" s="60">
        <f t="shared" si="40"/>
        <v>145.34368562171613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88.015200000000007</v>
      </c>
      <c r="CV31" s="14">
        <f t="shared" si="41"/>
        <v>24.085919530575829</v>
      </c>
      <c r="CW31" s="22">
        <f t="shared" si="13"/>
        <v>195.24278318241954</v>
      </c>
      <c r="CX31" s="60">
        <f t="shared" si="14"/>
        <v>486.1316720713084</v>
      </c>
      <c r="CY31" s="60">
        <f ca="1">AVERAGE(OFFSET($CX$3,0,0,'Données projet'!$E$13+1,1))-AVERAGE(OFFSET($H$3,0,0,'Données projet'!$E$13+1,1))</f>
        <v>455.50822833641354</v>
      </c>
      <c r="CZ31" s="60">
        <f t="shared" si="42"/>
        <v>261.14722581688039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91</v>
      </c>
      <c r="DP31" s="18">
        <f>DO31*VLOOKUP('Données projet'!$B$14,Paramètres!$A$1:$I$89,3,0)*VLOOKUP('Données projet'!$B$14,Paramètres!$A$1:$I$89,5,0)</f>
        <v>97.952399999999997</v>
      </c>
      <c r="DQ31" s="14">
        <f t="shared" si="43"/>
        <v>26.473599278177087</v>
      </c>
      <c r="DR31" s="22">
        <f t="shared" si="16"/>
        <v>216.70861540949173</v>
      </c>
      <c r="DS31" s="60">
        <f t="shared" si="17"/>
        <v>507.59750429838061</v>
      </c>
      <c r="DT31" s="60">
        <f ca="1">AVERAGE(OFFSET($DS$3,0,0,'Données projet'!$E$14+1,1))-AVERAGE(OFFSET($H$3,0,0,'Données projet'!$E$14+1,1))</f>
        <v>502.07782026233912</v>
      </c>
      <c r="DU31" s="60">
        <f t="shared" si="44"/>
        <v>285.83623046025156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</v>
      </c>
      <c r="EJ31" s="13">
        <f>IF('Données projet'!$A$192&gt;35,EJ30+EI31-ER30,IF(A31&lt;'Données projet'!$A$192,$EG$205^A31,IF(A31='Données projet'!$A$192,'Données projet'!$B$192,EJ30+EI31-ER30)))</f>
        <v>91</v>
      </c>
      <c r="EK31" s="18">
        <f>EJ31*VLOOKUP('Données projet'!$B$15,Paramètres!$A$1:$I$89,3,0)*VLOOKUP('Données projet'!$B$15,Paramètres!$A$1:$I$89,5,0)</f>
        <v>82.336799999999997</v>
      </c>
      <c r="EL31" s="14">
        <f t="shared" si="45"/>
        <v>22.707582950885364</v>
      </c>
      <c r="EM31" s="22">
        <f t="shared" si="19"/>
        <v>182.95230030612535</v>
      </c>
      <c r="EN31" s="60">
        <f t="shared" si="20"/>
        <v>473.84118919501418</v>
      </c>
      <c r="EO31" s="60">
        <f ca="1">AVERAGE(OFFSET($EN$3,0,0,'Données projet'!$E$15+1,1))-AVERAGE(OFFSET($H$3,0,0,'Données projet'!$E$15+1,1))</f>
        <v>428.8489304403459</v>
      </c>
      <c r="EP31" s="60">
        <f t="shared" si="46"/>
        <v>247.01165577562966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 t="e">
        <f>N32*VLOOKUP('Données projet'!$B$9,Paramètres!$A$1:$I$89,3,0)*VLOOKUP('Données projet'!$B$9,Paramètres!$A$1:$I$89,5,0)</f>
        <v>#N/A</v>
      </c>
      <c r="P32" s="14" t="e">
        <f t="shared" si="33"/>
        <v>#N/A</v>
      </c>
      <c r="Q32" s="22" t="e">
        <f t="shared" si="2"/>
        <v>#N/A</v>
      </c>
      <c r="R32" s="60" t="e">
        <f t="shared" si="0"/>
        <v>#N/A</v>
      </c>
      <c r="S32" s="60" t="e">
        <f ca="1">AVERAGE(OFFSET($R$3,0,0,'Données projet'!$E$9+1,1))-AVERAGE(OFFSET($H$3,0,0,'Données projet'!$E$9+1,1))</f>
        <v>#N/A</v>
      </c>
      <c r="T32" s="60" t="e">
        <f t="shared" si="34"/>
        <v>#N/A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 t="e">
        <f>EXP(-LN(2)/35)*Z31+(1-EXP(-LN(2)/35))/(LN(2)/35)*V32*W32*VLOOKUP('Données projet'!$B$9,Paramètres!$A$1:$I$89,3,0)*0.475*44/12</f>
        <v>#N/A</v>
      </c>
      <c r="AA32" s="23" t="e">
        <f>EXP(-LN(2)/25)*AA31+(1-EXP(-LN(2)/25))/(LN(2)/25)*Calculateur!V32*Calculateur!X32*VLOOKUP('Données projet'!$B$9,Paramètres!$A$1:$I$89,3,0)*0.475*44/12</f>
        <v>#N/A</v>
      </c>
      <c r="AB32" s="23" t="e">
        <f>EXP(-LN(2)/2)*AB31+(1-EXP(-LN(2)/2))/(LN(2)/2)*V32*Y32*VLOOKUP('Données projet'!$B$9,Paramètres!$A$1:$I$89,3,0)*0.475*44/12</f>
        <v>#N/A</v>
      </c>
      <c r="AC32" s="24" t="e">
        <f t="shared" si="3"/>
        <v>#N/A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0" t="e">
        <f t="shared" si="5"/>
        <v>#N/A</v>
      </c>
      <c r="AN32" s="60" t="e">
        <f ca="1">AVERAGE(OFFSET($AM$3,0,0,'Données projet'!$E$10+1,1))-AVERAGE(OFFSET($H$3,0,0,'Données projet'!$E$10+1,1))</f>
        <v>#N/A</v>
      </c>
      <c r="AO32" s="60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6.2820512820512819</v>
      </c>
      <c r="BD32" s="13">
        <f>IF('Données projet'!$A$88&gt;35,BD31+BC32-BL31,IF(A32&lt;'Données projet'!$A$88,$BA$205^A32,IF(A32='Données projet'!$A$88,'Données projet'!$B$88,BD31+BC32-BL31)))</f>
        <v>119.35897435897439</v>
      </c>
      <c r="BE32" s="14">
        <f>BD32*VLOOKUP('Données projet'!$B$11,Paramètres!$A$1:$I$89,3,0)*VLOOKUP('Données projet'!$B$11,Paramètres!$A$1:$I$89,5,0)</f>
        <v>113.58200000000004</v>
      </c>
      <c r="BF32" s="14">
        <f t="shared" si="37"/>
        <v>30.173351314306306</v>
      </c>
      <c r="BG32" s="22">
        <f t="shared" si="7"/>
        <v>250.37390353908356</v>
      </c>
      <c r="BH32" s="60">
        <f t="shared" si="8"/>
        <v>542.48501465019467</v>
      </c>
      <c r="BI32" s="60">
        <f ca="1">AVERAGE(OFFSET($BH$3,0,0,'Données projet'!$E$11+1,1))-AVERAGE(OFFSET($H$3,0,0,'Données projet'!$E$11+1,1))</f>
        <v>357.083670644861</v>
      </c>
      <c r="BJ32" s="60">
        <f t="shared" si="38"/>
        <v>299.88885091109654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3.4358974358974361</v>
      </c>
      <c r="BY32" s="13">
        <f>IF('Données projet'!$A$114&gt;35,BY31+BX32-CG31,IF(A32&lt;'Données projet'!$A$114,$BV$205^A32,IF(A32='Données projet'!$A$114,'Données projet'!$B$114,BY31+BX32-CG31)))</f>
        <v>88.319390750591623</v>
      </c>
      <c r="BZ32" s="14">
        <f>BY32*VLOOKUP('Données projet'!$B$12,Paramètres!$A$1:$I$89,3,0)*VLOOKUP('Données projet'!$B$12,Paramètres!$A$1:$I$89,5,0)</f>
        <v>41.333474871276877</v>
      </c>
      <c r="CA32" s="14">
        <f t="shared" si="39"/>
        <v>12.351407186530604</v>
      </c>
      <c r="CB32" s="22">
        <f t="shared" si="10"/>
        <v>93.501169584014704</v>
      </c>
      <c r="CC32" s="60">
        <f t="shared" si="11"/>
        <v>385.61228069512583</v>
      </c>
      <c r="CD32" s="60">
        <f ca="1">AVERAGE(OFFSET($CC$3,0,0,'Données projet'!$E$12+1,1))-AVERAGE(OFFSET($H$3,0,0,'Données projet'!$E$12+1,1))</f>
        <v>245.98992992759543</v>
      </c>
      <c r="CE32" s="60">
        <f t="shared" si="40"/>
        <v>145.34368562171613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94.785600000000002</v>
      </c>
      <c r="CV32" s="14">
        <f t="shared" si="41"/>
        <v>25.715893428674526</v>
      </c>
      <c r="CW32" s="22">
        <f t="shared" si="13"/>
        <v>209.87343438827483</v>
      </c>
      <c r="CX32" s="60">
        <f t="shared" si="14"/>
        <v>501.98454549938594</v>
      </c>
      <c r="CY32" s="60">
        <f ca="1">AVERAGE(OFFSET($CX$3,0,0,'Données projet'!$E$13+1,1))-AVERAGE(OFFSET($H$3,0,0,'Données projet'!$E$13+1,1))</f>
        <v>455.50822833641354</v>
      </c>
      <c r="CZ32" s="60">
        <f t="shared" si="42"/>
        <v>261.14722581688039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98</v>
      </c>
      <c r="DP32" s="18">
        <f>DO32*VLOOKUP('Données projet'!$B$14,Paramètres!$A$1:$I$89,3,0)*VLOOKUP('Données projet'!$B$14,Paramètres!$A$1:$I$89,5,0)</f>
        <v>105.48719999999999</v>
      </c>
      <c r="DQ32" s="14">
        <f t="shared" si="43"/>
        <v>28.265155367923839</v>
      </c>
      <c r="DR32" s="22">
        <f t="shared" si="16"/>
        <v>232.95201893246733</v>
      </c>
      <c r="DS32" s="60">
        <f t="shared" si="17"/>
        <v>525.06313004357844</v>
      </c>
      <c r="DT32" s="60">
        <f ca="1">AVERAGE(OFFSET($DS$3,0,0,'Données projet'!$E$14+1,1))-AVERAGE(OFFSET($H$3,0,0,'Données projet'!$E$14+1,1))</f>
        <v>502.07782026233912</v>
      </c>
      <c r="DU32" s="60">
        <f t="shared" si="44"/>
        <v>285.83623046025156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</v>
      </c>
      <c r="EJ32" s="13">
        <f>IF('Données projet'!$A$192&gt;35,EJ31+EI32-ER31,IF(A32&lt;'Données projet'!$A$192,$EG$205^A32,IF(A32='Données projet'!$A$192,'Données projet'!$B$192,EJ31+EI32-ER31)))</f>
        <v>98</v>
      </c>
      <c r="EK32" s="18">
        <f>EJ32*VLOOKUP('Données projet'!$B$15,Paramètres!$A$1:$I$89,3,0)*VLOOKUP('Données projet'!$B$15,Paramètres!$A$1:$I$89,5,0)</f>
        <v>88.670400000000001</v>
      </c>
      <c r="EL32" s="14">
        <f t="shared" si="45"/>
        <v>24.244280250395512</v>
      </c>
      <c r="EM32" s="22">
        <f t="shared" si="19"/>
        <v>196.65973476943884</v>
      </c>
      <c r="EN32" s="60">
        <f t="shared" si="20"/>
        <v>488.77084588054998</v>
      </c>
      <c r="EO32" s="60">
        <f ca="1">AVERAGE(OFFSET($EN$3,0,0,'Données projet'!$E$15+1,1))-AVERAGE(OFFSET($H$3,0,0,'Données projet'!$E$15+1,1))</f>
        <v>428.8489304403459</v>
      </c>
      <c r="EP32" s="60">
        <f t="shared" si="46"/>
        <v>247.01165577562966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 t="e">
        <f>N33*VLOOKUP('Données projet'!$B$9,Paramètres!$A$1:$I$89,3,0)*VLOOKUP('Données projet'!$B$9,Paramètres!$A$1:$I$89,5,0)</f>
        <v>#N/A</v>
      </c>
      <c r="P33" s="14" t="e">
        <f t="shared" si="33"/>
        <v>#N/A</v>
      </c>
      <c r="Q33" s="22" t="e">
        <f t="shared" si="2"/>
        <v>#N/A</v>
      </c>
      <c r="R33" s="60" t="e">
        <f t="shared" si="0"/>
        <v>#N/A</v>
      </c>
      <c r="S33" s="60" t="e">
        <f ca="1">AVERAGE(OFFSET($R$3,0,0,'Données projet'!$E$9+1,1))-AVERAGE(OFFSET($H$3,0,0,'Données projet'!$E$9+1,1))</f>
        <v>#N/A</v>
      </c>
      <c r="T33" s="60" t="e">
        <f t="shared" si="34"/>
        <v>#N/A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 t="e">
        <f>EXP(-LN(2)/35)*Z32+(1-EXP(-LN(2)/35))/(LN(2)/35)*V33*W33*VLOOKUP('Données projet'!$B$9,Paramètres!$A$1:$I$89,3,0)*0.475*44/12</f>
        <v>#N/A</v>
      </c>
      <c r="AA33" s="23" t="e">
        <f>EXP(-LN(2)/25)*AA32+(1-EXP(-LN(2)/25))/(LN(2)/25)*Calculateur!V33*Calculateur!X33*VLOOKUP('Données projet'!$B$9,Paramètres!$A$1:$I$89,3,0)*0.475*44/12</f>
        <v>#N/A</v>
      </c>
      <c r="AB33" s="23" t="e">
        <f>EXP(-LN(2)/2)*AB32+(1-EXP(-LN(2)/2))/(LN(2)/2)*V33*Y33*VLOOKUP('Données projet'!$B$9,Paramètres!$A$1:$I$89,3,0)*0.475*44/12</f>
        <v>#N/A</v>
      </c>
      <c r="AC33" s="24" t="e">
        <f t="shared" si="3"/>
        <v>#N/A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0" t="e">
        <f t="shared" si="5"/>
        <v>#N/A</v>
      </c>
      <c r="AN33" s="60" t="e">
        <f ca="1">AVERAGE(OFFSET($AM$3,0,0,'Données projet'!$E$10+1,1))-AVERAGE(OFFSET($H$3,0,0,'Données projet'!$E$10+1,1))</f>
        <v>#N/A</v>
      </c>
      <c r="AO33" s="60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125.64102564102564</v>
      </c>
      <c r="BB33" s="13">
        <f>VLOOKUP(A33,'Données projet'!$A$87:$I$107,9,0)</f>
        <v>6.2820512820512819</v>
      </c>
      <c r="BC33" s="13">
        <f t="array" ref="BC33">INDEX(BB:BB,MIN(IF(ISNUMBER(BB33:BB229),ROW(BB33:BB229),"")))</f>
        <v>6.2820512820512819</v>
      </c>
      <c r="BD33" s="13">
        <f>IF('Données projet'!$A$88&gt;35,BD32+BC33-BL32,IF(A33&lt;'Données projet'!$A$88,$BA$205^A33,IF(A33='Données projet'!$A$88,'Données projet'!$B$88,BD32+BC33-BL32)))</f>
        <v>125.64102564102568</v>
      </c>
      <c r="BE33" s="14">
        <f>BD33*VLOOKUP('Données projet'!$B$11,Paramètres!$A$1:$I$89,3,0)*VLOOKUP('Données projet'!$B$11,Paramètres!$A$1:$I$89,5,0)</f>
        <v>119.56000000000004</v>
      </c>
      <c r="BF33" s="14">
        <f t="shared" si="37"/>
        <v>31.572354590103288</v>
      </c>
      <c r="BG33" s="22">
        <f t="shared" si="7"/>
        <v>263.22218424442991</v>
      </c>
      <c r="BH33" s="60">
        <f t="shared" si="8"/>
        <v>556.55551757776323</v>
      </c>
      <c r="BI33" s="60">
        <f ca="1">AVERAGE(OFFSET($BH$3,0,0,'Données projet'!$E$11+1,1))-AVERAGE(OFFSET($H$3,0,0,'Données projet'!$E$11+1,1))</f>
        <v>357.083670644861</v>
      </c>
      <c r="BJ33" s="60">
        <f t="shared" si="38"/>
        <v>299.88885091109654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39.743589743589745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103.07692307692308</v>
      </c>
      <c r="BW33" s="13">
        <f>VLOOKUP(A33,'Données projet'!$A$113:$I$133,9,0)</f>
        <v>3.4358974358974361</v>
      </c>
      <c r="BX33" s="13">
        <f t="array" ref="BX33">INDEX(BW:BW,MIN(IF(ISNUMBER(BW33:BW229),ROW(BW33:BW229),"")))</f>
        <v>3.4358974358974361</v>
      </c>
      <c r="BY33" s="13">
        <f>IF('Données projet'!$A$114&gt;35,BY32+BX33-CG32,IF(A33&lt;'Données projet'!$A$114,$BV$205^A33,IF(A33='Données projet'!$A$114,'Données projet'!$B$114,BY32+BX33-CG32)))</f>
        <v>103.07692307692308</v>
      </c>
      <c r="BZ33" s="14">
        <f>BY33*VLOOKUP('Données projet'!$B$12,Paramètres!$A$1:$I$89,3,0)*VLOOKUP('Données projet'!$B$12,Paramètres!$A$1:$I$89,5,0)</f>
        <v>48.240000000000009</v>
      </c>
      <c r="CA33" s="14">
        <f t="shared" si="39"/>
        <v>14.15828839524373</v>
      </c>
      <c r="CB33" s="22">
        <f t="shared" si="10"/>
        <v>108.6770189550495</v>
      </c>
      <c r="CC33" s="60">
        <f t="shared" si="11"/>
        <v>402.01035228838282</v>
      </c>
      <c r="CD33" s="60">
        <f ca="1">AVERAGE(OFFSET($CC$3,0,0,'Données projet'!$E$12+1,1))-AVERAGE(OFFSET($H$3,0,0,'Données projet'!$E$12+1,1))</f>
        <v>245.98992992759543</v>
      </c>
      <c r="CE33" s="60">
        <f t="shared" si="40"/>
        <v>145.34368562171613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101.556</v>
      </c>
      <c r="CV33" s="14">
        <f t="shared" si="41"/>
        <v>27.332359320696909</v>
      </c>
      <c r="CW33" s="22">
        <f t="shared" si="13"/>
        <v>224.48055915021379</v>
      </c>
      <c r="CX33" s="60">
        <f t="shared" si="14"/>
        <v>517.81389248354708</v>
      </c>
      <c r="CY33" s="60">
        <f ca="1">AVERAGE(OFFSET($CX$3,0,0,'Données projet'!$E$13+1,1))-AVERAGE(OFFSET($H$3,0,0,'Données projet'!$E$13+1,1))</f>
        <v>455.50822833641354</v>
      </c>
      <c r="CZ33" s="60">
        <f t="shared" si="42"/>
        <v>261.14722581688039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105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105</v>
      </c>
      <c r="DP33" s="18">
        <f>DO33*VLOOKUP('Données projet'!$B$14,Paramètres!$A$1:$I$89,3,0)*VLOOKUP('Données projet'!$B$14,Paramètres!$A$1:$I$89,5,0)</f>
        <v>113.02199999999999</v>
      </c>
      <c r="DQ33" s="14">
        <f t="shared" si="43"/>
        <v>30.041864379091852</v>
      </c>
      <c r="DR33" s="22">
        <f t="shared" si="16"/>
        <v>249.16956379358496</v>
      </c>
      <c r="DS33" s="60">
        <f t="shared" si="17"/>
        <v>542.50289712691824</v>
      </c>
      <c r="DT33" s="60">
        <f ca="1">AVERAGE(OFFSET($DS$3,0,0,'Données projet'!$E$14+1,1))-AVERAGE(OFFSET($H$3,0,0,'Données projet'!$E$14+1,1))</f>
        <v>502.07782026233912</v>
      </c>
      <c r="DU33" s="60">
        <f t="shared" si="44"/>
        <v>285.83623046025156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105</v>
      </c>
      <c r="EH33" s="13">
        <f>VLOOKUP(A33,'Données projet'!$A$191:$I$211,9,0)</f>
        <v>7</v>
      </c>
      <c r="EI33" s="13">
        <f t="array" ref="EI33">INDEX(EH:EH,MIN(IF(ISNUMBER(EH33:EH229),ROW(EH33:EH229),"")))</f>
        <v>7</v>
      </c>
      <c r="EJ33" s="13">
        <f>IF('Données projet'!$A$192&gt;35,EJ32+EI33-ER32,IF(A33&lt;'Données projet'!$A$192,$EG$205^A33,IF(A33='Données projet'!$A$192,'Données projet'!$B$192,EJ32+EI33-ER32)))</f>
        <v>105</v>
      </c>
      <c r="EK33" s="18">
        <f>EJ33*VLOOKUP('Données projet'!$B$15,Paramètres!$A$1:$I$89,3,0)*VLOOKUP('Données projet'!$B$15,Paramètres!$A$1:$I$89,5,0)</f>
        <v>95.004000000000005</v>
      </c>
      <c r="EL33" s="14">
        <f t="shared" si="45"/>
        <v>25.768242550600785</v>
      </c>
      <c r="EM33" s="22">
        <f t="shared" si="19"/>
        <v>210.34498910896306</v>
      </c>
      <c r="EN33" s="60">
        <f t="shared" si="20"/>
        <v>503.67832244229635</v>
      </c>
      <c r="EO33" s="60">
        <f ca="1">AVERAGE(OFFSET($EN$3,0,0,'Données projet'!$E$15+1,1))-AVERAGE(OFFSET($H$3,0,0,'Données projet'!$E$15+1,1))</f>
        <v>428.8489304403459</v>
      </c>
      <c r="EP33" s="60">
        <f t="shared" si="46"/>
        <v>247.01165577562966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29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 t="e">
        <f>N34*VLOOKUP('Données projet'!$B$9,Paramètres!$A$1:$I$89,3,0)*VLOOKUP('Données projet'!$B$9,Paramètres!$A$1:$I$89,5,0)</f>
        <v>#N/A</v>
      </c>
      <c r="P34" s="14" t="e">
        <f t="shared" si="33"/>
        <v>#N/A</v>
      </c>
      <c r="Q34" s="22" t="e">
        <f t="shared" si="2"/>
        <v>#N/A</v>
      </c>
      <c r="R34" s="60" t="e">
        <f t="shared" si="0"/>
        <v>#N/A</v>
      </c>
      <c r="S34" s="60" t="e">
        <f ca="1">AVERAGE(OFFSET($R$3,0,0,'Données projet'!$E$9+1,1))-AVERAGE(OFFSET($H$3,0,0,'Données projet'!$E$9+1,1))</f>
        <v>#N/A</v>
      </c>
      <c r="T34" s="60" t="e">
        <f t="shared" si="34"/>
        <v>#N/A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 t="e">
        <f>EXP(-LN(2)/35)*Z33+(1-EXP(-LN(2)/35))/(LN(2)/35)*V34*W34*VLOOKUP('Données projet'!$B$9,Paramètres!$A$1:$I$89,3,0)*0.475*44/12</f>
        <v>#N/A</v>
      </c>
      <c r="AA34" s="23" t="e">
        <f>EXP(-LN(2)/25)*AA33+(1-EXP(-LN(2)/25))/(LN(2)/25)*Calculateur!V34*Calculateur!X34*VLOOKUP('Données projet'!$B$9,Paramètres!$A$1:$I$89,3,0)*0.475*44/12</f>
        <v>#N/A</v>
      </c>
      <c r="AB34" s="23" t="e">
        <f>EXP(-LN(2)/2)*AB33+(1-EXP(-LN(2)/2))/(LN(2)/2)*V34*Y34*VLOOKUP('Données projet'!$B$9,Paramètres!$A$1:$I$89,3,0)*0.475*44/12</f>
        <v>#N/A</v>
      </c>
      <c r="AC34" s="24" t="e">
        <f t="shared" si="3"/>
        <v>#N/A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0" t="e">
        <f t="shared" si="5"/>
        <v>#N/A</v>
      </c>
      <c r="AN34" s="60" t="e">
        <f ca="1">AVERAGE(OFFSET($AM$3,0,0,'Données projet'!$E$10+1,1))-AVERAGE(OFFSET($H$3,0,0,'Données projet'!$E$10+1,1))</f>
        <v>#N/A</v>
      </c>
      <c r="AO34" s="60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6.1538461538461551</v>
      </c>
      <c r="BD34" s="13">
        <f>IF('Données projet'!$A$88&gt;35,BD33+BC34-BL33,IF(A34&lt;'Données projet'!$A$88,$BA$205^A34,IF(A34='Données projet'!$A$88,'Données projet'!$B$88,BD33+BC34-BL33)))</f>
        <v>92.051282051282072</v>
      </c>
      <c r="BE34" s="14">
        <f>BD34*VLOOKUP('Données projet'!$B$11,Paramètres!$A$1:$I$89,3,0)*VLOOKUP('Données projet'!$B$11,Paramètres!$A$1:$I$89,5,0)</f>
        <v>87.596000000000018</v>
      </c>
      <c r="BF34" s="14">
        <f t="shared" si="37"/>
        <v>23.98452766503992</v>
      </c>
      <c r="BG34" s="22">
        <f t="shared" si="7"/>
        <v>194.3360856832779</v>
      </c>
      <c r="BH34" s="60">
        <f t="shared" si="8"/>
        <v>487.66941901661119</v>
      </c>
      <c r="BI34" s="60">
        <f ca="1">AVERAGE(OFFSET($BH$3,0,0,'Données projet'!$E$11+1,1))-AVERAGE(OFFSET($H$3,0,0,'Données projet'!$E$11+1,1))</f>
        <v>357.083670644861</v>
      </c>
      <c r="BJ34" s="60">
        <f t="shared" si="38"/>
        <v>299.88885091109654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10.402930402930403</v>
      </c>
      <c r="BY34" s="13">
        <f>IF('Données projet'!$A$114&gt;35,BY33+BX34-CG33,IF(A34&lt;'Données projet'!$A$114,$BV$205^A34,IF(A34='Données projet'!$A$114,'Données projet'!$B$114,BY33+BX34-CG33)))</f>
        <v>113.47985347985349</v>
      </c>
      <c r="BZ34" s="14">
        <f>BY34*VLOOKUP('Données projet'!$B$12,Paramètres!$A$1:$I$89,3,0)*VLOOKUP('Données projet'!$B$12,Paramètres!$A$1:$I$89,5,0)</f>
        <v>53.108571428571437</v>
      </c>
      <c r="CA34" s="14">
        <f t="shared" si="39"/>
        <v>15.413722027781299</v>
      </c>
      <c r="CB34" s="22">
        <f t="shared" si="10"/>
        <v>119.34299443648099</v>
      </c>
      <c r="CC34" s="60">
        <f t="shared" si="11"/>
        <v>412.67632776981429</v>
      </c>
      <c r="CD34" s="60">
        <f ca="1">AVERAGE(OFFSET($CC$3,0,0,'Données projet'!$E$12+1,1))-AVERAGE(OFFSET($H$3,0,0,'Données projet'!$E$12+1,1))</f>
        <v>245.98992992759543</v>
      </c>
      <c r="CE34" s="60">
        <f t="shared" si="40"/>
        <v>145.34368562171613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81.244799999999998</v>
      </c>
      <c r="CV34" s="14">
        <f t="shared" si="41"/>
        <v>22.441270156928962</v>
      </c>
      <c r="CW34" s="22">
        <f t="shared" si="13"/>
        <v>180.58657218998462</v>
      </c>
      <c r="CX34" s="60">
        <f t="shared" si="14"/>
        <v>473.91990552331794</v>
      </c>
      <c r="CY34" s="60">
        <f ca="1">AVERAGE(OFFSET($CX$3,0,0,'Données projet'!$E$13+1,1))-AVERAGE(OFFSET($H$3,0,0,'Données projet'!$E$13+1,1))</f>
        <v>455.50822833641354</v>
      </c>
      <c r="CZ34" s="60">
        <f t="shared" si="42"/>
        <v>261.14722581688039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90.417599999999993</v>
      </c>
      <c r="DQ34" s="14">
        <f t="shared" si="43"/>
        <v>24.665912907068826</v>
      </c>
      <c r="DR34" s="22">
        <f t="shared" si="16"/>
        <v>200.43711831314488</v>
      </c>
      <c r="DS34" s="60">
        <f t="shared" si="17"/>
        <v>493.77045164647819</v>
      </c>
      <c r="DT34" s="60">
        <f ca="1">AVERAGE(OFFSET($DS$3,0,0,'Données projet'!$E$14+1,1))-AVERAGE(OFFSET($H$3,0,0,'Données projet'!$E$14+1,1))</f>
        <v>502.07782026233912</v>
      </c>
      <c r="DU34" s="60">
        <f t="shared" si="44"/>
        <v>285.83623046025156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</v>
      </c>
      <c r="EJ34" s="13">
        <f>IF('Données projet'!$A$192&gt;35,EJ33+EI34-ER33,IF(A34&lt;'Données projet'!$A$192,$EG$205^A34,IF(A34='Données projet'!$A$192,'Données projet'!$B$192,EJ33+EI34-ER33)))</f>
        <v>84</v>
      </c>
      <c r="EK34" s="18">
        <f>EJ34*VLOOKUP('Données projet'!$B$15,Paramètres!$A$1:$I$89,3,0)*VLOOKUP('Données projet'!$B$15,Paramètres!$A$1:$I$89,5,0)</f>
        <v>76.003200000000007</v>
      </c>
      <c r="EL34" s="14">
        <f t="shared" si="45"/>
        <v>21.157049992000456</v>
      </c>
      <c r="EM34" s="22">
        <f t="shared" si="19"/>
        <v>169.22076873606747</v>
      </c>
      <c r="EN34" s="60">
        <f t="shared" si="20"/>
        <v>462.55410206940076</v>
      </c>
      <c r="EO34" s="60">
        <f ca="1">AVERAGE(OFFSET($EN$3,0,0,'Données projet'!$E$15+1,1))-AVERAGE(OFFSET($H$3,0,0,'Données projet'!$E$15+1,1))</f>
        <v>428.8489304403459</v>
      </c>
      <c r="EP34" s="60">
        <f t="shared" si="46"/>
        <v>247.01165577562966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 t="e">
        <f>N35*VLOOKUP('Données projet'!$B$9,Paramètres!$A$1:$I$89,3,0)*VLOOKUP('Données projet'!$B$9,Paramètres!$A$1:$I$89,5,0)</f>
        <v>#N/A</v>
      </c>
      <c r="P35" s="14" t="e">
        <f t="shared" si="33"/>
        <v>#N/A</v>
      </c>
      <c r="Q35" s="22" t="e">
        <f t="shared" ref="Q35:Q66" si="53">(O35+P35)*0.475*44/12</f>
        <v>#N/A</v>
      </c>
      <c r="R35" s="60" t="e">
        <f t="shared" si="0"/>
        <v>#N/A</v>
      </c>
      <c r="S35" s="60" t="e">
        <f ca="1">AVERAGE(OFFSET($R$3,0,0,'Données projet'!$E$9+1,1))-AVERAGE(OFFSET($H$3,0,0,'Données projet'!$E$9+1,1))</f>
        <v>#N/A</v>
      </c>
      <c r="T35" s="60" t="e">
        <f t="shared" si="34"/>
        <v>#N/A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 t="e">
        <f>EXP(-LN(2)/35)*Z34+(1-EXP(-LN(2)/35))/(LN(2)/35)*V35*W35*VLOOKUP('Données projet'!$B$9,Paramètres!$A$1:$I$89,3,0)*0.475*44/12</f>
        <v>#N/A</v>
      </c>
      <c r="AA35" s="23" t="e">
        <f>EXP(-LN(2)/25)*AA34+(1-EXP(-LN(2)/25))/(LN(2)/25)*Calculateur!V35*Calculateur!X35*VLOOKUP('Données projet'!$B$9,Paramètres!$A$1:$I$89,3,0)*0.475*44/12</f>
        <v>#N/A</v>
      </c>
      <c r="AB35" s="23" t="e">
        <f>EXP(-LN(2)/2)*AB34+(1-EXP(-LN(2)/2))/(LN(2)/2)*V35*Y35*VLOOKUP('Données projet'!$B$9,Paramètres!$A$1:$I$89,3,0)*0.475*44/12</f>
        <v>#N/A</v>
      </c>
      <c r="AC35" s="24" t="e">
        <f t="shared" si="3"/>
        <v>#N/A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0" t="e">
        <f t="shared" si="5"/>
        <v>#N/A</v>
      </c>
      <c r="AN35" s="60" t="e">
        <f ca="1">AVERAGE(OFFSET($AM$3,0,0,'Données projet'!$E$10+1,1))-AVERAGE(OFFSET($H$3,0,0,'Données projet'!$E$10+1,1))</f>
        <v>#N/A</v>
      </c>
      <c r="AO35" s="60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6.1538461538461551</v>
      </c>
      <c r="BD35" s="13">
        <f>IF('Données projet'!$A$88&gt;35,BD34+BC35-BL34,IF(A35&lt;'Données projet'!$A$88,$BA$205^A35,IF(A35='Données projet'!$A$88,'Données projet'!$B$88,BD34+BC35-BL34)))</f>
        <v>98.205128205128233</v>
      </c>
      <c r="BE35" s="14">
        <f>BD35*VLOOKUP('Données projet'!$B$11,Paramètres!$A$1:$I$89,3,0)*VLOOKUP('Données projet'!$B$11,Paramètres!$A$1:$I$89,5,0)</f>
        <v>93.452000000000027</v>
      </c>
      <c r="BF35" s="14">
        <f t="shared" si="37"/>
        <v>25.395931798937337</v>
      </c>
      <c r="BG35" s="22">
        <f t="shared" si="7"/>
        <v>206.99348121648259</v>
      </c>
      <c r="BH35" s="60">
        <f t="shared" si="8"/>
        <v>500.32681454981594</v>
      </c>
      <c r="BI35" s="60">
        <f ca="1">AVERAGE(OFFSET($BH$3,0,0,'Données projet'!$E$11+1,1))-AVERAGE(OFFSET($H$3,0,0,'Données projet'!$E$11+1,1))</f>
        <v>357.083670644861</v>
      </c>
      <c r="BJ35" s="60">
        <f t="shared" si="38"/>
        <v>299.88885091109654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10.402930402930403</v>
      </c>
      <c r="BY35" s="13">
        <f>IF('Données projet'!$A$114&gt;35,BY34+BX35-CG34,IF(A35&lt;'Données projet'!$A$114,$BV$205^A35,IF(A35='Données projet'!$A$114,'Données projet'!$B$114,BY34+BX35-CG34)))</f>
        <v>123.8827838827839</v>
      </c>
      <c r="BZ35" s="14">
        <f>BY35*VLOOKUP('Données projet'!$B$12,Paramètres!$A$1:$I$89,3,0)*VLOOKUP('Données projet'!$B$12,Paramètres!$A$1:$I$89,5,0)</f>
        <v>57.977142857142866</v>
      </c>
      <c r="CA35" s="14">
        <f t="shared" si="39"/>
        <v>16.655810903261287</v>
      </c>
      <c r="CB35" s="22">
        <f t="shared" si="10"/>
        <v>129.98572779937055</v>
      </c>
      <c r="CC35" s="60">
        <f t="shared" si="11"/>
        <v>423.31906113270384</v>
      </c>
      <c r="CD35" s="60">
        <f ca="1">AVERAGE(OFFSET($CC$3,0,0,'Données projet'!$E$12+1,1))-AVERAGE(OFFSET($H$3,0,0,'Données projet'!$E$12+1,1))</f>
        <v>245.98992992759543</v>
      </c>
      <c r="CE35" s="60">
        <f t="shared" si="40"/>
        <v>145.34368562171613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88.982399999999998</v>
      </c>
      <c r="CV35" s="14">
        <f t="shared" si="41"/>
        <v>24.31964219550628</v>
      </c>
      <c r="CW35" s="22">
        <f t="shared" si="13"/>
        <v>197.3343901571734</v>
      </c>
      <c r="CX35" s="60">
        <f t="shared" si="14"/>
        <v>490.66772349050672</v>
      </c>
      <c r="CY35" s="60">
        <f ca="1">AVERAGE(OFFSET($CX$3,0,0,'Données projet'!$E$13+1,1))-AVERAGE(OFFSET($H$3,0,0,'Données projet'!$E$13+1,1))</f>
        <v>455.50822833641354</v>
      </c>
      <c r="CZ35" s="60">
        <f t="shared" si="42"/>
        <v>261.14722581688039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99.028800000000004</v>
      </c>
      <c r="DQ35" s="14">
        <f t="shared" si="43"/>
        <v>26.730491283721712</v>
      </c>
      <c r="DR35" s="22">
        <f t="shared" si="16"/>
        <v>219.03076565248196</v>
      </c>
      <c r="DS35" s="60">
        <f t="shared" si="17"/>
        <v>512.3640989858153</v>
      </c>
      <c r="DT35" s="60">
        <f ca="1">AVERAGE(OFFSET($DS$3,0,0,'Données projet'!$E$14+1,1))-AVERAGE(OFFSET($H$3,0,0,'Données projet'!$E$14+1,1))</f>
        <v>502.07782026233912</v>
      </c>
      <c r="DU35" s="60">
        <f t="shared" si="44"/>
        <v>285.83623046025156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</v>
      </c>
      <c r="EJ35" s="13">
        <f>IF('Données projet'!$A$192&gt;35,EJ34+EI35-ER34,IF(A35&lt;'Données projet'!$A$192,$EG$205^A35,IF(A35='Données projet'!$A$192,'Données projet'!$B$192,EJ34+EI35-ER34)))</f>
        <v>92</v>
      </c>
      <c r="EK35" s="18">
        <f>EJ35*VLOOKUP('Données projet'!$B$15,Paramètres!$A$1:$I$89,3,0)*VLOOKUP('Données projet'!$B$15,Paramètres!$A$1:$I$89,5,0)</f>
        <v>83.241600000000005</v>
      </c>
      <c r="EL35" s="14">
        <f t="shared" si="45"/>
        <v>22.927930643846508</v>
      </c>
      <c r="EM35" s="22">
        <f t="shared" si="19"/>
        <v>184.91193253803269</v>
      </c>
      <c r="EN35" s="60">
        <f t="shared" si="20"/>
        <v>478.24526587136597</v>
      </c>
      <c r="EO35" s="60">
        <f ca="1">AVERAGE(OFFSET($EN$3,0,0,'Données projet'!$E$15+1,1))-AVERAGE(OFFSET($H$3,0,0,'Données projet'!$E$15+1,1))</f>
        <v>428.8489304403459</v>
      </c>
      <c r="EP35" s="60">
        <f t="shared" si="46"/>
        <v>247.01165577562966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 t="e">
        <f>N36*VLOOKUP('Données projet'!$B$9,Paramètres!$A$1:$I$89,3,0)*VLOOKUP('Données projet'!$B$9,Paramètres!$A$1:$I$89,5,0)</f>
        <v>#N/A</v>
      </c>
      <c r="P36" s="14" t="e">
        <f t="shared" si="33"/>
        <v>#N/A</v>
      </c>
      <c r="Q36" s="22" t="e">
        <f t="shared" si="53"/>
        <v>#N/A</v>
      </c>
      <c r="R36" s="60" t="e">
        <f t="shared" si="0"/>
        <v>#N/A</v>
      </c>
      <c r="S36" s="60" t="e">
        <f ca="1">AVERAGE(OFFSET($R$3,0,0,'Données projet'!$E$9+1,1))-AVERAGE(OFFSET($H$3,0,0,'Données projet'!$E$9+1,1))</f>
        <v>#N/A</v>
      </c>
      <c r="T36" s="60" t="e">
        <f t="shared" si="34"/>
        <v>#N/A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 t="e">
        <f>EXP(-LN(2)/35)*Z35+(1-EXP(-LN(2)/35))/(LN(2)/35)*V36*W36*VLOOKUP('Données projet'!$B$9,Paramètres!$A$1:$I$89,3,0)*0.475*44/12</f>
        <v>#N/A</v>
      </c>
      <c r="AA36" s="23" t="e">
        <f>EXP(-LN(2)/25)*AA35+(1-EXP(-LN(2)/25))/(LN(2)/25)*Calculateur!V36*Calculateur!X36*VLOOKUP('Données projet'!$B$9,Paramètres!$A$1:$I$89,3,0)*0.475*44/12</f>
        <v>#N/A</v>
      </c>
      <c r="AB36" s="23" t="e">
        <f>EXP(-LN(2)/2)*AB35+(1-EXP(-LN(2)/2))/(LN(2)/2)*V36*Y36*VLOOKUP('Données projet'!$B$9,Paramètres!$A$1:$I$89,3,0)*0.475*44/12</f>
        <v>#N/A</v>
      </c>
      <c r="AC36" s="24" t="e">
        <f t="shared" si="3"/>
        <v>#N/A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0" t="e">
        <f t="shared" si="5"/>
        <v>#N/A</v>
      </c>
      <c r="AN36" s="60" t="e">
        <f ca="1">AVERAGE(OFFSET($AM$3,0,0,'Données projet'!$E$10+1,1))-AVERAGE(OFFSET($H$3,0,0,'Données projet'!$E$10+1,1))</f>
        <v>#N/A</v>
      </c>
      <c r="AO36" s="60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6.1538461538461551</v>
      </c>
      <c r="BD36" s="13">
        <f>IF('Données projet'!$A$88&gt;35,BD35+BC36-BL35,IF(A36&lt;'Données projet'!$A$88,$BA$205^A36,IF(A36='Données projet'!$A$88,'Données projet'!$B$88,BD35+BC36-BL35)))</f>
        <v>104.35897435897439</v>
      </c>
      <c r="BE36" s="14">
        <f>BD36*VLOOKUP('Données projet'!$B$11,Paramètres!$A$1:$I$89,3,0)*VLOOKUP('Données projet'!$B$11,Paramètres!$A$1:$I$89,5,0)</f>
        <v>99.308000000000035</v>
      </c>
      <c r="BF36" s="14">
        <f t="shared" si="37"/>
        <v>26.797071523030599</v>
      </c>
      <c r="BG36" s="22">
        <f t="shared" si="7"/>
        <v>219.63299956927833</v>
      </c>
      <c r="BH36" s="60">
        <f t="shared" si="8"/>
        <v>512.96633290261161</v>
      </c>
      <c r="BI36" s="60">
        <f ca="1">AVERAGE(OFFSET($BH$3,0,0,'Données projet'!$E$11+1,1))-AVERAGE(OFFSET($H$3,0,0,'Données projet'!$E$11+1,1))</f>
        <v>357.083670644861</v>
      </c>
      <c r="BJ36" s="60">
        <f t="shared" si="38"/>
        <v>299.88885091109654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10.402930402930403</v>
      </c>
      <c r="BY36" s="13">
        <f>IF('Données projet'!$A$114&gt;35,BY35+BX36-CG35,IF(A36&lt;'Données projet'!$A$114,$BV$205^A36,IF(A36='Données projet'!$A$114,'Données projet'!$B$114,BY35+BX36-CG35)))</f>
        <v>134.28571428571431</v>
      </c>
      <c r="BZ36" s="14">
        <f>BY36*VLOOKUP('Données projet'!$B$12,Paramètres!$A$1:$I$89,3,0)*VLOOKUP('Données projet'!$B$12,Paramètres!$A$1:$I$89,5,0)</f>
        <v>62.845714285714294</v>
      </c>
      <c r="CA36" s="14">
        <f t="shared" si="39"/>
        <v>17.885803038990584</v>
      </c>
      <c r="CB36" s="22">
        <f t="shared" si="10"/>
        <v>140.60739267386097</v>
      </c>
      <c r="CC36" s="60">
        <f t="shared" si="11"/>
        <v>433.94072600719426</v>
      </c>
      <c r="CD36" s="60">
        <f ca="1">AVERAGE(OFFSET($CC$3,0,0,'Données projet'!$E$12+1,1))-AVERAGE(OFFSET($H$3,0,0,'Données projet'!$E$12+1,1))</f>
        <v>245.98992992759543</v>
      </c>
      <c r="CE36" s="60">
        <f t="shared" si="40"/>
        <v>145.34368562171613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96.72</v>
      </c>
      <c r="CV36" s="14">
        <f t="shared" si="41"/>
        <v>26.179072558792139</v>
      </c>
      <c r="CW36" s="22">
        <f t="shared" si="13"/>
        <v>214.04921803989632</v>
      </c>
      <c r="CX36" s="60">
        <f t="shared" si="14"/>
        <v>507.3825513732296</v>
      </c>
      <c r="CY36" s="60">
        <f ca="1">AVERAGE(OFFSET($CX$3,0,0,'Données projet'!$E$13+1,1))-AVERAGE(OFFSET($H$3,0,0,'Données projet'!$E$13+1,1))</f>
        <v>455.50822833641354</v>
      </c>
      <c r="CZ36" s="60">
        <f t="shared" si="42"/>
        <v>261.14722581688039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107.64</v>
      </c>
      <c r="DQ36" s="14">
        <f t="shared" si="43"/>
        <v>28.774250263353583</v>
      </c>
      <c r="DR36" s="22">
        <f t="shared" si="16"/>
        <v>237.58815254200749</v>
      </c>
      <c r="DS36" s="60">
        <f t="shared" si="17"/>
        <v>530.92148587534075</v>
      </c>
      <c r="DT36" s="60">
        <f ca="1">AVERAGE(OFFSET($DS$3,0,0,'Données projet'!$E$14+1,1))-AVERAGE(OFFSET($H$3,0,0,'Données projet'!$E$14+1,1))</f>
        <v>502.07782026233912</v>
      </c>
      <c r="DU36" s="60">
        <f t="shared" si="44"/>
        <v>285.83623046025156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</v>
      </c>
      <c r="EJ36" s="13">
        <f>IF('Données projet'!$A$192&gt;35,EJ35+EI36-ER35,IF(A36&lt;'Données projet'!$A$192,$EG$205^A36,IF(A36='Données projet'!$A$192,'Données projet'!$B$192,EJ35+EI36-ER35)))</f>
        <v>100</v>
      </c>
      <c r="EK36" s="18">
        <f>EJ36*VLOOKUP('Données projet'!$B$15,Paramètres!$A$1:$I$89,3,0)*VLOOKUP('Données projet'!$B$15,Paramètres!$A$1:$I$89,5,0)</f>
        <v>90.47999999999999</v>
      </c>
      <c r="EL36" s="14">
        <f t="shared" si="45"/>
        <v>24.680953573367994</v>
      </c>
      <c r="EM36" s="22">
        <f t="shared" si="19"/>
        <v>200.57199414028256</v>
      </c>
      <c r="EN36" s="60">
        <f t="shared" si="20"/>
        <v>493.9053274736159</v>
      </c>
      <c r="EO36" s="60">
        <f ca="1">AVERAGE(OFFSET($EN$3,0,0,'Données projet'!$E$15+1,1))-AVERAGE(OFFSET($H$3,0,0,'Données projet'!$E$15+1,1))</f>
        <v>428.8489304403459</v>
      </c>
      <c r="EP36" s="60">
        <f t="shared" si="46"/>
        <v>247.01165577562966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 t="e">
        <f>N37*VLOOKUP('Données projet'!$B$9,Paramètres!$A$1:$I$89,3,0)*VLOOKUP('Données projet'!$B$9,Paramètres!$A$1:$I$89,5,0)</f>
        <v>#N/A</v>
      </c>
      <c r="P37" s="14" t="e">
        <f t="shared" si="33"/>
        <v>#N/A</v>
      </c>
      <c r="Q37" s="22" t="e">
        <f t="shared" si="53"/>
        <v>#N/A</v>
      </c>
      <c r="R37" s="60" t="e">
        <f t="shared" si="0"/>
        <v>#N/A</v>
      </c>
      <c r="S37" s="60" t="e">
        <f ca="1">AVERAGE(OFFSET($R$3,0,0,'Données projet'!$E$9+1,1))-AVERAGE(OFFSET($H$3,0,0,'Données projet'!$E$9+1,1))</f>
        <v>#N/A</v>
      </c>
      <c r="T37" s="60" t="e">
        <f t="shared" si="34"/>
        <v>#N/A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 t="e">
        <f>EXP(-LN(2)/35)*Z36+(1-EXP(-LN(2)/35))/(LN(2)/35)*V37*W37*VLOOKUP('Données projet'!$B$9,Paramètres!$A$1:$I$89,3,0)*0.475*44/12</f>
        <v>#N/A</v>
      </c>
      <c r="AA37" s="23" t="e">
        <f>EXP(-LN(2)/25)*AA36+(1-EXP(-LN(2)/25))/(LN(2)/25)*Calculateur!V37*Calculateur!X37*VLOOKUP('Données projet'!$B$9,Paramètres!$A$1:$I$89,3,0)*0.475*44/12</f>
        <v>#N/A</v>
      </c>
      <c r="AB37" s="23" t="e">
        <f>EXP(-LN(2)/2)*AB36+(1-EXP(-LN(2)/2))/(LN(2)/2)*V37*Y37*VLOOKUP('Données projet'!$B$9,Paramètres!$A$1:$I$89,3,0)*0.475*44/12</f>
        <v>#N/A</v>
      </c>
      <c r="AC37" s="24" t="e">
        <f t="shared" si="3"/>
        <v>#N/A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0" t="e">
        <f t="shared" si="5"/>
        <v>#N/A</v>
      </c>
      <c r="AN37" s="60" t="e">
        <f ca="1">AVERAGE(OFFSET($AM$3,0,0,'Données projet'!$E$10+1,1))-AVERAGE(OFFSET($H$3,0,0,'Données projet'!$E$10+1,1))</f>
        <v>#N/A</v>
      </c>
      <c r="AO37" s="60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6.1538461538461551</v>
      </c>
      <c r="BD37" s="13">
        <f>IF('Données projet'!$A$88&gt;35,BD36+BC37-BL36,IF(A37&lt;'Données projet'!$A$88,$BA$205^A37,IF(A37='Données projet'!$A$88,'Données projet'!$B$88,BD36+BC37-BL36)))</f>
        <v>110.51282051282055</v>
      </c>
      <c r="BE37" s="14">
        <f>BD37*VLOOKUP('Données projet'!$B$11,Paramètres!$A$1:$I$89,3,0)*VLOOKUP('Données projet'!$B$11,Paramètres!$A$1:$I$89,5,0)</f>
        <v>105.16400000000003</v>
      </c>
      <c r="BF37" s="14">
        <f t="shared" si="37"/>
        <v>28.188621053634016</v>
      </c>
      <c r="BG37" s="22">
        <f t="shared" si="7"/>
        <v>232.2558150017459</v>
      </c>
      <c r="BH37" s="60">
        <f t="shared" si="8"/>
        <v>525.58914833507924</v>
      </c>
      <c r="BI37" s="60">
        <f ca="1">AVERAGE(OFFSET($BH$3,0,0,'Données projet'!$E$11+1,1))-AVERAGE(OFFSET($H$3,0,0,'Données projet'!$E$11+1,1))</f>
        <v>357.083670644861</v>
      </c>
      <c r="BJ37" s="60">
        <f t="shared" si="38"/>
        <v>299.88885091109654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10.402930402930403</v>
      </c>
      <c r="BY37" s="13">
        <f>IF('Données projet'!$A$114&gt;35,BY36+BX37-CG36,IF(A37&lt;'Données projet'!$A$114,$BV$205^A37,IF(A37='Données projet'!$A$114,'Données projet'!$B$114,BY36+BX37-CG36)))</f>
        <v>144.6886446886447</v>
      </c>
      <c r="BZ37" s="14">
        <f>BY37*VLOOKUP('Données projet'!$B$12,Paramètres!$A$1:$I$89,3,0)*VLOOKUP('Données projet'!$B$12,Paramètres!$A$1:$I$89,5,0)</f>
        <v>67.714285714285722</v>
      </c>
      <c r="CA37" s="14">
        <f t="shared" si="39"/>
        <v>19.104742100396511</v>
      </c>
      <c r="CB37" s="22">
        <f t="shared" si="10"/>
        <v>151.20980677723819</v>
      </c>
      <c r="CC37" s="60">
        <f t="shared" si="11"/>
        <v>444.54314011057147</v>
      </c>
      <c r="CD37" s="60">
        <f ca="1">AVERAGE(OFFSET($CC$3,0,0,'Données projet'!$E$12+1,1))-AVERAGE(OFFSET($H$3,0,0,'Données projet'!$E$12+1,1))</f>
        <v>245.98992992759543</v>
      </c>
      <c r="CE37" s="60">
        <f t="shared" si="40"/>
        <v>145.34368562171613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104.4576</v>
      </c>
      <c r="CV37" s="14">
        <f t="shared" si="41"/>
        <v>28.021248860498272</v>
      </c>
      <c r="CW37" s="22">
        <f t="shared" si="13"/>
        <v>230.73399509870114</v>
      </c>
      <c r="CX37" s="60">
        <f t="shared" si="14"/>
        <v>524.0673284320344</v>
      </c>
      <c r="CY37" s="60">
        <f ca="1">AVERAGE(OFFSET($CX$3,0,0,'Données projet'!$E$13+1,1))-AVERAGE(OFFSET($H$3,0,0,'Données projet'!$E$13+1,1))</f>
        <v>455.50822833641354</v>
      </c>
      <c r="CZ37" s="60">
        <f t="shared" si="42"/>
        <v>261.14722581688039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116.2512</v>
      </c>
      <c r="DQ37" s="14">
        <f t="shared" si="43"/>
        <v>30.799044755804328</v>
      </c>
      <c r="DR37" s="22">
        <f t="shared" si="16"/>
        <v>256.1125096163592</v>
      </c>
      <c r="DS37" s="60">
        <f t="shared" si="17"/>
        <v>549.44584294969252</v>
      </c>
      <c r="DT37" s="60">
        <f ca="1">AVERAGE(OFFSET($DS$3,0,0,'Données projet'!$E$14+1,1))-AVERAGE(OFFSET($H$3,0,0,'Données projet'!$E$14+1,1))</f>
        <v>502.07782026233912</v>
      </c>
      <c r="DU37" s="60">
        <f t="shared" si="44"/>
        <v>285.83623046025156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</v>
      </c>
      <c r="EJ37" s="13">
        <f>IF('Données projet'!$A$192&gt;35,EJ36+EI37-ER36,IF(A37&lt;'Données projet'!$A$192,$EG$205^A37,IF(A37='Données projet'!$A$192,'Données projet'!$B$192,EJ36+EI37-ER36)))</f>
        <v>108</v>
      </c>
      <c r="EK37" s="18">
        <f>EJ37*VLOOKUP('Données projet'!$B$15,Paramètres!$A$1:$I$89,3,0)*VLOOKUP('Données projet'!$B$15,Paramètres!$A$1:$I$89,5,0)</f>
        <v>97.718399999999988</v>
      </c>
      <c r="EL37" s="14">
        <f t="shared" si="45"/>
        <v>26.417709819192194</v>
      </c>
      <c r="EM37" s="22">
        <f t="shared" si="19"/>
        <v>216.20372460175972</v>
      </c>
      <c r="EN37" s="60">
        <f t="shared" si="20"/>
        <v>509.537057935093</v>
      </c>
      <c r="EO37" s="60">
        <f ca="1">AVERAGE(OFFSET($EN$3,0,0,'Données projet'!$E$15+1,1))-AVERAGE(OFFSET($H$3,0,0,'Données projet'!$E$15+1,1))</f>
        <v>428.8489304403459</v>
      </c>
      <c r="EP37" s="60">
        <f t="shared" si="46"/>
        <v>247.01165577562966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 t="e">
        <f>N38*VLOOKUP('Données projet'!$B$9,Paramètres!$A$1:$I$89,3,0)*VLOOKUP('Données projet'!$B$9,Paramètres!$A$1:$I$89,5,0)</f>
        <v>#N/A</v>
      </c>
      <c r="P38" s="14" t="e">
        <f t="shared" si="33"/>
        <v>#N/A</v>
      </c>
      <c r="Q38" s="22" t="e">
        <f t="shared" si="53"/>
        <v>#N/A</v>
      </c>
      <c r="R38" s="60" t="e">
        <f t="shared" si="0"/>
        <v>#N/A</v>
      </c>
      <c r="S38" s="60" t="e">
        <f ca="1">AVERAGE(OFFSET($R$3,0,0,'Données projet'!$E$9+1,1))-AVERAGE(OFFSET($H$3,0,0,'Données projet'!$E$9+1,1))</f>
        <v>#N/A</v>
      </c>
      <c r="T38" s="60" t="e">
        <f t="shared" si="34"/>
        <v>#N/A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 t="e">
        <f>EXP(-LN(2)/35)*Z37+(1-EXP(-LN(2)/35))/(LN(2)/35)*V38*W38*VLOOKUP('Données projet'!$B$9,Paramètres!$A$1:$I$89,3,0)*0.475*44/12</f>
        <v>#N/A</v>
      </c>
      <c r="AA38" s="23" t="e">
        <f>EXP(-LN(2)/25)*AA37+(1-EXP(-LN(2)/25))/(LN(2)/25)*Calculateur!V38*Calculateur!X38*VLOOKUP('Données projet'!$B$9,Paramètres!$A$1:$I$89,3,0)*0.475*44/12</f>
        <v>#N/A</v>
      </c>
      <c r="AB38" s="23" t="e">
        <f>EXP(-LN(2)/2)*AB37+(1-EXP(-LN(2)/2))/(LN(2)/2)*V38*Y38*VLOOKUP('Données projet'!$B$9,Paramètres!$A$1:$I$89,3,0)*0.475*44/12</f>
        <v>#N/A</v>
      </c>
      <c r="AC38" s="24" t="e">
        <f t="shared" si="3"/>
        <v>#N/A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0" t="e">
        <f t="shared" si="5"/>
        <v>#N/A</v>
      </c>
      <c r="AN38" s="60" t="e">
        <f ca="1">AVERAGE(OFFSET($AM$3,0,0,'Données projet'!$E$10+1,1))-AVERAGE(OFFSET($H$3,0,0,'Données projet'!$E$10+1,1))</f>
        <v>#N/A</v>
      </c>
      <c r="AO38" s="60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116.66666666666666</v>
      </c>
      <c r="BB38" s="13">
        <f>VLOOKUP(A38,'Données projet'!$A$87:$I$107,9,0)</f>
        <v>6.1538461538461551</v>
      </c>
      <c r="BC38" s="13">
        <f t="array" ref="BC38">INDEX(BB:BB,MIN(IF(ISNUMBER(BB38:BB234),ROW(BB38:BB234),"")))</f>
        <v>6.1538461538461551</v>
      </c>
      <c r="BD38" s="13">
        <f>IF('Données projet'!$A$88&gt;35,BD37+BC38-BL37,IF(A38&lt;'Données projet'!$A$88,$BA$205^A38,IF(A38='Données projet'!$A$88,'Données projet'!$B$88,BD37+BC38-BL37)))</f>
        <v>116.66666666666671</v>
      </c>
      <c r="BE38" s="14">
        <f>BD38*VLOOKUP('Données projet'!$B$11,Paramètres!$A$1:$I$89,3,0)*VLOOKUP('Données projet'!$B$11,Paramètres!$A$1:$I$89,5,0)</f>
        <v>111.02000000000005</v>
      </c>
      <c r="BF38" s="14">
        <f t="shared" si="37"/>
        <v>29.571175279490561</v>
      </c>
      <c r="BG38" s="22">
        <f t="shared" si="7"/>
        <v>244.86296361177949</v>
      </c>
      <c r="BH38" s="60">
        <f t="shared" si="8"/>
        <v>538.19629694511286</v>
      </c>
      <c r="BI38" s="60">
        <f ca="1">AVERAGE(OFFSET($BH$3,0,0,'Données projet'!$E$11+1,1))-AVERAGE(OFFSET($H$3,0,0,'Données projet'!$E$11+1,1))</f>
        <v>357.083670644861</v>
      </c>
      <c r="BJ38" s="60">
        <f t="shared" si="38"/>
        <v>299.88885091109654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10.402930402930403</v>
      </c>
      <c r="BY38" s="13">
        <f>IF('Données projet'!$A$114&gt;35,BY37+BX38-CG37,IF(A38&lt;'Données projet'!$A$114,$BV$205^A38,IF(A38='Données projet'!$A$114,'Données projet'!$B$114,BY37+BX38-CG37)))</f>
        <v>155.09157509157509</v>
      </c>
      <c r="BZ38" s="14">
        <f>BY38*VLOOKUP('Données projet'!$B$12,Paramètres!$A$1:$I$89,3,0)*VLOOKUP('Données projet'!$B$12,Paramètres!$A$1:$I$89,5,0)</f>
        <v>72.582857142857151</v>
      </c>
      <c r="CA38" s="14">
        <f t="shared" si="39"/>
        <v>20.31351317084026</v>
      </c>
      <c r="CB38" s="22">
        <f t="shared" si="10"/>
        <v>161.79451162968965</v>
      </c>
      <c r="CC38" s="60">
        <f t="shared" si="11"/>
        <v>455.12784496302299</v>
      </c>
      <c r="CD38" s="60">
        <f ca="1">AVERAGE(OFFSET($CC$3,0,0,'Données projet'!$E$12+1,1))-AVERAGE(OFFSET($H$3,0,0,'Données projet'!$E$12+1,1))</f>
        <v>245.98992992759543</v>
      </c>
      <c r="CE38" s="60">
        <f t="shared" si="40"/>
        <v>145.34368562171613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112.1952</v>
      </c>
      <c r="CV38" s="14">
        <f t="shared" si="41"/>
        <v>29.847594514573263</v>
      </c>
      <c r="CW38" s="22">
        <f t="shared" si="13"/>
        <v>247.39120044621509</v>
      </c>
      <c r="CX38" s="60">
        <f t="shared" si="14"/>
        <v>540.72453377954844</v>
      </c>
      <c r="CY38" s="60">
        <f ca="1">AVERAGE(OFFSET($CX$3,0,0,'Données projet'!$E$13+1,1))-AVERAGE(OFFSET($H$3,0,0,'Données projet'!$E$13+1,1))</f>
        <v>455.50822833641354</v>
      </c>
      <c r="CZ38" s="60">
        <f t="shared" si="42"/>
        <v>261.14722581688039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124.86239999999999</v>
      </c>
      <c r="DQ38" s="14">
        <f t="shared" si="43"/>
        <v>32.806439280561598</v>
      </c>
      <c r="DR38" s="22">
        <f t="shared" si="16"/>
        <v>274.60656174697812</v>
      </c>
      <c r="DS38" s="60">
        <f t="shared" si="17"/>
        <v>567.93989508031143</v>
      </c>
      <c r="DT38" s="60">
        <f ca="1">AVERAGE(OFFSET($DS$3,0,0,'Données projet'!$E$14+1,1))-AVERAGE(OFFSET($H$3,0,0,'Données projet'!$E$14+1,1))</f>
        <v>502.07782026233912</v>
      </c>
      <c r="DU38" s="60">
        <f t="shared" si="44"/>
        <v>285.83623046025156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116</v>
      </c>
      <c r="EH38" s="13">
        <f>VLOOKUP(A38,'Données projet'!$A$191:$I$211,9,0)</f>
        <v>8</v>
      </c>
      <c r="EI38" s="13">
        <f t="array" ref="EI38">INDEX(EH:EH,MIN(IF(ISNUMBER(EH38:EH234),ROW(EH38:EH234),"")))</f>
        <v>8</v>
      </c>
      <c r="EJ38" s="13">
        <f>IF('Données projet'!$A$192&gt;35,EJ37+EI38-ER37,IF(A38&lt;'Données projet'!$A$192,$EG$205^A38,IF(A38='Données projet'!$A$192,'Données projet'!$B$192,EJ37+EI38-ER37)))</f>
        <v>116</v>
      </c>
      <c r="EK38" s="18">
        <f>EJ38*VLOOKUP('Données projet'!$B$15,Paramètres!$A$1:$I$89,3,0)*VLOOKUP('Données projet'!$B$15,Paramètres!$A$1:$I$89,5,0)</f>
        <v>104.9568</v>
      </c>
      <c r="EL38" s="14">
        <f t="shared" si="45"/>
        <v>28.139541339232373</v>
      </c>
      <c r="EM38" s="22">
        <f t="shared" si="19"/>
        <v>231.8094611658297</v>
      </c>
      <c r="EN38" s="60">
        <f t="shared" si="20"/>
        <v>525.14279449916307</v>
      </c>
      <c r="EO38" s="60">
        <f ca="1">AVERAGE(OFFSET($EN$3,0,0,'Données projet'!$E$15+1,1))-AVERAGE(OFFSET($H$3,0,0,'Données projet'!$E$15+1,1))</f>
        <v>428.8489304403459</v>
      </c>
      <c r="EP38" s="60">
        <f t="shared" si="46"/>
        <v>247.01165577562966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 t="e">
        <f>N39*VLOOKUP('Données projet'!$B$9,Paramètres!$A$1:$I$89,3,0)*VLOOKUP('Données projet'!$B$9,Paramètres!$A$1:$I$89,5,0)</f>
        <v>#N/A</v>
      </c>
      <c r="P39" s="14" t="e">
        <f t="shared" si="33"/>
        <v>#N/A</v>
      </c>
      <c r="Q39" s="22" t="e">
        <f t="shared" si="53"/>
        <v>#N/A</v>
      </c>
      <c r="R39" s="60" t="e">
        <f t="shared" si="0"/>
        <v>#N/A</v>
      </c>
      <c r="S39" s="60" t="e">
        <f ca="1">AVERAGE(OFFSET($R$3,0,0,'Données projet'!$E$9+1,1))-AVERAGE(OFFSET($H$3,0,0,'Données projet'!$E$9+1,1))</f>
        <v>#N/A</v>
      </c>
      <c r="T39" s="60" t="e">
        <f t="shared" si="34"/>
        <v>#N/A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 t="e">
        <f>EXP(-LN(2)/35)*Z38+(1-EXP(-LN(2)/35))/(LN(2)/35)*V39*W39*VLOOKUP('Données projet'!$B$9,Paramètres!$A$1:$I$89,3,0)*0.475*44/12</f>
        <v>#N/A</v>
      </c>
      <c r="AA39" s="23" t="e">
        <f>EXP(-LN(2)/25)*AA38+(1-EXP(-LN(2)/25))/(LN(2)/25)*Calculateur!V39*Calculateur!X39*VLOOKUP('Données projet'!$B$9,Paramètres!$A$1:$I$89,3,0)*0.475*44/12</f>
        <v>#N/A</v>
      </c>
      <c r="AB39" s="23" t="e">
        <f>EXP(-LN(2)/2)*AB38+(1-EXP(-LN(2)/2))/(LN(2)/2)*V39*Y39*VLOOKUP('Données projet'!$B$9,Paramètres!$A$1:$I$89,3,0)*0.475*44/12</f>
        <v>#N/A</v>
      </c>
      <c r="AC39" s="24" t="e">
        <f t="shared" si="3"/>
        <v>#N/A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0" t="e">
        <f t="shared" si="5"/>
        <v>#N/A</v>
      </c>
      <c r="AN39" s="60" t="e">
        <f ca="1">AVERAGE(OFFSET($AM$3,0,0,'Données projet'!$E$10+1,1))-AVERAGE(OFFSET($H$3,0,0,'Données projet'!$E$10+1,1))</f>
        <v>#N/A</v>
      </c>
      <c r="AO39" s="60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5.7692307692307683</v>
      </c>
      <c r="BD39" s="13">
        <f>IF('Données projet'!$A$88&gt;35,BD38+BC39-BL38,IF(A39&lt;'Données projet'!$A$88,$BA$205^A39,IF(A39='Données projet'!$A$88,'Données projet'!$B$88,BD38+BC39-BL38)))</f>
        <v>122.43589743589749</v>
      </c>
      <c r="BE39" s="14">
        <f>BD39*VLOOKUP('Données projet'!$B$11,Paramètres!$A$1:$I$89,3,0)*VLOOKUP('Données projet'!$B$11,Paramètres!$A$1:$I$89,5,0)</f>
        <v>116.51000000000003</v>
      </c>
      <c r="BF39" s="14">
        <f t="shared" si="37"/>
        <v>30.859621169021747</v>
      </c>
      <c r="BG39" s="22">
        <f t="shared" si="7"/>
        <v>256.66875686937959</v>
      </c>
      <c r="BH39" s="60">
        <f t="shared" si="8"/>
        <v>550.00209020271291</v>
      </c>
      <c r="BI39" s="60">
        <f ca="1">AVERAGE(OFFSET($BH$3,0,0,'Données projet'!$E$11+1,1))-AVERAGE(OFFSET($H$3,0,0,'Données projet'!$E$11+1,1))</f>
        <v>357.083670644861</v>
      </c>
      <c r="BJ39" s="60">
        <f t="shared" si="38"/>
        <v>299.88885091109654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10.402930402930403</v>
      </c>
      <c r="BY39" s="13">
        <f>IF('Données projet'!$A$114&gt;35,BY38+BX39-CG38,IF(A39&lt;'Données projet'!$A$114,$BV$205^A39,IF(A39='Données projet'!$A$114,'Données projet'!$B$114,BY38+BX39-CG38)))</f>
        <v>165.49450549450549</v>
      </c>
      <c r="BZ39" s="14">
        <f>BY39*VLOOKUP('Données projet'!$B$12,Paramètres!$A$1:$I$89,3,0)*VLOOKUP('Données projet'!$B$12,Paramètres!$A$1:$I$89,5,0)</f>
        <v>77.451428571428565</v>
      </c>
      <c r="CA39" s="14">
        <f t="shared" si="39"/>
        <v>21.512875879677669</v>
      </c>
      <c r="CB39" s="22">
        <f t="shared" si="10"/>
        <v>172.36283025234334</v>
      </c>
      <c r="CC39" s="60">
        <f t="shared" si="11"/>
        <v>465.69616358567669</v>
      </c>
      <c r="CD39" s="60">
        <f ca="1">AVERAGE(OFFSET($CC$3,0,0,'Données projet'!$E$12+1,1))-AVERAGE(OFFSET($H$3,0,0,'Données projet'!$E$12+1,1))</f>
        <v>245.98992992759543</v>
      </c>
      <c r="CE39" s="60">
        <f t="shared" si="40"/>
        <v>145.34368562171613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120.31968000000001</v>
      </c>
      <c r="CV39" s="14">
        <f t="shared" si="41"/>
        <v>31.74954785566829</v>
      </c>
      <c r="CW39" s="22">
        <f t="shared" si="13"/>
        <v>264.85390518195555</v>
      </c>
      <c r="CX39" s="60">
        <f t="shared" si="14"/>
        <v>558.18723851528887</v>
      </c>
      <c r="CY39" s="60">
        <f ca="1">AVERAGE(OFFSET($CX$3,0,0,'Données projet'!$E$13+1,1))-AVERAGE(OFFSET($H$3,0,0,'Données projet'!$E$13+1,1))</f>
        <v>455.50822833641354</v>
      </c>
      <c r="CZ39" s="60">
        <f t="shared" si="42"/>
        <v>261.14722581688039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124.4</v>
      </c>
      <c r="DP39" s="18">
        <f>DO39*VLOOKUP('Données projet'!$B$14,Paramètres!$A$1:$I$89,3,0)*VLOOKUP('Données projet'!$B$14,Paramètres!$A$1:$I$89,5,0)</f>
        <v>133.90415999999999</v>
      </c>
      <c r="DQ39" s="14">
        <f t="shared" si="43"/>
        <v>34.896936615903982</v>
      </c>
      <c r="DR39" s="22">
        <f t="shared" si="16"/>
        <v>293.99524327269938</v>
      </c>
      <c r="DS39" s="60">
        <f t="shared" si="17"/>
        <v>587.3285766060327</v>
      </c>
      <c r="DT39" s="60">
        <f ca="1">AVERAGE(OFFSET($DS$3,0,0,'Données projet'!$E$14+1,1))-AVERAGE(OFFSET($H$3,0,0,'Données projet'!$E$14+1,1))</f>
        <v>502.07782026233912</v>
      </c>
      <c r="DU39" s="60">
        <f t="shared" si="44"/>
        <v>285.83623046025156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8.4</v>
      </c>
      <c r="EJ39" s="13">
        <f>IF('Données projet'!$A$192&gt;35,EJ38+EI39-ER38,IF(A39&lt;'Données projet'!$A$192,$EG$205^A39,IF(A39='Données projet'!$A$192,'Données projet'!$B$192,EJ38+EI39-ER38)))</f>
        <v>124.4</v>
      </c>
      <c r="EK39" s="18">
        <f>EJ39*VLOOKUP('Données projet'!$B$15,Paramètres!$A$1:$I$89,3,0)*VLOOKUP('Données projet'!$B$15,Paramètres!$A$1:$I$89,5,0)</f>
        <v>112.55712000000001</v>
      </c>
      <c r="EL39" s="14">
        <f t="shared" si="45"/>
        <v>29.932653834140599</v>
      </c>
      <c r="EM39" s="22">
        <f t="shared" si="19"/>
        <v>248.16968942779488</v>
      </c>
      <c r="EN39" s="60">
        <f t="shared" si="20"/>
        <v>541.50302276112825</v>
      </c>
      <c r="EO39" s="60">
        <f ca="1">AVERAGE(OFFSET($EN$3,0,0,'Données projet'!$E$15+1,1))-AVERAGE(OFFSET($H$3,0,0,'Données projet'!$E$15+1,1))</f>
        <v>428.8489304403459</v>
      </c>
      <c r="EP39" s="60">
        <f t="shared" si="46"/>
        <v>247.01165577562966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 t="e">
        <f>N40*VLOOKUP('Données projet'!$B$9,Paramètres!$A$1:$I$89,3,0)*VLOOKUP('Données projet'!$B$9,Paramètres!$A$1:$I$89,5,0)</f>
        <v>#N/A</v>
      </c>
      <c r="P40" s="14" t="e">
        <f t="shared" si="33"/>
        <v>#N/A</v>
      </c>
      <c r="Q40" s="22" t="e">
        <f t="shared" si="53"/>
        <v>#N/A</v>
      </c>
      <c r="R40" s="60" t="e">
        <f t="shared" si="0"/>
        <v>#N/A</v>
      </c>
      <c r="S40" s="60" t="e">
        <f ca="1">AVERAGE(OFFSET($R$3,0,0,'Données projet'!$E$9+1,1))-AVERAGE(OFFSET($H$3,0,0,'Données projet'!$E$9+1,1))</f>
        <v>#N/A</v>
      </c>
      <c r="T40" s="60" t="e">
        <f t="shared" si="34"/>
        <v>#N/A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 t="e">
        <f>EXP(-LN(2)/35)*Z39+(1-EXP(-LN(2)/35))/(LN(2)/35)*V40*W40*VLOOKUP('Données projet'!$B$9,Paramètres!$A$1:$I$89,3,0)*0.475*44/12</f>
        <v>#N/A</v>
      </c>
      <c r="AA40" s="23" t="e">
        <f>EXP(-LN(2)/25)*AA39+(1-EXP(-LN(2)/25))/(LN(2)/25)*Calculateur!V40*Calculateur!X40*VLOOKUP('Données projet'!$B$9,Paramètres!$A$1:$I$89,3,0)*0.475*44/12</f>
        <v>#N/A</v>
      </c>
      <c r="AB40" s="23" t="e">
        <f>EXP(-LN(2)/2)*AB39+(1-EXP(-LN(2)/2))/(LN(2)/2)*V40*Y40*VLOOKUP('Données projet'!$B$9,Paramètres!$A$1:$I$89,3,0)*0.475*44/12</f>
        <v>#N/A</v>
      </c>
      <c r="AC40" s="24" t="e">
        <f t="shared" si="3"/>
        <v>#N/A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0" t="e">
        <f t="shared" si="5"/>
        <v>#N/A</v>
      </c>
      <c r="AN40" s="60" t="e">
        <f ca="1">AVERAGE(OFFSET($AM$3,0,0,'Données projet'!$E$10+1,1))-AVERAGE(OFFSET($H$3,0,0,'Données projet'!$E$10+1,1))</f>
        <v>#N/A</v>
      </c>
      <c r="AO40" s="60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5.7692307692307683</v>
      </c>
      <c r="BD40" s="13">
        <f>IF('Données projet'!$A$88&gt;35,BD39+BC40-BL39,IF(A40&lt;'Données projet'!$A$88,$BA$205^A40,IF(A40='Données projet'!$A$88,'Données projet'!$B$88,BD39+BC40-BL39)))</f>
        <v>128.20512820512826</v>
      </c>
      <c r="BE40" s="14">
        <f>BD40*VLOOKUP('Données projet'!$B$11,Paramètres!$A$1:$I$89,3,0)*VLOOKUP('Données projet'!$B$11,Paramètres!$A$1:$I$89,5,0)</f>
        <v>122.00000000000004</v>
      </c>
      <c r="BF40" s="14">
        <f t="shared" si="37"/>
        <v>32.141016759098825</v>
      </c>
      <c r="BG40" s="22">
        <f t="shared" si="7"/>
        <v>268.46227085543052</v>
      </c>
      <c r="BH40" s="60">
        <f t="shared" si="8"/>
        <v>561.79560418876383</v>
      </c>
      <c r="BI40" s="60">
        <f ca="1">AVERAGE(OFFSET($BH$3,0,0,'Données projet'!$E$11+1,1))-AVERAGE(OFFSET($H$3,0,0,'Données projet'!$E$11+1,1))</f>
        <v>357.083670644861</v>
      </c>
      <c r="BJ40" s="60">
        <f t="shared" si="38"/>
        <v>299.88885091109654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10.402930402930403</v>
      </c>
      <c r="BY40" s="13">
        <f>IF('Données projet'!$A$114&gt;35,BY39+BX40-CG39,IF(A40&lt;'Données projet'!$A$114,$BV$205^A40,IF(A40='Données projet'!$A$114,'Données projet'!$B$114,BY39+BX40-CG39)))</f>
        <v>175.89743589743588</v>
      </c>
      <c r="BZ40" s="14">
        <f>BY40*VLOOKUP('Données projet'!$B$12,Paramètres!$A$1:$I$89,3,0)*VLOOKUP('Données projet'!$B$12,Paramètres!$A$1:$I$89,5,0)</f>
        <v>82.32</v>
      </c>
      <c r="CA40" s="14">
        <f t="shared" si="39"/>
        <v>22.703488958112253</v>
      </c>
      <c r="CB40" s="22">
        <f t="shared" si="10"/>
        <v>182.91590993537883</v>
      </c>
      <c r="CC40" s="60">
        <f t="shared" si="11"/>
        <v>476.24924326871212</v>
      </c>
      <c r="CD40" s="60">
        <f ca="1">AVERAGE(OFFSET($CC$3,0,0,'Données projet'!$E$12+1,1))-AVERAGE(OFFSET($H$3,0,0,'Données projet'!$E$12+1,1))</f>
        <v>245.98992992759543</v>
      </c>
      <c r="CE40" s="60">
        <f t="shared" si="40"/>
        <v>145.34368562171613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128.44416000000001</v>
      </c>
      <c r="CV40" s="14">
        <f t="shared" si="41"/>
        <v>33.636598855068925</v>
      </c>
      <c r="CW40" s="22">
        <f t="shared" si="13"/>
        <v>282.29065500591173</v>
      </c>
      <c r="CX40" s="60">
        <f t="shared" si="14"/>
        <v>575.62398833924499</v>
      </c>
      <c r="CY40" s="60">
        <f ca="1">AVERAGE(OFFSET($CX$3,0,0,'Données projet'!$E$13+1,1))-AVERAGE(OFFSET($H$3,0,0,'Données projet'!$E$13+1,1))</f>
        <v>455.50822833641354</v>
      </c>
      <c r="CZ40" s="60">
        <f t="shared" si="42"/>
        <v>261.14722581688039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132.80000000000001</v>
      </c>
      <c r="DP40" s="18">
        <f>DO40*VLOOKUP('Données projet'!$B$14,Paramètres!$A$1:$I$89,3,0)*VLOOKUP('Données projet'!$B$14,Paramètres!$A$1:$I$89,5,0)</f>
        <v>142.94592</v>
      </c>
      <c r="DQ40" s="14">
        <f t="shared" si="43"/>
        <v>36.971054314096854</v>
      </c>
      <c r="DR40" s="22">
        <f t="shared" si="16"/>
        <v>313.35539693038533</v>
      </c>
      <c r="DS40" s="60">
        <f t="shared" si="17"/>
        <v>606.68873026371864</v>
      </c>
      <c r="DT40" s="60">
        <f ca="1">AVERAGE(OFFSET($DS$3,0,0,'Données projet'!$E$14+1,1))-AVERAGE(OFFSET($H$3,0,0,'Données projet'!$E$14+1,1))</f>
        <v>502.07782026233912</v>
      </c>
      <c r="DU40" s="60">
        <f t="shared" si="44"/>
        <v>285.83623046025156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8.4</v>
      </c>
      <c r="EJ40" s="13">
        <f>IF('Données projet'!$A$192&gt;35,EJ39+EI40-ER39,IF(A40&lt;'Données projet'!$A$192,$EG$205^A40,IF(A40='Données projet'!$A$192,'Données projet'!$B$192,EJ39+EI40-ER39)))</f>
        <v>132.80000000000001</v>
      </c>
      <c r="EK40" s="18">
        <f>EJ40*VLOOKUP('Données projet'!$B$15,Paramètres!$A$1:$I$89,3,0)*VLOOKUP('Données projet'!$B$15,Paramètres!$A$1:$I$89,5,0)</f>
        <v>120.15744000000001</v>
      </c>
      <c r="EL40" s="14">
        <f t="shared" si="45"/>
        <v>31.711716786129845</v>
      </c>
      <c r="EM40" s="22">
        <f t="shared" si="19"/>
        <v>264.50544806917611</v>
      </c>
      <c r="EN40" s="60">
        <f t="shared" si="20"/>
        <v>557.83878140250943</v>
      </c>
      <c r="EO40" s="60">
        <f ca="1">AVERAGE(OFFSET($EN$3,0,0,'Données projet'!$E$15+1,1))-AVERAGE(OFFSET($H$3,0,0,'Données projet'!$E$15+1,1))</f>
        <v>428.8489304403459</v>
      </c>
      <c r="EP40" s="60">
        <f t="shared" si="46"/>
        <v>247.01165577562966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 t="e">
        <f>N41*VLOOKUP('Données projet'!$B$9,Paramètres!$A$1:$I$89,3,0)*VLOOKUP('Données projet'!$B$9,Paramètres!$A$1:$I$89,5,0)</f>
        <v>#N/A</v>
      </c>
      <c r="P41" s="14" t="e">
        <f t="shared" si="33"/>
        <v>#N/A</v>
      </c>
      <c r="Q41" s="22" t="e">
        <f t="shared" si="53"/>
        <v>#N/A</v>
      </c>
      <c r="R41" s="60" t="e">
        <f t="shared" si="0"/>
        <v>#N/A</v>
      </c>
      <c r="S41" s="60" t="e">
        <f ca="1">AVERAGE(OFFSET($R$3,0,0,'Données projet'!$E$9+1,1))-AVERAGE(OFFSET($H$3,0,0,'Données projet'!$E$9+1,1))</f>
        <v>#N/A</v>
      </c>
      <c r="T41" s="60" t="e">
        <f t="shared" si="34"/>
        <v>#N/A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 t="e">
        <f>EXP(-LN(2)/35)*Z40+(1-EXP(-LN(2)/35))/(LN(2)/35)*V41*W41*VLOOKUP('Données projet'!$B$9,Paramètres!$A$1:$I$89,3,0)*0.475*44/12</f>
        <v>#N/A</v>
      </c>
      <c r="AA41" s="23" t="e">
        <f>EXP(-LN(2)/25)*AA40+(1-EXP(-LN(2)/25))/(LN(2)/25)*Calculateur!V41*Calculateur!X41*VLOOKUP('Données projet'!$B$9,Paramètres!$A$1:$I$89,3,0)*0.475*44/12</f>
        <v>#N/A</v>
      </c>
      <c r="AB41" s="23" t="e">
        <f>EXP(-LN(2)/2)*AB40+(1-EXP(-LN(2)/2))/(LN(2)/2)*V41*Y41*VLOOKUP('Données projet'!$B$9,Paramètres!$A$1:$I$89,3,0)*0.475*44/12</f>
        <v>#N/A</v>
      </c>
      <c r="AC41" s="24" t="e">
        <f t="shared" si="3"/>
        <v>#N/A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0" t="e">
        <f t="shared" si="5"/>
        <v>#N/A</v>
      </c>
      <c r="AN41" s="60" t="e">
        <f ca="1">AVERAGE(OFFSET($AM$3,0,0,'Données projet'!$E$10+1,1))-AVERAGE(OFFSET($H$3,0,0,'Données projet'!$E$10+1,1))</f>
        <v>#N/A</v>
      </c>
      <c r="AO41" s="60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5.7692307692307683</v>
      </c>
      <c r="BD41" s="13">
        <f>IF('Données projet'!$A$88&gt;35,BD40+BC41-BL40,IF(A41&lt;'Données projet'!$A$88,$BA$205^A41,IF(A41='Données projet'!$A$88,'Données projet'!$B$88,BD40+BC41-BL40)))</f>
        <v>133.97435897435903</v>
      </c>
      <c r="BE41" s="14">
        <f>BD41*VLOOKUP('Données projet'!$B$11,Paramètres!$A$1:$I$89,3,0)*VLOOKUP('Données projet'!$B$11,Paramètres!$A$1:$I$89,5,0)</f>
        <v>127.49000000000005</v>
      </c>
      <c r="BF41" s="14">
        <f t="shared" si="37"/>
        <v>33.415715560398915</v>
      </c>
      <c r="BG41" s="22">
        <f t="shared" si="7"/>
        <v>280.24412126769488</v>
      </c>
      <c r="BH41" s="60">
        <f t="shared" si="8"/>
        <v>573.57745460102819</v>
      </c>
      <c r="BI41" s="60">
        <f ca="1">AVERAGE(OFFSET($BH$3,0,0,'Données projet'!$E$11+1,1))-AVERAGE(OFFSET($H$3,0,0,'Données projet'!$E$11+1,1))</f>
        <v>357.083670644861</v>
      </c>
      <c r="BJ41" s="60">
        <f t="shared" si="38"/>
        <v>299.88885091109654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10.402930402930403</v>
      </c>
      <c r="BY41" s="13">
        <f>IF('Données projet'!$A$114&gt;35,BY40+BX41-CG40,IF(A41&lt;'Données projet'!$A$114,$BV$205^A41,IF(A41='Données projet'!$A$114,'Données projet'!$B$114,BY40+BX41-CG40)))</f>
        <v>186.30036630036628</v>
      </c>
      <c r="BZ41" s="14">
        <f>BY41*VLOOKUP('Données projet'!$B$12,Paramètres!$A$1:$I$89,3,0)*VLOOKUP('Données projet'!$B$12,Paramètres!$A$1:$I$89,5,0)</f>
        <v>87.188571428571422</v>
      </c>
      <c r="CA41" s="14">
        <f t="shared" si="39"/>
        <v>23.885928818198035</v>
      </c>
      <c r="CB41" s="22">
        <f t="shared" si="10"/>
        <v>193.45475459645681</v>
      </c>
      <c r="CC41" s="60">
        <f t="shared" si="11"/>
        <v>486.78808792979009</v>
      </c>
      <c r="CD41" s="60">
        <f ca="1">AVERAGE(OFFSET($CC$3,0,0,'Données projet'!$E$12+1,1))-AVERAGE(OFFSET($H$3,0,0,'Données projet'!$E$12+1,1))</f>
        <v>245.98992992759543</v>
      </c>
      <c r="CE41" s="60">
        <f t="shared" si="40"/>
        <v>145.34368562171613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136.56864000000002</v>
      </c>
      <c r="CV41" s="14">
        <f t="shared" si="41"/>
        <v>35.509797430964703</v>
      </c>
      <c r="CW41" s="22">
        <f t="shared" si="13"/>
        <v>299.70327852559689</v>
      </c>
      <c r="CX41" s="60">
        <f t="shared" si="14"/>
        <v>593.0366118589302</v>
      </c>
      <c r="CY41" s="60">
        <f ca="1">AVERAGE(OFFSET($CX$3,0,0,'Données projet'!$E$13+1,1))-AVERAGE(OFFSET($H$3,0,0,'Données projet'!$E$13+1,1))</f>
        <v>455.50822833641354</v>
      </c>
      <c r="CZ41" s="60">
        <f t="shared" si="42"/>
        <v>261.14722581688039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141.20000000000002</v>
      </c>
      <c r="DP41" s="18">
        <f>DO41*VLOOKUP('Données projet'!$B$14,Paramètres!$A$1:$I$89,3,0)*VLOOKUP('Données projet'!$B$14,Paramètres!$A$1:$I$89,5,0)</f>
        <v>151.98768000000001</v>
      </c>
      <c r="DQ41" s="14">
        <f t="shared" si="43"/>
        <v>39.029946373574369</v>
      </c>
      <c r="DR41" s="22">
        <f t="shared" si="16"/>
        <v>332.68903260064207</v>
      </c>
      <c r="DS41" s="60">
        <f t="shared" si="17"/>
        <v>626.02236593397538</v>
      </c>
      <c r="DT41" s="60">
        <f ca="1">AVERAGE(OFFSET($DS$3,0,0,'Données projet'!$E$14+1,1))-AVERAGE(OFFSET($H$3,0,0,'Données projet'!$E$14+1,1))</f>
        <v>502.07782026233912</v>
      </c>
      <c r="DU41" s="60">
        <f t="shared" si="44"/>
        <v>285.83623046025156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8.4</v>
      </c>
      <c r="EJ41" s="13">
        <f>IF('Données projet'!$A$192&gt;35,EJ40+EI41-ER40,IF(A41&lt;'Données projet'!$A$192,$EG$205^A41,IF(A41='Données projet'!$A$192,'Données projet'!$B$192,EJ40+EI41-ER40)))</f>
        <v>141.20000000000002</v>
      </c>
      <c r="EK41" s="18">
        <f>EJ41*VLOOKUP('Données projet'!$B$15,Paramètres!$A$1:$I$89,3,0)*VLOOKUP('Données projet'!$B$15,Paramètres!$A$1:$I$89,5,0)</f>
        <v>127.75776</v>
      </c>
      <c r="EL41" s="14">
        <f t="shared" si="45"/>
        <v>33.477720030956604</v>
      </c>
      <c r="EM41" s="22">
        <f t="shared" si="19"/>
        <v>280.81846105391611</v>
      </c>
      <c r="EN41" s="60">
        <f t="shared" si="20"/>
        <v>574.15179438724942</v>
      </c>
      <c r="EO41" s="60">
        <f ca="1">AVERAGE(OFFSET($EN$3,0,0,'Données projet'!$E$15+1,1))-AVERAGE(OFFSET($H$3,0,0,'Données projet'!$E$15+1,1))</f>
        <v>428.8489304403459</v>
      </c>
      <c r="EP41" s="60">
        <f t="shared" si="46"/>
        <v>247.01165577562966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 t="e">
        <f>N42*VLOOKUP('Données projet'!$B$9,Paramètres!$A$1:$I$89,3,0)*VLOOKUP('Données projet'!$B$9,Paramètres!$A$1:$I$89,5,0)</f>
        <v>#N/A</v>
      </c>
      <c r="P42" s="14" t="e">
        <f t="shared" si="33"/>
        <v>#N/A</v>
      </c>
      <c r="Q42" s="22" t="e">
        <f t="shared" si="53"/>
        <v>#N/A</v>
      </c>
      <c r="R42" s="60" t="e">
        <f t="shared" si="0"/>
        <v>#N/A</v>
      </c>
      <c r="S42" s="60" t="e">
        <f ca="1">AVERAGE(OFFSET($R$3,0,0,'Données projet'!$E$9+1,1))-AVERAGE(OFFSET($H$3,0,0,'Données projet'!$E$9+1,1))</f>
        <v>#N/A</v>
      </c>
      <c r="T42" s="60" t="e">
        <f t="shared" si="34"/>
        <v>#N/A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 t="e">
        <f>EXP(-LN(2)/35)*Z41+(1-EXP(-LN(2)/35))/(LN(2)/35)*V42*W42*VLOOKUP('Données projet'!$B$9,Paramètres!$A$1:$I$89,3,0)*0.475*44/12</f>
        <v>#N/A</v>
      </c>
      <c r="AA42" s="23" t="e">
        <f>EXP(-LN(2)/25)*AA41+(1-EXP(-LN(2)/25))/(LN(2)/25)*Calculateur!V42*Calculateur!X42*VLOOKUP('Données projet'!$B$9,Paramètres!$A$1:$I$89,3,0)*0.475*44/12</f>
        <v>#N/A</v>
      </c>
      <c r="AB42" s="23" t="e">
        <f>EXP(-LN(2)/2)*AB41+(1-EXP(-LN(2)/2))/(LN(2)/2)*V42*Y42*VLOOKUP('Données projet'!$B$9,Paramètres!$A$1:$I$89,3,0)*0.475*44/12</f>
        <v>#N/A</v>
      </c>
      <c r="AC42" s="24" t="e">
        <f t="shared" si="3"/>
        <v>#N/A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0" t="e">
        <f t="shared" si="5"/>
        <v>#N/A</v>
      </c>
      <c r="AN42" s="60" t="e">
        <f ca="1">AVERAGE(OFFSET($AM$3,0,0,'Données projet'!$E$10+1,1))-AVERAGE(OFFSET($H$3,0,0,'Données projet'!$E$10+1,1))</f>
        <v>#N/A</v>
      </c>
      <c r="AO42" s="60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5.7692307692307683</v>
      </c>
      <c r="BD42" s="13">
        <f>IF('Données projet'!$A$88&gt;35,BD41+BC42-BL41,IF(A42&lt;'Données projet'!$A$88,$BA$205^A42,IF(A42='Données projet'!$A$88,'Données projet'!$B$88,BD41+BC42-BL41)))</f>
        <v>139.74358974358981</v>
      </c>
      <c r="BE42" s="14">
        <f>BD42*VLOOKUP('Données projet'!$B$11,Paramètres!$A$1:$I$89,3,0)*VLOOKUP('Données projet'!$B$11,Paramètres!$A$1:$I$89,5,0)</f>
        <v>132.98000000000008</v>
      </c>
      <c r="BF42" s="14">
        <f t="shared" si="37"/>
        <v>34.684038915816181</v>
      </c>
      <c r="BG42" s="22">
        <f t="shared" si="7"/>
        <v>292.01486777837994</v>
      </c>
      <c r="BH42" s="60">
        <f t="shared" si="8"/>
        <v>585.34820111171325</v>
      </c>
      <c r="BI42" s="60">
        <f ca="1">AVERAGE(OFFSET($BH$3,0,0,'Données projet'!$E$11+1,1))-AVERAGE(OFFSET($H$3,0,0,'Données projet'!$E$11+1,1))</f>
        <v>357.083670644861</v>
      </c>
      <c r="BJ42" s="60">
        <f t="shared" si="38"/>
        <v>299.88885091109654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10.402930402930403</v>
      </c>
      <c r="BY42" s="13">
        <f>IF('Données projet'!$A$114&gt;35,BY41+BX42-CG41,IF(A42&lt;'Données projet'!$A$114,$BV$205^A42,IF(A42='Données projet'!$A$114,'Données projet'!$B$114,BY41+BX42-CG41)))</f>
        <v>196.70329670329667</v>
      </c>
      <c r="BZ42" s="14">
        <f>BY42*VLOOKUP('Données projet'!$B$12,Paramètres!$A$1:$I$89,3,0)*VLOOKUP('Données projet'!$B$12,Paramètres!$A$1:$I$89,5,0)</f>
        <v>92.05714285714285</v>
      </c>
      <c r="CA42" s="14">
        <f t="shared" si="39"/>
        <v>25.060703863036977</v>
      </c>
      <c r="CB42" s="22">
        <f t="shared" si="10"/>
        <v>203.9802497043132</v>
      </c>
      <c r="CC42" s="60">
        <f t="shared" si="11"/>
        <v>497.31358303764648</v>
      </c>
      <c r="CD42" s="60">
        <f ca="1">AVERAGE(OFFSET($CC$3,0,0,'Données projet'!$E$12+1,1))-AVERAGE(OFFSET($H$3,0,0,'Données projet'!$E$12+1,1))</f>
        <v>245.98992992759543</v>
      </c>
      <c r="CE42" s="60">
        <f t="shared" si="40"/>
        <v>145.34368562171613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144.69312000000002</v>
      </c>
      <c r="CV42" s="14">
        <f t="shared" si="41"/>
        <v>37.370061524802772</v>
      </c>
      <c r="CW42" s="22">
        <f t="shared" si="13"/>
        <v>317.09337448903148</v>
      </c>
      <c r="CX42" s="60">
        <f t="shared" si="14"/>
        <v>610.42670782236473</v>
      </c>
      <c r="CY42" s="60">
        <f ca="1">AVERAGE(OFFSET($CX$3,0,0,'Données projet'!$E$13+1,1))-AVERAGE(OFFSET($H$3,0,0,'Données projet'!$E$13+1,1))</f>
        <v>455.50822833641354</v>
      </c>
      <c r="CZ42" s="60">
        <f t="shared" si="42"/>
        <v>261.14722581688039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149.60000000000002</v>
      </c>
      <c r="DP42" s="18">
        <f>DO42*VLOOKUP('Données projet'!$B$14,Paramètres!$A$1:$I$89,3,0)*VLOOKUP('Données projet'!$B$14,Paramètres!$A$1:$I$89,5,0)</f>
        <v>161.02944000000002</v>
      </c>
      <c r="DQ42" s="14">
        <f t="shared" si="43"/>
        <v>41.074621732940685</v>
      </c>
      <c r="DR42" s="22">
        <f t="shared" si="16"/>
        <v>351.99790751820501</v>
      </c>
      <c r="DS42" s="60">
        <f t="shared" si="17"/>
        <v>645.33124085153827</v>
      </c>
      <c r="DT42" s="60">
        <f ca="1">AVERAGE(OFFSET($DS$3,0,0,'Données projet'!$E$14+1,1))-AVERAGE(OFFSET($H$3,0,0,'Données projet'!$E$14+1,1))</f>
        <v>502.07782026233912</v>
      </c>
      <c r="DU42" s="60">
        <f t="shared" si="44"/>
        <v>285.83623046025156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8.4</v>
      </c>
      <c r="EJ42" s="13">
        <f>IF('Données projet'!$A$192&gt;35,EJ41+EI42-ER41,IF(A42&lt;'Données projet'!$A$192,$EG$205^A42,IF(A42='Données projet'!$A$192,'Données projet'!$B$192,EJ41+EI42-ER41)))</f>
        <v>149.60000000000002</v>
      </c>
      <c r="EK42" s="18">
        <f>EJ42*VLOOKUP('Données projet'!$B$15,Paramètres!$A$1:$I$89,3,0)*VLOOKUP('Données projet'!$B$15,Paramètres!$A$1:$I$89,5,0)</f>
        <v>135.35808</v>
      </c>
      <c r="EL42" s="14">
        <f t="shared" si="45"/>
        <v>35.231528980112834</v>
      </c>
      <c r="EM42" s="22">
        <f t="shared" si="19"/>
        <v>297.11023564036316</v>
      </c>
      <c r="EN42" s="60">
        <f t="shared" si="20"/>
        <v>590.44356897369653</v>
      </c>
      <c r="EO42" s="60">
        <f ca="1">AVERAGE(OFFSET($EN$3,0,0,'Données projet'!$E$15+1,1))-AVERAGE(OFFSET($H$3,0,0,'Données projet'!$E$15+1,1))</f>
        <v>428.8489304403459</v>
      </c>
      <c r="EP42" s="60">
        <f t="shared" si="46"/>
        <v>247.01165577562966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 t="e">
        <f>N43*VLOOKUP('Données projet'!$B$9,Paramètres!$A$1:$I$89,3,0)*VLOOKUP('Données projet'!$B$9,Paramètres!$A$1:$I$89,5,0)</f>
        <v>#N/A</v>
      </c>
      <c r="P43" s="14" t="e">
        <f t="shared" si="33"/>
        <v>#N/A</v>
      </c>
      <c r="Q43" s="22" t="e">
        <f t="shared" si="53"/>
        <v>#N/A</v>
      </c>
      <c r="R43" s="60" t="e">
        <f t="shared" si="0"/>
        <v>#N/A</v>
      </c>
      <c r="S43" s="60" t="e">
        <f ca="1">AVERAGE(OFFSET($R$3,0,0,'Données projet'!$E$9+1,1))-AVERAGE(OFFSET($H$3,0,0,'Données projet'!$E$9+1,1))</f>
        <v>#N/A</v>
      </c>
      <c r="T43" s="60" t="e">
        <f t="shared" si="34"/>
        <v>#N/A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 t="e">
        <f>EXP(-LN(2)/35)*Z42+(1-EXP(-LN(2)/35))/(LN(2)/35)*V43*W43*VLOOKUP('Données projet'!$B$9,Paramètres!$A$1:$I$89,3,0)*0.475*44/12</f>
        <v>#N/A</v>
      </c>
      <c r="AA43" s="23" t="e">
        <f>EXP(-LN(2)/25)*AA42+(1-EXP(-LN(2)/25))/(LN(2)/25)*Calculateur!V43*Calculateur!X43*VLOOKUP('Données projet'!$B$9,Paramètres!$A$1:$I$89,3,0)*0.475*44/12</f>
        <v>#N/A</v>
      </c>
      <c r="AB43" s="23" t="e">
        <f>EXP(-LN(2)/2)*AB42+(1-EXP(-LN(2)/2))/(LN(2)/2)*V43*Y43*VLOOKUP('Données projet'!$B$9,Paramètres!$A$1:$I$89,3,0)*0.475*44/12</f>
        <v>#N/A</v>
      </c>
      <c r="AC43" s="24" t="e">
        <f t="shared" si="3"/>
        <v>#N/A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0" t="e">
        <f t="shared" si="5"/>
        <v>#N/A</v>
      </c>
      <c r="AN43" s="60" t="e">
        <f ca="1">AVERAGE(OFFSET($AM$3,0,0,'Données projet'!$E$10+1,1))-AVERAGE(OFFSET($H$3,0,0,'Données projet'!$E$10+1,1))</f>
        <v>#N/A</v>
      </c>
      <c r="AO43" s="60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145.5128205128205</v>
      </c>
      <c r="BB43" s="13">
        <f>VLOOKUP(A43,'Données projet'!$A$87:$I$107,9,0)</f>
        <v>5.7692307692307683</v>
      </c>
      <c r="BC43" s="13">
        <f t="array" ref="BC43">INDEX(BB:BB,MIN(IF(ISNUMBER(BB43:BB239),ROW(BB43:BB239),"")))</f>
        <v>5.7692307692307683</v>
      </c>
      <c r="BD43" s="13">
        <f>IF('Données projet'!$A$88&gt;35,BD42+BC43-BL42,IF(A43&lt;'Données projet'!$A$88,$BA$205^A43,IF(A43='Données projet'!$A$88,'Données projet'!$B$88,BD42+BC43-BL42)))</f>
        <v>145.51282051282058</v>
      </c>
      <c r="BE43" s="14">
        <f>BD43*VLOOKUP('Données projet'!$B$11,Paramètres!$A$1:$I$89,3,0)*VLOOKUP('Données projet'!$B$11,Paramètres!$A$1:$I$89,5,0)</f>
        <v>138.47000000000006</v>
      </c>
      <c r="BF43" s="14">
        <f t="shared" si="37"/>
        <v>35.946280134063549</v>
      </c>
      <c r="BG43" s="22">
        <f t="shared" si="7"/>
        <v>303.7750212334941</v>
      </c>
      <c r="BH43" s="60">
        <f t="shared" si="8"/>
        <v>597.10835456682742</v>
      </c>
      <c r="BI43" s="60">
        <f ca="1">AVERAGE(OFFSET($BH$3,0,0,'Données projet'!$E$11+1,1))-AVERAGE(OFFSET($H$3,0,0,'Données projet'!$E$11+1,1))</f>
        <v>357.083670644861</v>
      </c>
      <c r="BJ43" s="60">
        <f t="shared" si="38"/>
        <v>299.88885091109654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10.402930402930403</v>
      </c>
      <c r="BY43" s="13">
        <f>IF('Données projet'!$A$114&gt;35,BY42+BX43-CG42,IF(A43&lt;'Données projet'!$A$114,$BV$205^A43,IF(A43='Données projet'!$A$114,'Données projet'!$B$114,BY42+BX43-CG42)))</f>
        <v>207.10622710622707</v>
      </c>
      <c r="BZ43" s="14">
        <f>BY43*VLOOKUP('Données projet'!$B$12,Paramètres!$A$1:$I$89,3,0)*VLOOKUP('Données projet'!$B$12,Paramètres!$A$1:$I$89,5,0)</f>
        <v>96.925714285714264</v>
      </c>
      <c r="CA43" s="14">
        <f t="shared" si="39"/>
        <v>26.228265683321183</v>
      </c>
      <c r="CB43" s="22">
        <f t="shared" si="10"/>
        <v>214.49318177940339</v>
      </c>
      <c r="CC43" s="60">
        <f t="shared" si="11"/>
        <v>507.82651511273673</v>
      </c>
      <c r="CD43" s="60">
        <f ca="1">AVERAGE(OFFSET($CC$3,0,0,'Données projet'!$E$12+1,1))-AVERAGE(OFFSET($H$3,0,0,'Données projet'!$E$12+1,1))</f>
        <v>245.98992992759543</v>
      </c>
      <c r="CE43" s="60">
        <f t="shared" si="40"/>
        <v>145.34368562171613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152.81760000000003</v>
      </c>
      <c r="CV43" s="14">
        <f t="shared" si="41"/>
        <v>39.218200171484227</v>
      </c>
      <c r="CW43" s="22">
        <f t="shared" si="13"/>
        <v>334.46235196533502</v>
      </c>
      <c r="CX43" s="60">
        <f t="shared" si="14"/>
        <v>627.79568529866833</v>
      </c>
      <c r="CY43" s="60">
        <f ca="1">AVERAGE(OFFSET($CX$3,0,0,'Données projet'!$E$13+1,1))-AVERAGE(OFFSET($H$3,0,0,'Données projet'!$E$13+1,1))</f>
        <v>455.50822833641354</v>
      </c>
      <c r="CZ43" s="60">
        <f t="shared" si="42"/>
        <v>261.14722581688039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158.00000000000003</v>
      </c>
      <c r="DP43" s="18">
        <f>DO43*VLOOKUP('Données projet'!$B$14,Paramètres!$A$1:$I$89,3,0)*VLOOKUP('Données projet'!$B$14,Paramètres!$A$1:$I$89,5,0)</f>
        <v>170.07120000000003</v>
      </c>
      <c r="DQ43" s="14">
        <f t="shared" si="43"/>
        <v>43.10596962815594</v>
      </c>
      <c r="DR43" s="22">
        <f t="shared" si="16"/>
        <v>371.28357043570503</v>
      </c>
      <c r="DS43" s="60">
        <f t="shared" si="17"/>
        <v>664.61690376903834</v>
      </c>
      <c r="DT43" s="60">
        <f ca="1">AVERAGE(OFFSET($DS$3,0,0,'Données projet'!$E$14+1,1))-AVERAGE(OFFSET($H$3,0,0,'Données projet'!$E$14+1,1))</f>
        <v>502.07782026233912</v>
      </c>
      <c r="DU43" s="60">
        <f t="shared" si="44"/>
        <v>285.83623046025156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158</v>
      </c>
      <c r="EH43" s="13">
        <f>VLOOKUP(A43,'Données projet'!$A$191:$I$211,9,0)</f>
        <v>8.4</v>
      </c>
      <c r="EI43" s="13">
        <f t="array" ref="EI43">INDEX(EH:EH,MIN(IF(ISNUMBER(EH43:EH239),ROW(EH43:EH239),"")))</f>
        <v>8.4</v>
      </c>
      <c r="EJ43" s="13">
        <f>IF('Données projet'!$A$192&gt;35,EJ42+EI43-ER42,IF(A43&lt;'Données projet'!$A$192,$EG$205^A43,IF(A43='Données projet'!$A$192,'Données projet'!$B$192,EJ42+EI43-ER42)))</f>
        <v>158.00000000000003</v>
      </c>
      <c r="EK43" s="18">
        <f>EJ43*VLOOKUP('Données projet'!$B$15,Paramètres!$A$1:$I$89,3,0)*VLOOKUP('Données projet'!$B$15,Paramètres!$A$1:$I$89,5,0)</f>
        <v>142.95840000000004</v>
      </c>
      <c r="EL43" s="14">
        <f t="shared" si="45"/>
        <v>36.973906370811264</v>
      </c>
      <c r="EM43" s="22">
        <f t="shared" si="19"/>
        <v>313.38210026249641</v>
      </c>
      <c r="EN43" s="60">
        <f t="shared" si="20"/>
        <v>606.71543359582972</v>
      </c>
      <c r="EO43" s="60">
        <f ca="1">AVERAGE(OFFSET($EN$3,0,0,'Données projet'!$E$15+1,1))-AVERAGE(OFFSET($H$3,0,0,'Données projet'!$E$15+1,1))</f>
        <v>428.8489304403459</v>
      </c>
      <c r="EP43" s="60">
        <f t="shared" si="46"/>
        <v>247.01165577562966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42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 t="e">
        <f>N44*VLOOKUP('Données projet'!$B$9,Paramètres!$A$1:$I$89,3,0)*VLOOKUP('Données projet'!$B$9,Paramètres!$A$1:$I$89,5,0)</f>
        <v>#N/A</v>
      </c>
      <c r="P44" s="14" t="e">
        <f t="shared" si="33"/>
        <v>#N/A</v>
      </c>
      <c r="Q44" s="22" t="e">
        <f t="shared" si="53"/>
        <v>#N/A</v>
      </c>
      <c r="R44" s="60" t="e">
        <f t="shared" si="0"/>
        <v>#N/A</v>
      </c>
      <c r="S44" s="60" t="e">
        <f ca="1">AVERAGE(OFFSET($R$3,0,0,'Données projet'!$E$9+1,1))-AVERAGE(OFFSET($H$3,0,0,'Données projet'!$E$9+1,1))</f>
        <v>#N/A</v>
      </c>
      <c r="T44" s="60" t="e">
        <f t="shared" si="34"/>
        <v>#N/A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 t="e">
        <f>EXP(-LN(2)/35)*Z43+(1-EXP(-LN(2)/35))/(LN(2)/35)*V44*W44*VLOOKUP('Données projet'!$B$9,Paramètres!$A$1:$I$89,3,0)*0.475*44/12</f>
        <v>#N/A</v>
      </c>
      <c r="AA44" s="23" t="e">
        <f>EXP(-LN(2)/25)*AA43+(1-EXP(-LN(2)/25))/(LN(2)/25)*Calculateur!V44*Calculateur!X44*VLOOKUP('Données projet'!$B$9,Paramètres!$A$1:$I$89,3,0)*0.475*44/12</f>
        <v>#N/A</v>
      </c>
      <c r="AB44" s="23" t="e">
        <f>EXP(-LN(2)/2)*AB43+(1-EXP(-LN(2)/2))/(LN(2)/2)*V44*Y44*VLOOKUP('Données projet'!$B$9,Paramètres!$A$1:$I$89,3,0)*0.475*44/12</f>
        <v>#N/A</v>
      </c>
      <c r="AC44" s="24" t="e">
        <f t="shared" si="3"/>
        <v>#N/A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0" t="e">
        <f t="shared" si="5"/>
        <v>#N/A</v>
      </c>
      <c r="AN44" s="60" t="e">
        <f ca="1">AVERAGE(OFFSET($AM$3,0,0,'Données projet'!$E$10+1,1))-AVERAGE(OFFSET($H$3,0,0,'Données projet'!$E$10+1,1))</f>
        <v>#N/A</v>
      </c>
      <c r="AO44" s="60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5.6410256410256405</v>
      </c>
      <c r="BD44" s="13">
        <f>IF('Données projet'!$A$88&gt;35,BD43+BC44-BL43,IF(A44&lt;'Données projet'!$A$88,$BA$205^A44,IF(A44='Données projet'!$A$88,'Données projet'!$B$88,BD43+BC44-BL43)))</f>
        <v>151.15384615384622</v>
      </c>
      <c r="BE44" s="14">
        <f>BD44*VLOOKUP('Données projet'!$B$11,Paramètres!$A$1:$I$89,3,0)*VLOOKUP('Données projet'!$B$11,Paramètres!$A$1:$I$89,5,0)</f>
        <v>143.83800000000005</v>
      </c>
      <c r="BF44" s="14">
        <f t="shared" si="37"/>
        <v>37.174848682678373</v>
      </c>
      <c r="BG44" s="22">
        <f t="shared" si="7"/>
        <v>315.26404478899826</v>
      </c>
      <c r="BH44" s="60">
        <f t="shared" si="8"/>
        <v>608.59737812233152</v>
      </c>
      <c r="BI44" s="60">
        <f ca="1">AVERAGE(OFFSET($BH$3,0,0,'Données projet'!$E$11+1,1))-AVERAGE(OFFSET($H$3,0,0,'Données projet'!$E$11+1,1))</f>
        <v>357.083670644861</v>
      </c>
      <c r="BJ44" s="60">
        <f t="shared" si="38"/>
        <v>299.88885091109654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10.402930402930403</v>
      </c>
      <c r="BY44" s="13">
        <f>IF('Données projet'!$A$114&gt;35,BY43+BX44-CG43,IF(A44&lt;'Données projet'!$A$114,$BV$205^A44,IF(A44='Données projet'!$A$114,'Données projet'!$B$114,BY43+BX44-CG43)))</f>
        <v>217.50915750915746</v>
      </c>
      <c r="BZ44" s="14">
        <f>BY44*VLOOKUP('Données projet'!$B$12,Paramètres!$A$1:$I$89,3,0)*VLOOKUP('Données projet'!$B$12,Paramètres!$A$1:$I$89,5,0)</f>
        <v>101.79428571428569</v>
      </c>
      <c r="CA44" s="14">
        <f t="shared" si="39"/>
        <v>27.389017940319118</v>
      </c>
      <c r="CB44" s="22">
        <f t="shared" si="10"/>
        <v>224.99425386510336</v>
      </c>
      <c r="CC44" s="60">
        <f t="shared" si="11"/>
        <v>518.32758719843673</v>
      </c>
      <c r="CD44" s="60">
        <f ca="1">AVERAGE(OFFSET($CC$3,0,0,'Données projet'!$E$12+1,1))-AVERAGE(OFFSET($H$3,0,0,'Données projet'!$E$12+1,1))</f>
        <v>245.98992992759543</v>
      </c>
      <c r="CE44" s="60">
        <f t="shared" si="40"/>
        <v>145.34368562171613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120.31968000000002</v>
      </c>
      <c r="CV44" s="14">
        <f t="shared" si="41"/>
        <v>31.74954785566829</v>
      </c>
      <c r="CW44" s="22">
        <f t="shared" si="13"/>
        <v>264.85390518195561</v>
      </c>
      <c r="CX44" s="60">
        <f t="shared" si="14"/>
        <v>558.18723851528898</v>
      </c>
      <c r="CY44" s="60">
        <f ca="1">AVERAGE(OFFSET($CX$3,0,0,'Données projet'!$E$13+1,1))-AVERAGE(OFFSET($H$3,0,0,'Données projet'!$E$13+1,1))</f>
        <v>455.50822833641354</v>
      </c>
      <c r="CZ44" s="60">
        <f t="shared" si="42"/>
        <v>261.14722581688039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133.90416000000002</v>
      </c>
      <c r="DQ44" s="14">
        <f t="shared" si="43"/>
        <v>34.896936615903982</v>
      </c>
      <c r="DR44" s="22">
        <f t="shared" si="16"/>
        <v>293.99524327269938</v>
      </c>
      <c r="DS44" s="60">
        <f t="shared" si="17"/>
        <v>587.3285766060327</v>
      </c>
      <c r="DT44" s="60">
        <f ca="1">AVERAGE(OFFSET($DS$3,0,0,'Données projet'!$E$14+1,1))-AVERAGE(OFFSET($H$3,0,0,'Données projet'!$E$14+1,1))</f>
        <v>502.07782026233912</v>
      </c>
      <c r="DU44" s="60">
        <f t="shared" si="44"/>
        <v>285.83623046025156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8.4</v>
      </c>
      <c r="EJ44" s="13">
        <f>IF('Données projet'!$A$192&gt;35,EJ43+EI44-ER43,IF(A44&lt;'Données projet'!$A$192,$EG$205^A44,IF(A44='Données projet'!$A$192,'Données projet'!$B$192,EJ43+EI44-ER43)))</f>
        <v>124.40000000000003</v>
      </c>
      <c r="EK44" s="18">
        <f>EJ44*VLOOKUP('Données projet'!$B$15,Paramètres!$A$1:$I$89,3,0)*VLOOKUP('Données projet'!$B$15,Paramètres!$A$1:$I$89,5,0)</f>
        <v>112.55712000000003</v>
      </c>
      <c r="EL44" s="14">
        <f t="shared" si="45"/>
        <v>29.932653834140599</v>
      </c>
      <c r="EM44" s="22">
        <f t="shared" si="19"/>
        <v>248.16968942779496</v>
      </c>
      <c r="EN44" s="60">
        <f t="shared" si="20"/>
        <v>541.50302276112825</v>
      </c>
      <c r="EO44" s="60">
        <f ca="1">AVERAGE(OFFSET($EN$3,0,0,'Données projet'!$E$15+1,1))-AVERAGE(OFFSET($H$3,0,0,'Données projet'!$E$15+1,1))</f>
        <v>428.8489304403459</v>
      </c>
      <c r="EP44" s="60">
        <f t="shared" si="46"/>
        <v>247.01165577562966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 t="e">
        <f>N45*VLOOKUP('Données projet'!$B$9,Paramètres!$A$1:$I$89,3,0)*VLOOKUP('Données projet'!$B$9,Paramètres!$A$1:$I$89,5,0)</f>
        <v>#N/A</v>
      </c>
      <c r="P45" s="14" t="e">
        <f t="shared" si="33"/>
        <v>#N/A</v>
      </c>
      <c r="Q45" s="22" t="e">
        <f t="shared" si="53"/>
        <v>#N/A</v>
      </c>
      <c r="R45" s="60" t="e">
        <f t="shared" si="0"/>
        <v>#N/A</v>
      </c>
      <c r="S45" s="60" t="e">
        <f ca="1">AVERAGE(OFFSET($R$3,0,0,'Données projet'!$E$9+1,1))-AVERAGE(OFFSET($H$3,0,0,'Données projet'!$E$9+1,1))</f>
        <v>#N/A</v>
      </c>
      <c r="T45" s="60" t="e">
        <f t="shared" si="34"/>
        <v>#N/A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 t="e">
        <f>EXP(-LN(2)/35)*Z44+(1-EXP(-LN(2)/35))/(LN(2)/35)*V45*W45*VLOOKUP('Données projet'!$B$9,Paramètres!$A$1:$I$89,3,0)*0.475*44/12</f>
        <v>#N/A</v>
      </c>
      <c r="AA45" s="23" t="e">
        <f>EXP(-LN(2)/25)*AA44+(1-EXP(-LN(2)/25))/(LN(2)/25)*Calculateur!V45*Calculateur!X45*VLOOKUP('Données projet'!$B$9,Paramètres!$A$1:$I$89,3,0)*0.475*44/12</f>
        <v>#N/A</v>
      </c>
      <c r="AB45" s="23" t="e">
        <f>EXP(-LN(2)/2)*AB44+(1-EXP(-LN(2)/2))/(LN(2)/2)*V45*Y45*VLOOKUP('Données projet'!$B$9,Paramètres!$A$1:$I$89,3,0)*0.475*44/12</f>
        <v>#N/A</v>
      </c>
      <c r="AC45" s="24" t="e">
        <f t="shared" si="3"/>
        <v>#N/A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0" t="e">
        <f t="shared" si="5"/>
        <v>#N/A</v>
      </c>
      <c r="AN45" s="60" t="e">
        <f ca="1">AVERAGE(OFFSET($AM$3,0,0,'Données projet'!$E$10+1,1))-AVERAGE(OFFSET($H$3,0,0,'Données projet'!$E$10+1,1))</f>
        <v>#N/A</v>
      </c>
      <c r="AO45" s="60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5.6410256410256405</v>
      </c>
      <c r="BD45" s="13">
        <f>IF('Données projet'!$A$88&gt;35,BD44+BC45-BL44,IF(A45&lt;'Données projet'!$A$88,$BA$205^A45,IF(A45='Données projet'!$A$88,'Données projet'!$B$88,BD44+BC45-BL44)))</f>
        <v>156.79487179487185</v>
      </c>
      <c r="BE45" s="14">
        <f>BD45*VLOOKUP('Données projet'!$B$11,Paramètres!$A$1:$I$89,3,0)*VLOOKUP('Données projet'!$B$11,Paramètres!$A$1:$I$89,5,0)</f>
        <v>149.20600000000007</v>
      </c>
      <c r="BF45" s="14">
        <f t="shared" si="37"/>
        <v>38.398090573574592</v>
      </c>
      <c r="BG45" s="22">
        <f t="shared" si="7"/>
        <v>326.7437910823092</v>
      </c>
      <c r="BH45" s="60">
        <f t="shared" si="8"/>
        <v>620.07712441564252</v>
      </c>
      <c r="BI45" s="60">
        <f ca="1">AVERAGE(OFFSET($BH$3,0,0,'Données projet'!$E$11+1,1))-AVERAGE(OFFSET($H$3,0,0,'Données projet'!$E$11+1,1))</f>
        <v>357.083670644861</v>
      </c>
      <c r="BJ45" s="60">
        <f t="shared" si="38"/>
        <v>299.88885091109654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10.402930402930403</v>
      </c>
      <c r="BY45" s="13">
        <f>IF('Données projet'!$A$114&gt;35,BY44+BX45-CG44,IF(A45&lt;'Données projet'!$A$114,$BV$205^A45,IF(A45='Données projet'!$A$114,'Données projet'!$B$114,BY44+BX45-CG44)))</f>
        <v>227.91208791208786</v>
      </c>
      <c r="BZ45" s="14">
        <f>BY45*VLOOKUP('Données projet'!$B$12,Paramètres!$A$1:$I$89,3,0)*VLOOKUP('Données projet'!$B$12,Paramètres!$A$1:$I$89,5,0)</f>
        <v>106.66285714285712</v>
      </c>
      <c r="CA45" s="14">
        <f t="shared" si="39"/>
        <v>28.543323501294243</v>
      </c>
      <c r="CB45" s="22">
        <f t="shared" si="10"/>
        <v>235.48409795523028</v>
      </c>
      <c r="CC45" s="60">
        <f t="shared" si="11"/>
        <v>528.81743128856363</v>
      </c>
      <c r="CD45" s="60">
        <f ca="1">AVERAGE(OFFSET($CC$3,0,0,'Données projet'!$E$12+1,1))-AVERAGE(OFFSET($H$3,0,0,'Données projet'!$E$12+1,1))</f>
        <v>245.98992992759543</v>
      </c>
      <c r="CE45" s="60">
        <f t="shared" si="40"/>
        <v>145.34368562171613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128.44416000000004</v>
      </c>
      <c r="CV45" s="14">
        <f t="shared" si="41"/>
        <v>33.636598855068954</v>
      </c>
      <c r="CW45" s="22">
        <f t="shared" si="13"/>
        <v>282.29065500591184</v>
      </c>
      <c r="CX45" s="60">
        <f t="shared" si="14"/>
        <v>575.62398833924522</v>
      </c>
      <c r="CY45" s="60">
        <f ca="1">AVERAGE(OFFSET($CX$3,0,0,'Données projet'!$E$13+1,1))-AVERAGE(OFFSET($H$3,0,0,'Données projet'!$E$13+1,1))</f>
        <v>455.50822833641354</v>
      </c>
      <c r="CZ45" s="60">
        <f t="shared" si="42"/>
        <v>261.14722581688039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142.94592000000003</v>
      </c>
      <c r="DQ45" s="14">
        <f t="shared" si="43"/>
        <v>36.971054314096854</v>
      </c>
      <c r="DR45" s="22">
        <f t="shared" si="16"/>
        <v>313.35539693038538</v>
      </c>
      <c r="DS45" s="60">
        <f t="shared" si="17"/>
        <v>606.68873026371875</v>
      </c>
      <c r="DT45" s="60">
        <f ca="1">AVERAGE(OFFSET($DS$3,0,0,'Données projet'!$E$14+1,1))-AVERAGE(OFFSET($H$3,0,0,'Données projet'!$E$14+1,1))</f>
        <v>502.07782026233912</v>
      </c>
      <c r="DU45" s="60">
        <f t="shared" si="44"/>
        <v>285.83623046025156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8.4</v>
      </c>
      <c r="EJ45" s="13">
        <f>IF('Données projet'!$A$192&gt;35,EJ44+EI45-ER44,IF(A45&lt;'Données projet'!$A$192,$EG$205^A45,IF(A45='Données projet'!$A$192,'Données projet'!$B$192,EJ44+EI45-ER44)))</f>
        <v>132.80000000000004</v>
      </c>
      <c r="EK45" s="18">
        <f>EJ45*VLOOKUP('Données projet'!$B$15,Paramètres!$A$1:$I$89,3,0)*VLOOKUP('Données projet'!$B$15,Paramètres!$A$1:$I$89,5,0)</f>
        <v>120.15744000000002</v>
      </c>
      <c r="EL45" s="14">
        <f t="shared" si="45"/>
        <v>31.711716786129845</v>
      </c>
      <c r="EM45" s="22">
        <f t="shared" si="19"/>
        <v>264.50544806917623</v>
      </c>
      <c r="EN45" s="60">
        <f t="shared" si="20"/>
        <v>557.83878140250954</v>
      </c>
      <c r="EO45" s="60">
        <f ca="1">AVERAGE(OFFSET($EN$3,0,0,'Données projet'!$E$15+1,1))-AVERAGE(OFFSET($H$3,0,0,'Données projet'!$E$15+1,1))</f>
        <v>428.8489304403459</v>
      </c>
      <c r="EP45" s="60">
        <f t="shared" si="46"/>
        <v>247.01165577562966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 t="e">
        <f>N46*VLOOKUP('Données projet'!$B$9,Paramètres!$A$1:$I$89,3,0)*VLOOKUP('Données projet'!$B$9,Paramètres!$A$1:$I$89,5,0)</f>
        <v>#N/A</v>
      </c>
      <c r="P46" s="14" t="e">
        <f t="shared" si="33"/>
        <v>#N/A</v>
      </c>
      <c r="Q46" s="22" t="e">
        <f t="shared" si="53"/>
        <v>#N/A</v>
      </c>
      <c r="R46" s="60" t="e">
        <f t="shared" si="0"/>
        <v>#N/A</v>
      </c>
      <c r="S46" s="60" t="e">
        <f ca="1">AVERAGE(OFFSET($R$3,0,0,'Données projet'!$E$9+1,1))-AVERAGE(OFFSET($H$3,0,0,'Données projet'!$E$9+1,1))</f>
        <v>#N/A</v>
      </c>
      <c r="T46" s="60" t="e">
        <f t="shared" si="34"/>
        <v>#N/A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 t="e">
        <f>EXP(-LN(2)/35)*Z45+(1-EXP(-LN(2)/35))/(LN(2)/35)*V46*W46*VLOOKUP('Données projet'!$B$9,Paramètres!$A$1:$I$89,3,0)*0.475*44/12</f>
        <v>#N/A</v>
      </c>
      <c r="AA46" s="23" t="e">
        <f>EXP(-LN(2)/25)*AA45+(1-EXP(-LN(2)/25))/(LN(2)/25)*Calculateur!V46*Calculateur!X46*VLOOKUP('Données projet'!$B$9,Paramètres!$A$1:$I$89,3,0)*0.475*44/12</f>
        <v>#N/A</v>
      </c>
      <c r="AB46" s="23" t="e">
        <f>EXP(-LN(2)/2)*AB45+(1-EXP(-LN(2)/2))/(LN(2)/2)*V46*Y46*VLOOKUP('Données projet'!$B$9,Paramètres!$A$1:$I$89,3,0)*0.475*44/12</f>
        <v>#N/A</v>
      </c>
      <c r="AC46" s="24" t="e">
        <f t="shared" si="3"/>
        <v>#N/A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0" t="e">
        <f t="shared" si="5"/>
        <v>#N/A</v>
      </c>
      <c r="AN46" s="60" t="e">
        <f ca="1">AVERAGE(OFFSET($AM$3,0,0,'Données projet'!$E$10+1,1))-AVERAGE(OFFSET($H$3,0,0,'Données projet'!$E$10+1,1))</f>
        <v>#N/A</v>
      </c>
      <c r="AO46" s="60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5.6410256410256405</v>
      </c>
      <c r="BD46" s="13">
        <f>IF('Données projet'!$A$88&gt;35,BD45+BC46-BL45,IF(A46&lt;'Données projet'!$A$88,$BA$205^A46,IF(A46='Données projet'!$A$88,'Données projet'!$B$88,BD45+BC46-BL45)))</f>
        <v>162.43589743589749</v>
      </c>
      <c r="BE46" s="14">
        <f>BD46*VLOOKUP('Données projet'!$B$11,Paramètres!$A$1:$I$89,3,0)*VLOOKUP('Données projet'!$B$11,Paramètres!$A$1:$I$89,5,0)</f>
        <v>154.57400000000004</v>
      </c>
      <c r="BF46" s="14">
        <f t="shared" si="37"/>
        <v>39.616219397474659</v>
      </c>
      <c r="BG46" s="22">
        <f t="shared" si="7"/>
        <v>338.21463211726842</v>
      </c>
      <c r="BH46" s="60">
        <f t="shared" si="8"/>
        <v>631.54796545060174</v>
      </c>
      <c r="BI46" s="60">
        <f ca="1">AVERAGE(OFFSET($BH$3,0,0,'Données projet'!$E$11+1,1))-AVERAGE(OFFSET($H$3,0,0,'Données projet'!$E$11+1,1))</f>
        <v>357.083670644861</v>
      </c>
      <c r="BJ46" s="60">
        <f t="shared" si="38"/>
        <v>299.88885091109654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10.402930402930403</v>
      </c>
      <c r="BY46" s="13">
        <f>IF('Données projet'!$A$114&gt;35,BY45+BX46-CG45,IF(A46&lt;'Données projet'!$A$114,$BV$205^A46,IF(A46='Données projet'!$A$114,'Données projet'!$B$114,BY45+BX46-CG45)))</f>
        <v>238.31501831501825</v>
      </c>
      <c r="BZ46" s="14">
        <f>BY46*VLOOKUP('Données projet'!$B$12,Paramètres!$A$1:$I$89,3,0)*VLOOKUP('Données projet'!$B$12,Paramètres!$A$1:$I$89,5,0)</f>
        <v>111.53142857142855</v>
      </c>
      <c r="CA46" s="14">
        <f t="shared" si="39"/>
        <v>29.691510235320177</v>
      </c>
      <c r="CB46" s="22">
        <f t="shared" si="10"/>
        <v>245.96328508842066</v>
      </c>
      <c r="CC46" s="60">
        <f t="shared" si="11"/>
        <v>539.29661842175392</v>
      </c>
      <c r="CD46" s="60">
        <f ca="1">AVERAGE(OFFSET($CC$3,0,0,'Données projet'!$E$12+1,1))-AVERAGE(OFFSET($H$3,0,0,'Données projet'!$E$12+1,1))</f>
        <v>245.98992992759543</v>
      </c>
      <c r="CE46" s="60">
        <f t="shared" si="40"/>
        <v>145.34368562171613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136.56864000000004</v>
      </c>
      <c r="CV46" s="14">
        <f t="shared" si="41"/>
        <v>35.509797430964703</v>
      </c>
      <c r="CW46" s="22">
        <f t="shared" si="13"/>
        <v>299.70327852559694</v>
      </c>
      <c r="CX46" s="60">
        <f t="shared" si="14"/>
        <v>593.0366118589302</v>
      </c>
      <c r="CY46" s="60">
        <f ca="1">AVERAGE(OFFSET($CX$3,0,0,'Données projet'!$E$13+1,1))-AVERAGE(OFFSET($H$3,0,0,'Données projet'!$E$13+1,1))</f>
        <v>455.50822833641354</v>
      </c>
      <c r="CZ46" s="60">
        <f t="shared" si="42"/>
        <v>261.14722581688039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151.98768000000004</v>
      </c>
      <c r="DQ46" s="14">
        <f t="shared" si="43"/>
        <v>39.029946373574369</v>
      </c>
      <c r="DR46" s="22">
        <f t="shared" si="16"/>
        <v>332.68903260064207</v>
      </c>
      <c r="DS46" s="60">
        <f t="shared" si="17"/>
        <v>626.02236593397538</v>
      </c>
      <c r="DT46" s="60">
        <f ca="1">AVERAGE(OFFSET($DS$3,0,0,'Données projet'!$E$14+1,1))-AVERAGE(OFFSET($H$3,0,0,'Données projet'!$E$14+1,1))</f>
        <v>502.07782026233912</v>
      </c>
      <c r="DU46" s="60">
        <f t="shared" si="44"/>
        <v>285.83623046025156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8.4</v>
      </c>
      <c r="EJ46" s="13">
        <f>IF('Données projet'!$A$192&gt;35,EJ45+EI46-ER45,IF(A46&lt;'Données projet'!$A$192,$EG$205^A46,IF(A46='Données projet'!$A$192,'Données projet'!$B$192,EJ45+EI46-ER45)))</f>
        <v>141.20000000000005</v>
      </c>
      <c r="EK46" s="18">
        <f>EJ46*VLOOKUP('Données projet'!$B$15,Paramètres!$A$1:$I$89,3,0)*VLOOKUP('Données projet'!$B$15,Paramètres!$A$1:$I$89,5,0)</f>
        <v>127.75776000000003</v>
      </c>
      <c r="EL46" s="14">
        <f t="shared" si="45"/>
        <v>33.477720030956604</v>
      </c>
      <c r="EM46" s="22">
        <f t="shared" si="19"/>
        <v>280.81846105391611</v>
      </c>
      <c r="EN46" s="60">
        <f t="shared" si="20"/>
        <v>574.15179438724942</v>
      </c>
      <c r="EO46" s="60">
        <f ca="1">AVERAGE(OFFSET($EN$3,0,0,'Données projet'!$E$15+1,1))-AVERAGE(OFFSET($H$3,0,0,'Données projet'!$E$15+1,1))</f>
        <v>428.8489304403459</v>
      </c>
      <c r="EP46" s="60">
        <f t="shared" si="46"/>
        <v>247.01165577562966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 t="e">
        <f>N47*VLOOKUP('Données projet'!$B$9,Paramètres!$A$1:$I$89,3,0)*VLOOKUP('Données projet'!$B$9,Paramètres!$A$1:$I$89,5,0)</f>
        <v>#N/A</v>
      </c>
      <c r="P47" s="14" t="e">
        <f t="shared" si="33"/>
        <v>#N/A</v>
      </c>
      <c r="Q47" s="22" t="e">
        <f t="shared" si="53"/>
        <v>#N/A</v>
      </c>
      <c r="R47" s="60" t="e">
        <f t="shared" si="0"/>
        <v>#N/A</v>
      </c>
      <c r="S47" s="60" t="e">
        <f ca="1">AVERAGE(OFFSET($R$3,0,0,'Données projet'!$E$9+1,1))-AVERAGE(OFFSET($H$3,0,0,'Données projet'!$E$9+1,1))</f>
        <v>#N/A</v>
      </c>
      <c r="T47" s="60" t="e">
        <f t="shared" si="34"/>
        <v>#N/A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 t="e">
        <f>EXP(-LN(2)/35)*Z46+(1-EXP(-LN(2)/35))/(LN(2)/35)*V47*W47*VLOOKUP('Données projet'!$B$9,Paramètres!$A$1:$I$89,3,0)*0.475*44/12</f>
        <v>#N/A</v>
      </c>
      <c r="AA47" s="23" t="e">
        <f>EXP(-LN(2)/25)*AA46+(1-EXP(-LN(2)/25))/(LN(2)/25)*Calculateur!V47*Calculateur!X47*VLOOKUP('Données projet'!$B$9,Paramètres!$A$1:$I$89,3,0)*0.475*44/12</f>
        <v>#N/A</v>
      </c>
      <c r="AB47" s="23" t="e">
        <f>EXP(-LN(2)/2)*AB46+(1-EXP(-LN(2)/2))/(LN(2)/2)*V47*Y47*VLOOKUP('Données projet'!$B$9,Paramètres!$A$1:$I$89,3,0)*0.475*44/12</f>
        <v>#N/A</v>
      </c>
      <c r="AC47" s="24" t="e">
        <f t="shared" si="3"/>
        <v>#N/A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0" t="e">
        <f t="shared" si="5"/>
        <v>#N/A</v>
      </c>
      <c r="AN47" s="60" t="e">
        <f ca="1">AVERAGE(OFFSET($AM$3,0,0,'Données projet'!$E$10+1,1))-AVERAGE(OFFSET($H$3,0,0,'Données projet'!$E$10+1,1))</f>
        <v>#N/A</v>
      </c>
      <c r="AO47" s="60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5.6410256410256405</v>
      </c>
      <c r="BD47" s="13">
        <f>IF('Données projet'!$A$88&gt;35,BD46+BC47-BL46,IF(A47&lt;'Données projet'!$A$88,$BA$205^A47,IF(A47='Données projet'!$A$88,'Données projet'!$B$88,BD46+BC47-BL46)))</f>
        <v>168.07692307692312</v>
      </c>
      <c r="BE47" s="14">
        <f>BD47*VLOOKUP('Données projet'!$B$11,Paramètres!$A$1:$I$89,3,0)*VLOOKUP('Données projet'!$B$11,Paramètres!$A$1:$I$89,5,0)</f>
        <v>159.94200000000004</v>
      </c>
      <c r="BF47" s="14">
        <f t="shared" si="37"/>
        <v>40.829433068762448</v>
      </c>
      <c r="BG47" s="22">
        <f t="shared" si="7"/>
        <v>349.67691259476129</v>
      </c>
      <c r="BH47" s="60">
        <f t="shared" si="8"/>
        <v>643.01024592809461</v>
      </c>
      <c r="BI47" s="60">
        <f ca="1">AVERAGE(OFFSET($BH$3,0,0,'Données projet'!$E$11+1,1))-AVERAGE(OFFSET($H$3,0,0,'Données projet'!$E$11+1,1))</f>
        <v>357.083670644861</v>
      </c>
      <c r="BJ47" s="60">
        <f t="shared" si="38"/>
        <v>299.88885091109654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10.402930402930403</v>
      </c>
      <c r="BY47" s="13">
        <f>IF('Données projet'!$A$114&gt;35,BY46+BX47-CG46,IF(A47&lt;'Données projet'!$A$114,$BV$205^A47,IF(A47='Données projet'!$A$114,'Données projet'!$B$114,BY46+BX47-CG46)))</f>
        <v>248.71794871794864</v>
      </c>
      <c r="BZ47" s="14">
        <f>BY47*VLOOKUP('Données projet'!$B$12,Paramètres!$A$1:$I$89,3,0)*VLOOKUP('Données projet'!$B$12,Paramètres!$A$1:$I$89,5,0)</f>
        <v>116.39999999999996</v>
      </c>
      <c r="CA47" s="14">
        <f t="shared" si="39"/>
        <v>30.833875768540434</v>
      </c>
      <c r="CB47" s="22">
        <f t="shared" si="10"/>
        <v>256.43233363020784</v>
      </c>
      <c r="CC47" s="60">
        <f t="shared" si="11"/>
        <v>549.76566696354121</v>
      </c>
      <c r="CD47" s="60">
        <f ca="1">AVERAGE(OFFSET($CC$3,0,0,'Données projet'!$E$12+1,1))-AVERAGE(OFFSET($H$3,0,0,'Données projet'!$E$12+1,1))</f>
        <v>245.98992992759543</v>
      </c>
      <c r="CE47" s="60">
        <f t="shared" si="40"/>
        <v>145.34368562171613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144.69312000000005</v>
      </c>
      <c r="CV47" s="14">
        <f t="shared" si="41"/>
        <v>37.370061524802772</v>
      </c>
      <c r="CW47" s="22">
        <f t="shared" si="13"/>
        <v>317.09337448903153</v>
      </c>
      <c r="CX47" s="60">
        <f t="shared" si="14"/>
        <v>610.42670782236485</v>
      </c>
      <c r="CY47" s="60">
        <f ca="1">AVERAGE(OFFSET($CX$3,0,0,'Données projet'!$E$13+1,1))-AVERAGE(OFFSET($H$3,0,0,'Données projet'!$E$13+1,1))</f>
        <v>455.50822833641354</v>
      </c>
      <c r="CZ47" s="60">
        <f t="shared" si="42"/>
        <v>261.14722581688039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161.02944000000005</v>
      </c>
      <c r="DQ47" s="14">
        <f t="shared" si="43"/>
        <v>41.074621732940727</v>
      </c>
      <c r="DR47" s="22">
        <f t="shared" si="16"/>
        <v>351.99790751820518</v>
      </c>
      <c r="DS47" s="60">
        <f t="shared" si="17"/>
        <v>645.3312408515385</v>
      </c>
      <c r="DT47" s="60">
        <f ca="1">AVERAGE(OFFSET($DS$3,0,0,'Données projet'!$E$14+1,1))-AVERAGE(OFFSET($H$3,0,0,'Données projet'!$E$14+1,1))</f>
        <v>502.07782026233912</v>
      </c>
      <c r="DU47" s="60">
        <f t="shared" si="44"/>
        <v>285.83623046025156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8.4</v>
      </c>
      <c r="EJ47" s="13">
        <f>IF('Données projet'!$A$192&gt;35,EJ46+EI47-ER46,IF(A47&lt;'Données projet'!$A$192,$EG$205^A47,IF(A47='Données projet'!$A$192,'Données projet'!$B$192,EJ46+EI47-ER46)))</f>
        <v>149.60000000000005</v>
      </c>
      <c r="EK47" s="18">
        <f>EJ47*VLOOKUP('Données projet'!$B$15,Paramètres!$A$1:$I$89,3,0)*VLOOKUP('Données projet'!$B$15,Paramètres!$A$1:$I$89,5,0)</f>
        <v>135.35808000000006</v>
      </c>
      <c r="EL47" s="14">
        <f t="shared" si="45"/>
        <v>35.231528980112834</v>
      </c>
      <c r="EM47" s="22">
        <f t="shared" si="19"/>
        <v>297.11023564036327</v>
      </c>
      <c r="EN47" s="60">
        <f t="shared" si="20"/>
        <v>590.44356897369653</v>
      </c>
      <c r="EO47" s="60">
        <f ca="1">AVERAGE(OFFSET($EN$3,0,0,'Données projet'!$E$15+1,1))-AVERAGE(OFFSET($H$3,0,0,'Données projet'!$E$15+1,1))</f>
        <v>428.8489304403459</v>
      </c>
      <c r="EP47" s="60">
        <f t="shared" si="46"/>
        <v>247.01165577562966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 t="e">
        <f>N48*VLOOKUP('Données projet'!$B$9,Paramètres!$A$1:$I$89,3,0)*VLOOKUP('Données projet'!$B$9,Paramètres!$A$1:$I$89,5,0)</f>
        <v>#N/A</v>
      </c>
      <c r="P48" s="14" t="e">
        <f t="shared" si="33"/>
        <v>#N/A</v>
      </c>
      <c r="Q48" s="22" t="e">
        <f t="shared" si="53"/>
        <v>#N/A</v>
      </c>
      <c r="R48" s="60" t="e">
        <f t="shared" si="0"/>
        <v>#N/A</v>
      </c>
      <c r="S48" s="60" t="e">
        <f ca="1">AVERAGE(OFFSET($R$3,0,0,'Données projet'!$E$9+1,1))-AVERAGE(OFFSET($H$3,0,0,'Données projet'!$E$9+1,1))</f>
        <v>#N/A</v>
      </c>
      <c r="T48" s="60" t="e">
        <f t="shared" si="34"/>
        <v>#N/A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 t="e">
        <f>EXP(-LN(2)/35)*Z47+(1-EXP(-LN(2)/35))/(LN(2)/35)*V48*W48*VLOOKUP('Données projet'!$B$9,Paramètres!$A$1:$I$89,3,0)*0.475*44/12</f>
        <v>#N/A</v>
      </c>
      <c r="AA48" s="23" t="e">
        <f>EXP(-LN(2)/25)*AA47+(1-EXP(-LN(2)/25))/(LN(2)/25)*Calculateur!V48*Calculateur!X48*VLOOKUP('Données projet'!$B$9,Paramètres!$A$1:$I$89,3,0)*0.475*44/12</f>
        <v>#N/A</v>
      </c>
      <c r="AB48" s="23" t="e">
        <f>EXP(-LN(2)/2)*AB47+(1-EXP(-LN(2)/2))/(LN(2)/2)*V48*Y48*VLOOKUP('Données projet'!$B$9,Paramètres!$A$1:$I$89,3,0)*0.475*44/12</f>
        <v>#N/A</v>
      </c>
      <c r="AC48" s="24" t="e">
        <f t="shared" si="3"/>
        <v>#N/A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0" t="e">
        <f t="shared" si="5"/>
        <v>#N/A</v>
      </c>
      <c r="AN48" s="60" t="e">
        <f ca="1">AVERAGE(OFFSET($AM$3,0,0,'Données projet'!$E$10+1,1))-AVERAGE(OFFSET($H$3,0,0,'Données projet'!$E$10+1,1))</f>
        <v>#N/A</v>
      </c>
      <c r="AO48" s="60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173.7179487179487</v>
      </c>
      <c r="BB48" s="13">
        <f>VLOOKUP(A48,'Données projet'!$A$87:$I$107,9,0)</f>
        <v>5.6410256410256405</v>
      </c>
      <c r="BC48" s="13">
        <f t="array" ref="BC48">INDEX(BB:BB,MIN(IF(ISNUMBER(BB48:BB244),ROW(BB48:BB244),"")))</f>
        <v>5.6410256410256405</v>
      </c>
      <c r="BD48" s="13">
        <f>IF('Données projet'!$A$88&gt;35,BD47+BC48-BL47,IF(A48&lt;'Données projet'!$A$88,$BA$205^A48,IF(A48='Données projet'!$A$88,'Données projet'!$B$88,BD47+BC48-BL47)))</f>
        <v>173.71794871794876</v>
      </c>
      <c r="BE48" s="14">
        <f>BD48*VLOOKUP('Données projet'!$B$11,Paramètres!$A$1:$I$89,3,0)*VLOOKUP('Données projet'!$B$11,Paramètres!$A$1:$I$89,5,0)</f>
        <v>165.31000000000006</v>
      </c>
      <c r="BF48" s="14">
        <f t="shared" si="37"/>
        <v>42.037915463179381</v>
      </c>
      <c r="BG48" s="22">
        <f t="shared" si="7"/>
        <v>361.13095276503753</v>
      </c>
      <c r="BH48" s="60">
        <f t="shared" si="8"/>
        <v>654.46428609837085</v>
      </c>
      <c r="BI48" s="60">
        <f ca="1">AVERAGE(OFFSET($BH$3,0,0,'Données projet'!$E$11+1,1))-AVERAGE(OFFSET($H$3,0,0,'Données projet'!$E$11+1,1))</f>
        <v>357.083670644861</v>
      </c>
      <c r="BJ48" s="60">
        <f t="shared" si="38"/>
        <v>299.88885091109654</v>
      </c>
      <c r="BK48" s="16">
        <f>IF(ISNA(VLOOKUP(A48,'Données projet'!$A$87:$I$107,3,0)),0,VLOOKUP(A48,'Données projet'!$A$87:$I$107,3,0))</f>
        <v>2</v>
      </c>
      <c r="BL48" s="16">
        <f>IF(ISNA(VLOOKUP(A48,'Données projet'!$A$87:$I$107,4,0)),0,VLOOKUP(A48,'Données projet'!$A$87:$I$107,4,0))</f>
        <v>41.666666666666664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10.402930402930403</v>
      </c>
      <c r="BY48" s="13">
        <f>IF('Données projet'!$A$114&gt;35,BY47+BX48-CG47,IF(A48&lt;'Données projet'!$A$114,$BV$205^A48,IF(A48='Données projet'!$A$114,'Données projet'!$B$114,BY47+BX48-CG47)))</f>
        <v>259.12087912087907</v>
      </c>
      <c r="BZ48" s="14">
        <f>BY48*VLOOKUP('Données projet'!$B$12,Paramètres!$A$1:$I$89,3,0)*VLOOKUP('Données projet'!$B$12,Paramètres!$A$1:$I$89,5,0)</f>
        <v>121.26857142857141</v>
      </c>
      <c r="CA48" s="14">
        <f t="shared" si="39"/>
        <v>31.970691421429557</v>
      </c>
      <c r="CB48" s="22">
        <f t="shared" si="10"/>
        <v>266.89171613041833</v>
      </c>
      <c r="CC48" s="60">
        <f t="shared" si="11"/>
        <v>560.2250494637517</v>
      </c>
      <c r="CD48" s="60">
        <f ca="1">AVERAGE(OFFSET($CC$3,0,0,'Données projet'!$E$12+1,1))-AVERAGE(OFFSET($H$3,0,0,'Données projet'!$E$12+1,1))</f>
        <v>245.98992992759543</v>
      </c>
      <c r="CE48" s="60">
        <f t="shared" si="40"/>
        <v>145.34368562171613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152.81760000000006</v>
      </c>
      <c r="CV48" s="14">
        <f t="shared" si="41"/>
        <v>39.218200171484227</v>
      </c>
      <c r="CW48" s="22">
        <f t="shared" si="13"/>
        <v>334.46235196533513</v>
      </c>
      <c r="CX48" s="60">
        <f t="shared" si="14"/>
        <v>627.79568529866845</v>
      </c>
      <c r="CY48" s="60">
        <f ca="1">AVERAGE(OFFSET($CX$3,0,0,'Données projet'!$E$13+1,1))-AVERAGE(OFFSET($H$3,0,0,'Données projet'!$E$13+1,1))</f>
        <v>455.50822833641354</v>
      </c>
      <c r="CZ48" s="60">
        <f t="shared" si="42"/>
        <v>261.14722581688039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170.07120000000003</v>
      </c>
      <c r="DQ48" s="14">
        <f t="shared" si="43"/>
        <v>43.10596962815594</v>
      </c>
      <c r="DR48" s="22">
        <f t="shared" si="16"/>
        <v>371.28357043570503</v>
      </c>
      <c r="DS48" s="60">
        <f t="shared" si="17"/>
        <v>664.61690376903834</v>
      </c>
      <c r="DT48" s="60">
        <f ca="1">AVERAGE(OFFSET($DS$3,0,0,'Données projet'!$E$14+1,1))-AVERAGE(OFFSET($H$3,0,0,'Données projet'!$E$14+1,1))</f>
        <v>502.07782026233912</v>
      </c>
      <c r="DU48" s="60">
        <f t="shared" si="44"/>
        <v>285.83623046025156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158</v>
      </c>
      <c r="EH48" s="13">
        <f>VLOOKUP(A48,'Données projet'!$A$191:$I$211,9,0)</f>
        <v>8.4</v>
      </c>
      <c r="EI48" s="13">
        <f t="array" ref="EI48">INDEX(EH:EH,MIN(IF(ISNUMBER(EH48:EH244),ROW(EH48:EH244),"")))</f>
        <v>8.4</v>
      </c>
      <c r="EJ48" s="13">
        <f>IF('Données projet'!$A$192&gt;35,EJ47+EI48-ER47,IF(A48&lt;'Données projet'!$A$192,$EG$205^A48,IF(A48='Données projet'!$A$192,'Données projet'!$B$192,EJ47+EI48-ER47)))</f>
        <v>158.00000000000006</v>
      </c>
      <c r="EK48" s="18">
        <f>EJ48*VLOOKUP('Données projet'!$B$15,Paramètres!$A$1:$I$89,3,0)*VLOOKUP('Données projet'!$B$15,Paramètres!$A$1:$I$89,5,0)</f>
        <v>142.95840000000004</v>
      </c>
      <c r="EL48" s="14">
        <f t="shared" si="45"/>
        <v>36.973906370811264</v>
      </c>
      <c r="EM48" s="22">
        <f t="shared" si="19"/>
        <v>313.38210026249641</v>
      </c>
      <c r="EN48" s="60">
        <f t="shared" si="20"/>
        <v>606.71543359582972</v>
      </c>
      <c r="EO48" s="60">
        <f ca="1">AVERAGE(OFFSET($EN$3,0,0,'Données projet'!$E$15+1,1))-AVERAGE(OFFSET($H$3,0,0,'Données projet'!$E$15+1,1))</f>
        <v>428.8489304403459</v>
      </c>
      <c r="EP48" s="60">
        <f t="shared" si="46"/>
        <v>247.01165577562966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 t="e">
        <f>N49*VLOOKUP('Données projet'!$B$9,Paramètres!$A$1:$I$89,3,0)*VLOOKUP('Données projet'!$B$9,Paramètres!$A$1:$I$89,5,0)</f>
        <v>#N/A</v>
      </c>
      <c r="P49" s="14" t="e">
        <f t="shared" si="33"/>
        <v>#N/A</v>
      </c>
      <c r="Q49" s="22" t="e">
        <f t="shared" si="53"/>
        <v>#N/A</v>
      </c>
      <c r="R49" s="60" t="e">
        <f t="shared" si="0"/>
        <v>#N/A</v>
      </c>
      <c r="S49" s="60" t="e">
        <f ca="1">AVERAGE(OFFSET($R$3,0,0,'Données projet'!$E$9+1,1))-AVERAGE(OFFSET($H$3,0,0,'Données projet'!$E$9+1,1))</f>
        <v>#N/A</v>
      </c>
      <c r="T49" s="60" t="e">
        <f t="shared" si="34"/>
        <v>#N/A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 t="e">
        <f>EXP(-LN(2)/35)*Z48+(1-EXP(-LN(2)/35))/(LN(2)/35)*V49*W49*VLOOKUP('Données projet'!$B$9,Paramètres!$A$1:$I$89,3,0)*0.475*44/12</f>
        <v>#N/A</v>
      </c>
      <c r="AA49" s="23" t="e">
        <f>EXP(-LN(2)/25)*AA48+(1-EXP(-LN(2)/25))/(LN(2)/25)*Calculateur!V49*Calculateur!X49*VLOOKUP('Données projet'!$B$9,Paramètres!$A$1:$I$89,3,0)*0.475*44/12</f>
        <v>#N/A</v>
      </c>
      <c r="AB49" s="23" t="e">
        <f>EXP(-LN(2)/2)*AB48+(1-EXP(-LN(2)/2))/(LN(2)/2)*V49*Y49*VLOOKUP('Données projet'!$B$9,Paramètres!$A$1:$I$89,3,0)*0.475*44/12</f>
        <v>#N/A</v>
      </c>
      <c r="AC49" s="24" t="e">
        <f t="shared" si="3"/>
        <v>#N/A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0" t="e">
        <f t="shared" si="5"/>
        <v>#N/A</v>
      </c>
      <c r="AN49" s="60" t="e">
        <f ca="1">AVERAGE(OFFSET($AM$3,0,0,'Données projet'!$E$10+1,1))-AVERAGE(OFFSET($H$3,0,0,'Données projet'!$E$10+1,1))</f>
        <v>#N/A</v>
      </c>
      <c r="AO49" s="60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5.2564102564102537</v>
      </c>
      <c r="BD49" s="13">
        <f>IF('Données projet'!$A$88&gt;35,BD48+BC49-BL48,IF(A49&lt;'Données projet'!$A$88,$BA$205^A49,IF(A49='Données projet'!$A$88,'Données projet'!$B$88,BD48+BC49-BL48)))</f>
        <v>137.30769230769235</v>
      </c>
      <c r="BE49" s="14">
        <f>BD49*VLOOKUP('Données projet'!$B$11,Paramètres!$A$1:$I$89,3,0)*VLOOKUP('Données projet'!$B$11,Paramètres!$A$1:$I$89,5,0)</f>
        <v>130.66200000000006</v>
      </c>
      <c r="BF49" s="14">
        <f t="shared" si="37"/>
        <v>34.149282845527281</v>
      </c>
      <c r="BG49" s="22">
        <f t="shared" si="7"/>
        <v>287.04631762262676</v>
      </c>
      <c r="BH49" s="60">
        <f t="shared" si="8"/>
        <v>580.37965095596007</v>
      </c>
      <c r="BI49" s="60">
        <f ca="1">AVERAGE(OFFSET($BH$3,0,0,'Données projet'!$E$11+1,1))-AVERAGE(OFFSET($H$3,0,0,'Données projet'!$E$11+1,1))</f>
        <v>357.083670644861</v>
      </c>
      <c r="BJ49" s="60">
        <f t="shared" si="38"/>
        <v>299.88885091109654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10.402930402930403</v>
      </c>
      <c r="BY49" s="13">
        <f>IF('Données projet'!$A$114&gt;35,BY48+BX49-CG48,IF(A49&lt;'Données projet'!$A$114,$BV$205^A49,IF(A49='Données projet'!$A$114,'Données projet'!$B$114,BY48+BX49-CG48)))</f>
        <v>269.52380952380946</v>
      </c>
      <c r="BZ49" s="14">
        <f>BY49*VLOOKUP('Données projet'!$B$12,Paramètres!$A$1:$I$89,3,0)*VLOOKUP('Données projet'!$B$12,Paramètres!$A$1:$I$89,5,0)</f>
        <v>126.13714285714282</v>
      </c>
      <c r="CA49" s="14">
        <f t="shared" si="39"/>
        <v>33.102205495977692</v>
      </c>
      <c r="CB49" s="22">
        <f t="shared" si="10"/>
        <v>277.34186504835151</v>
      </c>
      <c r="CC49" s="60">
        <f t="shared" si="11"/>
        <v>570.67519838168482</v>
      </c>
      <c r="CD49" s="60">
        <f ca="1">AVERAGE(OFFSET($CC$3,0,0,'Données projet'!$E$12+1,1))-AVERAGE(OFFSET($H$3,0,0,'Données projet'!$E$12+1,1))</f>
        <v>245.98992992759543</v>
      </c>
      <c r="CE49" s="60">
        <f t="shared" si="40"/>
        <v>145.34368562171613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160.74864000000005</v>
      </c>
      <c r="CV49" s="14">
        <f t="shared" si="41"/>
        <v>41.011327345272264</v>
      </c>
      <c r="CW49" s="22">
        <f t="shared" si="13"/>
        <v>351.39860979301596</v>
      </c>
      <c r="CX49" s="60">
        <f t="shared" si="14"/>
        <v>644.73194312634928</v>
      </c>
      <c r="CY49" s="60">
        <f ca="1">AVERAGE(OFFSET($CX$3,0,0,'Données projet'!$E$13+1,1))-AVERAGE(OFFSET($H$3,0,0,'Données projet'!$E$13+1,1))</f>
        <v>455.50822833641354</v>
      </c>
      <c r="CZ49" s="60">
        <f t="shared" si="42"/>
        <v>261.14722581688039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166.20000000000005</v>
      </c>
      <c r="DP49" s="18">
        <f>DO49*VLOOKUP('Données projet'!$B$14,Paramètres!$A$1:$I$89,3,0)*VLOOKUP('Données projet'!$B$14,Paramètres!$A$1:$I$89,5,0)</f>
        <v>178.89768000000004</v>
      </c>
      <c r="DQ49" s="14">
        <f t="shared" si="43"/>
        <v>45.076852665999411</v>
      </c>
      <c r="DR49" s="22">
        <f t="shared" si="16"/>
        <v>390.08897772661572</v>
      </c>
      <c r="DS49" s="60">
        <f t="shared" si="17"/>
        <v>683.42231105994904</v>
      </c>
      <c r="DT49" s="60">
        <f ca="1">AVERAGE(OFFSET($DS$3,0,0,'Données projet'!$E$14+1,1))-AVERAGE(OFFSET($H$3,0,0,'Données projet'!$E$14+1,1))</f>
        <v>502.07782026233912</v>
      </c>
      <c r="DU49" s="60">
        <f t="shared" si="44"/>
        <v>285.83623046025156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8.1999999999999993</v>
      </c>
      <c r="EJ49" s="13">
        <f>IF('Données projet'!$A$192&gt;35,EJ48+EI49-ER48,IF(A49&lt;'Données projet'!$A$192,$EG$205^A49,IF(A49='Données projet'!$A$192,'Données projet'!$B$192,EJ48+EI49-ER48)))</f>
        <v>166.20000000000005</v>
      </c>
      <c r="EK49" s="18">
        <f>EJ49*VLOOKUP('Données projet'!$B$15,Paramètres!$A$1:$I$89,3,0)*VLOOKUP('Données projet'!$B$15,Paramètres!$A$1:$I$89,5,0)</f>
        <v>150.37776000000002</v>
      </c>
      <c r="EL49" s="14">
        <f t="shared" si="45"/>
        <v>38.664420365454049</v>
      </c>
      <c r="EM49" s="22">
        <f t="shared" si="19"/>
        <v>329.24846413649914</v>
      </c>
      <c r="EN49" s="60">
        <f t="shared" si="20"/>
        <v>622.58179746983251</v>
      </c>
      <c r="EO49" s="60">
        <f ca="1">AVERAGE(OFFSET($EN$3,0,0,'Données projet'!$E$15+1,1))-AVERAGE(OFFSET($H$3,0,0,'Données projet'!$E$15+1,1))</f>
        <v>428.8489304403459</v>
      </c>
      <c r="EP49" s="60">
        <f t="shared" si="46"/>
        <v>247.01165577562966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 t="e">
        <f>N50*VLOOKUP('Données projet'!$B$9,Paramètres!$A$1:$I$89,3,0)*VLOOKUP('Données projet'!$B$9,Paramètres!$A$1:$I$89,5,0)</f>
        <v>#N/A</v>
      </c>
      <c r="P50" s="14" t="e">
        <f t="shared" si="33"/>
        <v>#N/A</v>
      </c>
      <c r="Q50" s="22" t="e">
        <f t="shared" si="53"/>
        <v>#N/A</v>
      </c>
      <c r="R50" s="60" t="e">
        <f t="shared" si="0"/>
        <v>#N/A</v>
      </c>
      <c r="S50" s="60" t="e">
        <f ca="1">AVERAGE(OFFSET($R$3,0,0,'Données projet'!$E$9+1,1))-AVERAGE(OFFSET($H$3,0,0,'Données projet'!$E$9+1,1))</f>
        <v>#N/A</v>
      </c>
      <c r="T50" s="60" t="e">
        <f t="shared" si="34"/>
        <v>#N/A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 t="e">
        <f>EXP(-LN(2)/35)*Z49+(1-EXP(-LN(2)/35))/(LN(2)/35)*V50*W50*VLOOKUP('Données projet'!$B$9,Paramètres!$A$1:$I$89,3,0)*0.475*44/12</f>
        <v>#N/A</v>
      </c>
      <c r="AA50" s="23" t="e">
        <f>EXP(-LN(2)/25)*AA49+(1-EXP(-LN(2)/25))/(LN(2)/25)*Calculateur!V50*Calculateur!X50*VLOOKUP('Données projet'!$B$9,Paramètres!$A$1:$I$89,3,0)*0.475*44/12</f>
        <v>#N/A</v>
      </c>
      <c r="AB50" s="23" t="e">
        <f>EXP(-LN(2)/2)*AB49+(1-EXP(-LN(2)/2))/(LN(2)/2)*V50*Y50*VLOOKUP('Données projet'!$B$9,Paramètres!$A$1:$I$89,3,0)*0.475*44/12</f>
        <v>#N/A</v>
      </c>
      <c r="AC50" s="24" t="e">
        <f t="shared" si="3"/>
        <v>#N/A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0" t="e">
        <f t="shared" si="5"/>
        <v>#N/A</v>
      </c>
      <c r="AN50" s="60" t="e">
        <f ca="1">AVERAGE(OFFSET($AM$3,0,0,'Données projet'!$E$10+1,1))-AVERAGE(OFFSET($H$3,0,0,'Données projet'!$E$10+1,1))</f>
        <v>#N/A</v>
      </c>
      <c r="AO50" s="60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5.2564102564102537</v>
      </c>
      <c r="BD50" s="13">
        <f>IF('Données projet'!$A$88&gt;35,BD49+BC50-BL49,IF(A50&lt;'Données projet'!$A$88,$BA$205^A50,IF(A50='Données projet'!$A$88,'Données projet'!$B$88,BD49+BC50-BL49)))</f>
        <v>142.5641025641026</v>
      </c>
      <c r="BE50" s="14">
        <f>BD50*VLOOKUP('Données projet'!$B$11,Paramètres!$A$1:$I$89,3,0)*VLOOKUP('Données projet'!$B$11,Paramètres!$A$1:$I$89,5,0)</f>
        <v>135.66400000000004</v>
      </c>
      <c r="BF50" s="14">
        <f t="shared" si="37"/>
        <v>35.301877311719529</v>
      </c>
      <c r="BG50" s="22">
        <f t="shared" si="7"/>
        <v>297.7655696512449</v>
      </c>
      <c r="BH50" s="60">
        <f t="shared" si="8"/>
        <v>591.09890298457822</v>
      </c>
      <c r="BI50" s="60">
        <f ca="1">AVERAGE(OFFSET($BH$3,0,0,'Données projet'!$E$11+1,1))-AVERAGE(OFFSET($H$3,0,0,'Données projet'!$E$11+1,1))</f>
        <v>357.083670644861</v>
      </c>
      <c r="BJ50" s="60">
        <f t="shared" si="38"/>
        <v>299.88885091109654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10.402930402930403</v>
      </c>
      <c r="BY50" s="13">
        <f>IF('Données projet'!$A$114&gt;35,BY49+BX50-CG49,IF(A50&lt;'Données projet'!$A$114,$BV$205^A50,IF(A50='Données projet'!$A$114,'Données projet'!$B$114,BY49+BX50-CG49)))</f>
        <v>279.92673992673986</v>
      </c>
      <c r="BZ50" s="14">
        <f>BY50*VLOOKUP('Données projet'!$B$12,Paramètres!$A$1:$I$89,3,0)*VLOOKUP('Données projet'!$B$12,Paramètres!$A$1:$I$89,5,0)</f>
        <v>131.00571428571425</v>
      </c>
      <c r="CA50" s="14">
        <f t="shared" si="39"/>
        <v>34.228646041091935</v>
      </c>
      <c r="CB50" s="22">
        <f t="shared" si="10"/>
        <v>287.78317756918744</v>
      </c>
      <c r="CC50" s="60">
        <f t="shared" si="11"/>
        <v>581.11651090252076</v>
      </c>
      <c r="CD50" s="60">
        <f ca="1">AVERAGE(OFFSET($CC$3,0,0,'Données projet'!$E$12+1,1))-AVERAGE(OFFSET($H$3,0,0,'Données projet'!$E$12+1,1))</f>
        <v>245.98992992759543</v>
      </c>
      <c r="CE50" s="60">
        <f t="shared" si="40"/>
        <v>145.34368562171613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168.67968000000002</v>
      </c>
      <c r="CV50" s="14">
        <f t="shared" si="41"/>
        <v>42.794181774227013</v>
      </c>
      <c r="CW50" s="22">
        <f t="shared" si="13"/>
        <v>368.3169759234454</v>
      </c>
      <c r="CX50" s="60">
        <f t="shared" si="14"/>
        <v>661.65030925677866</v>
      </c>
      <c r="CY50" s="60">
        <f ca="1">AVERAGE(OFFSET($CX$3,0,0,'Données projet'!$E$13+1,1))-AVERAGE(OFFSET($H$3,0,0,'Données projet'!$E$13+1,1))</f>
        <v>455.50822833641354</v>
      </c>
      <c r="CZ50" s="60">
        <f t="shared" si="42"/>
        <v>261.14722581688039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174.40000000000003</v>
      </c>
      <c r="DP50" s="18">
        <f>DO50*VLOOKUP('Données projet'!$B$14,Paramètres!$A$1:$I$89,3,0)*VLOOKUP('Données projet'!$B$14,Paramètres!$A$1:$I$89,5,0)</f>
        <v>187.72416000000004</v>
      </c>
      <c r="DQ50" s="14">
        <f t="shared" si="43"/>
        <v>47.036444603668812</v>
      </c>
      <c r="DR50" s="22">
        <f t="shared" si="16"/>
        <v>408.87471968472323</v>
      </c>
      <c r="DS50" s="60">
        <f t="shared" si="17"/>
        <v>702.20805301805649</v>
      </c>
      <c r="DT50" s="60">
        <f ca="1">AVERAGE(OFFSET($DS$3,0,0,'Données projet'!$E$14+1,1))-AVERAGE(OFFSET($H$3,0,0,'Données projet'!$E$14+1,1))</f>
        <v>502.07782026233912</v>
      </c>
      <c r="DU50" s="60">
        <f t="shared" si="44"/>
        <v>285.83623046025156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8.1999999999999993</v>
      </c>
      <c r="EJ50" s="13">
        <f>IF('Données projet'!$A$192&gt;35,EJ49+EI50-ER49,IF(A50&lt;'Données projet'!$A$192,$EG$205^A50,IF(A50='Données projet'!$A$192,'Données projet'!$B$192,EJ49+EI50-ER49)))</f>
        <v>174.40000000000003</v>
      </c>
      <c r="EK50" s="18">
        <f>EJ50*VLOOKUP('Données projet'!$B$15,Paramètres!$A$1:$I$89,3,0)*VLOOKUP('Données projet'!$B$15,Paramètres!$A$1:$I$89,5,0)</f>
        <v>157.79712000000004</v>
      </c>
      <c r="EL50" s="14">
        <f t="shared" si="45"/>
        <v>40.345249481546155</v>
      </c>
      <c r="EM50" s="22">
        <f t="shared" si="19"/>
        <v>345.09796018035962</v>
      </c>
      <c r="EN50" s="60">
        <f t="shared" si="20"/>
        <v>638.43129351369294</v>
      </c>
      <c r="EO50" s="60">
        <f ca="1">AVERAGE(OFFSET($EN$3,0,0,'Données projet'!$E$15+1,1))-AVERAGE(OFFSET($H$3,0,0,'Données projet'!$E$15+1,1))</f>
        <v>428.8489304403459</v>
      </c>
      <c r="EP50" s="60">
        <f t="shared" si="46"/>
        <v>247.01165577562966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 t="e">
        <f>N51*VLOOKUP('Données projet'!$B$9,Paramètres!$A$1:$I$89,3,0)*VLOOKUP('Données projet'!$B$9,Paramètres!$A$1:$I$89,5,0)</f>
        <v>#N/A</v>
      </c>
      <c r="P51" s="14" t="e">
        <f t="shared" si="33"/>
        <v>#N/A</v>
      </c>
      <c r="Q51" s="22" t="e">
        <f t="shared" si="53"/>
        <v>#N/A</v>
      </c>
      <c r="R51" s="60" t="e">
        <f t="shared" si="0"/>
        <v>#N/A</v>
      </c>
      <c r="S51" s="60" t="e">
        <f ca="1">AVERAGE(OFFSET($R$3,0,0,'Données projet'!$E$9+1,1))-AVERAGE(OFFSET($H$3,0,0,'Données projet'!$E$9+1,1))</f>
        <v>#N/A</v>
      </c>
      <c r="T51" s="60" t="e">
        <f t="shared" si="34"/>
        <v>#N/A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 t="e">
        <f>EXP(-LN(2)/35)*Z50+(1-EXP(-LN(2)/35))/(LN(2)/35)*V51*W51*VLOOKUP('Données projet'!$B$9,Paramètres!$A$1:$I$89,3,0)*0.475*44/12</f>
        <v>#N/A</v>
      </c>
      <c r="AA51" s="23" t="e">
        <f>EXP(-LN(2)/25)*AA50+(1-EXP(-LN(2)/25))/(LN(2)/25)*Calculateur!V51*Calculateur!X51*VLOOKUP('Données projet'!$B$9,Paramètres!$A$1:$I$89,3,0)*0.475*44/12</f>
        <v>#N/A</v>
      </c>
      <c r="AB51" s="23" t="e">
        <f>EXP(-LN(2)/2)*AB50+(1-EXP(-LN(2)/2))/(LN(2)/2)*V51*Y51*VLOOKUP('Données projet'!$B$9,Paramètres!$A$1:$I$89,3,0)*0.475*44/12</f>
        <v>#N/A</v>
      </c>
      <c r="AC51" s="24" t="e">
        <f t="shared" si="3"/>
        <v>#N/A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0" t="e">
        <f t="shared" si="5"/>
        <v>#N/A</v>
      </c>
      <c r="AN51" s="60" t="e">
        <f ca="1">AVERAGE(OFFSET($AM$3,0,0,'Données projet'!$E$10+1,1))-AVERAGE(OFFSET($H$3,0,0,'Données projet'!$E$10+1,1))</f>
        <v>#N/A</v>
      </c>
      <c r="AO51" s="60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5.2564102564102537</v>
      </c>
      <c r="BD51" s="13">
        <f>IF('Données projet'!$A$88&gt;35,BD50+BC51-BL50,IF(A51&lt;'Données projet'!$A$88,$BA$205^A51,IF(A51='Données projet'!$A$88,'Données projet'!$B$88,BD50+BC51-BL50)))</f>
        <v>147.82051282051285</v>
      </c>
      <c r="BE51" s="14">
        <f>BD51*VLOOKUP('Données projet'!$B$11,Paramètres!$A$1:$I$89,3,0)*VLOOKUP('Données projet'!$B$11,Paramètres!$A$1:$I$89,5,0)</f>
        <v>140.66600000000003</v>
      </c>
      <c r="BF51" s="14">
        <f t="shared" si="37"/>
        <v>36.449534575573715</v>
      </c>
      <c r="BG51" s="22">
        <f t="shared" si="7"/>
        <v>308.47622271912428</v>
      </c>
      <c r="BH51" s="60">
        <f t="shared" si="8"/>
        <v>601.80955605245754</v>
      </c>
      <c r="BI51" s="60">
        <f ca="1">AVERAGE(OFFSET($BH$3,0,0,'Données projet'!$E$11+1,1))-AVERAGE(OFFSET($H$3,0,0,'Données projet'!$E$11+1,1))</f>
        <v>357.083670644861</v>
      </c>
      <c r="BJ51" s="60">
        <f t="shared" si="38"/>
        <v>299.88885091109654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10.402930402930403</v>
      </c>
      <c r="BY51" s="13">
        <f>IF('Données projet'!$A$114&gt;35,BY50+BX51-CG50,IF(A51&lt;'Données projet'!$A$114,$BV$205^A51,IF(A51='Données projet'!$A$114,'Données projet'!$B$114,BY50+BX51-CG50)))</f>
        <v>290.32967032967025</v>
      </c>
      <c r="BZ51" s="14">
        <f>BY51*VLOOKUP('Données projet'!$B$12,Paramètres!$A$1:$I$89,3,0)*VLOOKUP('Données projet'!$B$12,Paramètres!$A$1:$I$89,5,0)</f>
        <v>135.87428571428569</v>
      </c>
      <c r="CA51" s="14">
        <f t="shared" si="39"/>
        <v>35.350223195357941</v>
      </c>
      <c r="CB51" s="22">
        <f t="shared" si="10"/>
        <v>298.21601968429599</v>
      </c>
      <c r="CC51" s="60">
        <f t="shared" si="11"/>
        <v>591.5493530176293</v>
      </c>
      <c r="CD51" s="60">
        <f ca="1">AVERAGE(OFFSET($CC$3,0,0,'Données projet'!$E$12+1,1))-AVERAGE(OFFSET($H$3,0,0,'Données projet'!$E$12+1,1))</f>
        <v>245.98992992759543</v>
      </c>
      <c r="CE51" s="60">
        <f t="shared" si="40"/>
        <v>145.34368562171613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176.61072000000004</v>
      </c>
      <c r="CV51" s="14">
        <f t="shared" si="41"/>
        <v>44.56730162053563</v>
      </c>
      <c r="CW51" s="22">
        <f t="shared" si="13"/>
        <v>385.21838765576626</v>
      </c>
      <c r="CX51" s="60">
        <f t="shared" si="14"/>
        <v>678.55172098909952</v>
      </c>
      <c r="CY51" s="60">
        <f ca="1">AVERAGE(OFFSET($CX$3,0,0,'Données projet'!$E$13+1,1))-AVERAGE(OFFSET($H$3,0,0,'Données projet'!$E$13+1,1))</f>
        <v>455.50822833641354</v>
      </c>
      <c r="CZ51" s="60">
        <f t="shared" si="42"/>
        <v>261.14722581688039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182.60000000000002</v>
      </c>
      <c r="DP51" s="18">
        <f>DO51*VLOOKUP('Données projet'!$B$14,Paramètres!$A$1:$I$89,3,0)*VLOOKUP('Données projet'!$B$14,Paramètres!$A$1:$I$89,5,0)</f>
        <v>196.55064000000002</v>
      </c>
      <c r="DQ51" s="14">
        <f t="shared" si="43"/>
        <v>48.985336952319578</v>
      </c>
      <c r="DR51" s="22">
        <f t="shared" si="16"/>
        <v>427.6418265252899</v>
      </c>
      <c r="DS51" s="60">
        <f t="shared" si="17"/>
        <v>720.97515985862321</v>
      </c>
      <c r="DT51" s="60">
        <f ca="1">AVERAGE(OFFSET($DS$3,0,0,'Données projet'!$E$14+1,1))-AVERAGE(OFFSET($H$3,0,0,'Données projet'!$E$14+1,1))</f>
        <v>502.07782026233912</v>
      </c>
      <c r="DU51" s="60">
        <f t="shared" si="44"/>
        <v>285.83623046025156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8.1999999999999993</v>
      </c>
      <c r="EJ51" s="13">
        <f>IF('Données projet'!$A$192&gt;35,EJ50+EI51-ER50,IF(A51&lt;'Données projet'!$A$192,$EG$205^A51,IF(A51='Données projet'!$A$192,'Données projet'!$B$192,EJ50+EI51-ER50)))</f>
        <v>182.60000000000002</v>
      </c>
      <c r="EK51" s="18">
        <f>EJ51*VLOOKUP('Données projet'!$B$15,Paramètres!$A$1:$I$89,3,0)*VLOOKUP('Données projet'!$B$15,Paramètres!$A$1:$I$89,5,0)</f>
        <v>165.21648000000002</v>
      </c>
      <c r="EL51" s="14">
        <f t="shared" si="45"/>
        <v>42.016901084500397</v>
      </c>
      <c r="EM51" s="22">
        <f t="shared" si="19"/>
        <v>360.93147205550491</v>
      </c>
      <c r="EN51" s="60">
        <f t="shared" si="20"/>
        <v>654.26480538883823</v>
      </c>
      <c r="EO51" s="60">
        <f ca="1">AVERAGE(OFFSET($EN$3,0,0,'Données projet'!$E$15+1,1))-AVERAGE(OFFSET($H$3,0,0,'Données projet'!$E$15+1,1))</f>
        <v>428.8489304403459</v>
      </c>
      <c r="EP51" s="60">
        <f t="shared" si="46"/>
        <v>247.01165577562966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 t="e">
        <f>N52*VLOOKUP('Données projet'!$B$9,Paramètres!$A$1:$I$89,3,0)*VLOOKUP('Données projet'!$B$9,Paramètres!$A$1:$I$89,5,0)</f>
        <v>#N/A</v>
      </c>
      <c r="P52" s="14" t="e">
        <f t="shared" si="33"/>
        <v>#N/A</v>
      </c>
      <c r="Q52" s="22" t="e">
        <f t="shared" si="53"/>
        <v>#N/A</v>
      </c>
      <c r="R52" s="60" t="e">
        <f t="shared" si="0"/>
        <v>#N/A</v>
      </c>
      <c r="S52" s="60" t="e">
        <f ca="1">AVERAGE(OFFSET($R$3,0,0,'Données projet'!$E$9+1,1))-AVERAGE(OFFSET($H$3,0,0,'Données projet'!$E$9+1,1))</f>
        <v>#N/A</v>
      </c>
      <c r="T52" s="60" t="e">
        <f t="shared" si="34"/>
        <v>#N/A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 t="e">
        <f>EXP(-LN(2)/35)*Z51+(1-EXP(-LN(2)/35))/(LN(2)/35)*V52*W52*VLOOKUP('Données projet'!$B$9,Paramètres!$A$1:$I$89,3,0)*0.475*44/12</f>
        <v>#N/A</v>
      </c>
      <c r="AA52" s="23" t="e">
        <f>EXP(-LN(2)/25)*AA51+(1-EXP(-LN(2)/25))/(LN(2)/25)*Calculateur!V52*Calculateur!X52*VLOOKUP('Données projet'!$B$9,Paramètres!$A$1:$I$89,3,0)*0.475*44/12</f>
        <v>#N/A</v>
      </c>
      <c r="AB52" s="23" t="e">
        <f>EXP(-LN(2)/2)*AB51+(1-EXP(-LN(2)/2))/(LN(2)/2)*V52*Y52*VLOOKUP('Données projet'!$B$9,Paramètres!$A$1:$I$89,3,0)*0.475*44/12</f>
        <v>#N/A</v>
      </c>
      <c r="AC52" s="24" t="e">
        <f t="shared" si="3"/>
        <v>#N/A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0" t="e">
        <f t="shared" si="5"/>
        <v>#N/A</v>
      </c>
      <c r="AN52" s="60" t="e">
        <f ca="1">AVERAGE(OFFSET($AM$3,0,0,'Données projet'!$E$10+1,1))-AVERAGE(OFFSET($H$3,0,0,'Données projet'!$E$10+1,1))</f>
        <v>#N/A</v>
      </c>
      <c r="AO52" s="60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5.2564102564102537</v>
      </c>
      <c r="BD52" s="13">
        <f>IF('Données projet'!$A$88&gt;35,BD51+BC52-BL51,IF(A52&lt;'Données projet'!$A$88,$BA$205^A52,IF(A52='Données projet'!$A$88,'Données projet'!$B$88,BD51+BC52-BL51)))</f>
        <v>153.07692307692309</v>
      </c>
      <c r="BE52" s="14">
        <f>BD52*VLOOKUP('Données projet'!$B$11,Paramètres!$A$1:$I$89,3,0)*VLOOKUP('Données projet'!$B$11,Paramètres!$A$1:$I$89,5,0)</f>
        <v>145.66800000000003</v>
      </c>
      <c r="BF52" s="14">
        <f t="shared" si="37"/>
        <v>37.592450315522605</v>
      </c>
      <c r="BG52" s="22">
        <f t="shared" si="7"/>
        <v>319.17861763286857</v>
      </c>
      <c r="BH52" s="60">
        <f t="shared" si="8"/>
        <v>612.51195096620188</v>
      </c>
      <c r="BI52" s="60">
        <f ca="1">AVERAGE(OFFSET($BH$3,0,0,'Données projet'!$E$11+1,1))-AVERAGE(OFFSET($H$3,0,0,'Données projet'!$E$11+1,1))</f>
        <v>357.083670644861</v>
      </c>
      <c r="BJ52" s="60">
        <f t="shared" si="38"/>
        <v>299.88885091109654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10.402930402930403</v>
      </c>
      <c r="BY52" s="13">
        <f>IF('Données projet'!$A$114&gt;35,BY51+BX52-CG51,IF(A52&lt;'Données projet'!$A$114,$BV$205^A52,IF(A52='Données projet'!$A$114,'Données projet'!$B$114,BY51+BX52-CG51)))</f>
        <v>300.73260073260064</v>
      </c>
      <c r="BZ52" s="14">
        <f>BY52*VLOOKUP('Données projet'!$B$12,Paramètres!$A$1:$I$89,3,0)*VLOOKUP('Données projet'!$B$12,Paramètres!$A$1:$I$89,5,0)</f>
        <v>140.7428571428571</v>
      </c>
      <c r="CA52" s="14">
        <f t="shared" si="39"/>
        <v>36.467131184587252</v>
      </c>
      <c r="CB52" s="22">
        <f t="shared" si="10"/>
        <v>308.64072967029892</v>
      </c>
      <c r="CC52" s="60">
        <f t="shared" si="11"/>
        <v>601.97406300363218</v>
      </c>
      <c r="CD52" s="60">
        <f ca="1">AVERAGE(OFFSET($CC$3,0,0,'Données projet'!$E$12+1,1))-AVERAGE(OFFSET($H$3,0,0,'Données projet'!$E$12+1,1))</f>
        <v>245.98992992759543</v>
      </c>
      <c r="CE52" s="60">
        <f t="shared" si="40"/>
        <v>145.34368562171613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184.54176000000001</v>
      </c>
      <c r="CV52" s="14">
        <f t="shared" si="41"/>
        <v>46.33117397953523</v>
      </c>
      <c r="CW52" s="22">
        <f t="shared" si="13"/>
        <v>402.10369334769052</v>
      </c>
      <c r="CX52" s="60">
        <f t="shared" si="14"/>
        <v>695.43702668102378</v>
      </c>
      <c r="CY52" s="60">
        <f ca="1">AVERAGE(OFFSET($CX$3,0,0,'Données projet'!$E$13+1,1))-AVERAGE(OFFSET($H$3,0,0,'Données projet'!$E$13+1,1))</f>
        <v>455.50822833641354</v>
      </c>
      <c r="CZ52" s="60">
        <f t="shared" si="42"/>
        <v>261.14722581688039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190.8</v>
      </c>
      <c r="DP52" s="18">
        <f>DO52*VLOOKUP('Données projet'!$B$14,Paramètres!$A$1:$I$89,3,0)*VLOOKUP('Données projet'!$B$14,Paramètres!$A$1:$I$89,5,0)</f>
        <v>205.37711999999999</v>
      </c>
      <c r="DQ52" s="14">
        <f t="shared" si="43"/>
        <v>50.924065093909938</v>
      </c>
      <c r="DR52" s="22">
        <f t="shared" si="16"/>
        <v>446.39123070522641</v>
      </c>
      <c r="DS52" s="60">
        <f t="shared" si="17"/>
        <v>739.72456403855972</v>
      </c>
      <c r="DT52" s="60">
        <f ca="1">AVERAGE(OFFSET($DS$3,0,0,'Données projet'!$E$14+1,1))-AVERAGE(OFFSET($H$3,0,0,'Données projet'!$E$14+1,1))</f>
        <v>502.07782026233912</v>
      </c>
      <c r="DU52" s="60">
        <f t="shared" si="44"/>
        <v>285.83623046025156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8.1999999999999993</v>
      </c>
      <c r="EJ52" s="13">
        <f>IF('Données projet'!$A$192&gt;35,EJ51+EI52-ER51,IF(A52&lt;'Données projet'!$A$192,$EG$205^A52,IF(A52='Données projet'!$A$192,'Données projet'!$B$192,EJ51+EI52-ER51)))</f>
        <v>190.8</v>
      </c>
      <c r="EK52" s="18">
        <f>EJ52*VLOOKUP('Données projet'!$B$15,Paramètres!$A$1:$I$89,3,0)*VLOOKUP('Données projet'!$B$15,Paramètres!$A$1:$I$89,5,0)</f>
        <v>172.63584</v>
      </c>
      <c r="EL52" s="14">
        <f t="shared" si="45"/>
        <v>43.679834395222109</v>
      </c>
      <c r="EM52" s="22">
        <f t="shared" si="19"/>
        <v>376.74979957167847</v>
      </c>
      <c r="EN52" s="60">
        <f t="shared" si="20"/>
        <v>670.08313290501178</v>
      </c>
      <c r="EO52" s="60">
        <f ca="1">AVERAGE(OFFSET($EN$3,0,0,'Données projet'!$E$15+1,1))-AVERAGE(OFFSET($H$3,0,0,'Données projet'!$E$15+1,1))</f>
        <v>428.8489304403459</v>
      </c>
      <c r="EP52" s="60">
        <f t="shared" si="46"/>
        <v>247.01165577562966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 t="e">
        <f>N53*VLOOKUP('Données projet'!$B$9,Paramètres!$A$1:$I$89,3,0)*VLOOKUP('Données projet'!$B$9,Paramètres!$A$1:$I$89,5,0)</f>
        <v>#N/A</v>
      </c>
      <c r="P53" s="14" t="e">
        <f t="shared" si="33"/>
        <v>#N/A</v>
      </c>
      <c r="Q53" s="22" t="e">
        <f t="shared" si="53"/>
        <v>#N/A</v>
      </c>
      <c r="R53" s="60" t="e">
        <f t="shared" si="0"/>
        <v>#N/A</v>
      </c>
      <c r="S53" s="60" t="e">
        <f ca="1">AVERAGE(OFFSET($R$3,0,0,'Données projet'!$E$9+1,1))-AVERAGE(OFFSET($H$3,0,0,'Données projet'!$E$9+1,1))</f>
        <v>#N/A</v>
      </c>
      <c r="T53" s="60" t="e">
        <f t="shared" si="34"/>
        <v>#N/A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 t="e">
        <f>EXP(-LN(2)/35)*Z52+(1-EXP(-LN(2)/35))/(LN(2)/35)*V53*W53*VLOOKUP('Données projet'!$B$9,Paramètres!$A$1:$I$89,3,0)*0.475*44/12</f>
        <v>#N/A</v>
      </c>
      <c r="AA53" s="23" t="e">
        <f>EXP(-LN(2)/25)*AA52+(1-EXP(-LN(2)/25))/(LN(2)/25)*Calculateur!V53*Calculateur!X53*VLOOKUP('Données projet'!$B$9,Paramètres!$A$1:$I$89,3,0)*0.475*44/12</f>
        <v>#N/A</v>
      </c>
      <c r="AB53" s="23" t="e">
        <f>EXP(-LN(2)/2)*AB52+(1-EXP(-LN(2)/2))/(LN(2)/2)*V53*Y53*VLOOKUP('Données projet'!$B$9,Paramètres!$A$1:$I$89,3,0)*0.475*44/12</f>
        <v>#N/A</v>
      </c>
      <c r="AC53" s="24" t="e">
        <f t="shared" si="3"/>
        <v>#N/A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0" t="e">
        <f t="shared" si="5"/>
        <v>#N/A</v>
      </c>
      <c r="AN53" s="60" t="e">
        <f ca="1">AVERAGE(OFFSET($AM$3,0,0,'Données projet'!$E$10+1,1))-AVERAGE(OFFSET($H$3,0,0,'Données projet'!$E$10+1,1))</f>
        <v>#N/A</v>
      </c>
      <c r="AO53" s="60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158.33333333333331</v>
      </c>
      <c r="BB53" s="13">
        <f>VLOOKUP(A53,'Données projet'!$A$87:$I$107,9,0)</f>
        <v>5.2564102564102537</v>
      </c>
      <c r="BC53" s="13">
        <f t="array" ref="BC53">INDEX(BB:BB,MIN(IF(ISNUMBER(BB53:BB249),ROW(BB53:BB249),"")))</f>
        <v>5.2564102564102537</v>
      </c>
      <c r="BD53" s="13">
        <f>IF('Données projet'!$A$88&gt;35,BD52+BC53-BL52,IF(A53&lt;'Données projet'!$A$88,$BA$205^A53,IF(A53='Données projet'!$A$88,'Données projet'!$B$88,BD52+BC53-BL52)))</f>
        <v>158.33333333333334</v>
      </c>
      <c r="BE53" s="14">
        <f>BD53*VLOOKUP('Données projet'!$B$11,Paramètres!$A$1:$I$89,3,0)*VLOOKUP('Données projet'!$B$11,Paramètres!$A$1:$I$89,5,0)</f>
        <v>150.67000000000002</v>
      </c>
      <c r="BF53" s="14">
        <f t="shared" si="37"/>
        <v>38.730806009209921</v>
      </c>
      <c r="BG53" s="22">
        <f t="shared" si="7"/>
        <v>329.87307046604059</v>
      </c>
      <c r="BH53" s="60">
        <f t="shared" si="8"/>
        <v>623.2064037993739</v>
      </c>
      <c r="BI53" s="60">
        <f ca="1">AVERAGE(OFFSET($BH$3,0,0,'Données projet'!$E$11+1,1))-AVERAGE(OFFSET($H$3,0,0,'Données projet'!$E$11+1,1))</f>
        <v>357.083670644861</v>
      </c>
      <c r="BJ53" s="60">
        <f t="shared" si="38"/>
        <v>299.88885091109654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10.402930402930403</v>
      </c>
      <c r="BY53" s="13">
        <f>IF('Données projet'!$A$114&gt;35,BY52+BX53-CG52,IF(A53&lt;'Données projet'!$A$114,$BV$205^A53,IF(A53='Données projet'!$A$114,'Données projet'!$B$114,BY52+BX53-CG52)))</f>
        <v>311.13553113553104</v>
      </c>
      <c r="BZ53" s="14">
        <f>BY53*VLOOKUP('Données projet'!$B$12,Paramètres!$A$1:$I$89,3,0)*VLOOKUP('Données projet'!$B$12,Paramètres!$A$1:$I$89,5,0)</f>
        <v>145.61142857142852</v>
      </c>
      <c r="CA53" s="14">
        <f t="shared" si="39"/>
        <v>37.579550035203404</v>
      </c>
      <c r="CB53" s="22">
        <f t="shared" si="10"/>
        <v>319.05762107321726</v>
      </c>
      <c r="CC53" s="60">
        <f t="shared" si="11"/>
        <v>612.39095440655058</v>
      </c>
      <c r="CD53" s="60">
        <f ca="1">AVERAGE(OFFSET($CC$3,0,0,'Données projet'!$E$12+1,1))-AVERAGE(OFFSET($H$3,0,0,'Données projet'!$E$12+1,1))</f>
        <v>245.98992992759543</v>
      </c>
      <c r="CE53" s="60">
        <f t="shared" si="40"/>
        <v>145.34368562171613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192.47280000000001</v>
      </c>
      <c r="CV53" s="14">
        <f t="shared" si="41"/>
        <v>48.086241710923829</v>
      </c>
      <c r="CW53" s="22">
        <f t="shared" si="13"/>
        <v>418.97366431319239</v>
      </c>
      <c r="CX53" s="60">
        <f t="shared" si="14"/>
        <v>712.3069976465257</v>
      </c>
      <c r="CY53" s="60">
        <f ca="1">AVERAGE(OFFSET($CX$3,0,0,'Données projet'!$E$13+1,1))-AVERAGE(OFFSET($H$3,0,0,'Données projet'!$E$13+1,1))</f>
        <v>455.50822833641354</v>
      </c>
      <c r="CZ53" s="60">
        <f t="shared" si="42"/>
        <v>261.14722581688039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199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199</v>
      </c>
      <c r="DP53" s="18">
        <f>DO53*VLOOKUP('Données projet'!$B$14,Paramètres!$A$1:$I$89,3,0)*VLOOKUP('Données projet'!$B$14,Paramètres!$A$1:$I$89,5,0)</f>
        <v>214.20360000000002</v>
      </c>
      <c r="DQ53" s="14">
        <f t="shared" si="43"/>
        <v>52.853115789602029</v>
      </c>
      <c r="DR53" s="22">
        <f t="shared" si="16"/>
        <v>465.12378000022358</v>
      </c>
      <c r="DS53" s="60">
        <f t="shared" si="17"/>
        <v>758.45711333355689</v>
      </c>
      <c r="DT53" s="60">
        <f ca="1">AVERAGE(OFFSET($DS$3,0,0,'Données projet'!$E$14+1,1))-AVERAGE(OFFSET($H$3,0,0,'Données projet'!$E$14+1,1))</f>
        <v>502.07782026233912</v>
      </c>
      <c r="DU53" s="60">
        <f t="shared" si="44"/>
        <v>285.83623046025156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42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199</v>
      </c>
      <c r="EH53" s="13">
        <f>VLOOKUP(A53,'Données projet'!$A$191:$I$211,9,0)</f>
        <v>8.1999999999999993</v>
      </c>
      <c r="EI53" s="13">
        <f t="array" ref="EI53">INDEX(EH:EH,MIN(IF(ISNUMBER(EH53:EH249),ROW(EH53:EH249),"")))</f>
        <v>8.1999999999999993</v>
      </c>
      <c r="EJ53" s="13">
        <f>IF('Données projet'!$A$192&gt;35,EJ52+EI53-ER52,IF(A53&lt;'Données projet'!$A$192,$EG$205^A53,IF(A53='Données projet'!$A$192,'Données projet'!$B$192,EJ52+EI53-ER52)))</f>
        <v>199</v>
      </c>
      <c r="EK53" s="18">
        <f>EJ53*VLOOKUP('Données projet'!$B$15,Paramètres!$A$1:$I$89,3,0)*VLOOKUP('Données projet'!$B$15,Paramètres!$A$1:$I$89,5,0)</f>
        <v>180.05519999999999</v>
      </c>
      <c r="EL53" s="14">
        <f t="shared" si="45"/>
        <v>45.334466930398364</v>
      </c>
      <c r="EM53" s="22">
        <f t="shared" si="19"/>
        <v>392.55366990377706</v>
      </c>
      <c r="EN53" s="60">
        <f t="shared" si="20"/>
        <v>685.88700323711032</v>
      </c>
      <c r="EO53" s="60">
        <f ca="1">AVERAGE(OFFSET($EN$3,0,0,'Données projet'!$E$15+1,1))-AVERAGE(OFFSET($H$3,0,0,'Données projet'!$E$15+1,1))</f>
        <v>428.8489304403459</v>
      </c>
      <c r="EP53" s="60">
        <f t="shared" si="46"/>
        <v>247.01165577562966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42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 t="e">
        <f>N54*VLOOKUP('Données projet'!$B$9,Paramètres!$A$1:$I$89,3,0)*VLOOKUP('Données projet'!$B$9,Paramètres!$A$1:$I$89,5,0)</f>
        <v>#N/A</v>
      </c>
      <c r="P54" s="14" t="e">
        <f t="shared" si="33"/>
        <v>#N/A</v>
      </c>
      <c r="Q54" s="22" t="e">
        <f t="shared" si="53"/>
        <v>#N/A</v>
      </c>
      <c r="R54" s="60" t="e">
        <f t="shared" si="0"/>
        <v>#N/A</v>
      </c>
      <c r="S54" s="60" t="e">
        <f ca="1">AVERAGE(OFFSET($R$3,0,0,'Données projet'!$E$9+1,1))-AVERAGE(OFFSET($H$3,0,0,'Données projet'!$E$9+1,1))</f>
        <v>#N/A</v>
      </c>
      <c r="T54" s="60" t="e">
        <f t="shared" si="34"/>
        <v>#N/A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 t="e">
        <f>EXP(-LN(2)/35)*Z53+(1-EXP(-LN(2)/35))/(LN(2)/35)*V54*W54*VLOOKUP('Données projet'!$B$9,Paramètres!$A$1:$I$89,3,0)*0.475*44/12</f>
        <v>#N/A</v>
      </c>
      <c r="AA54" s="23" t="e">
        <f>EXP(-LN(2)/25)*AA53+(1-EXP(-LN(2)/25))/(LN(2)/25)*Calculateur!V54*Calculateur!X54*VLOOKUP('Données projet'!$B$9,Paramètres!$A$1:$I$89,3,0)*0.475*44/12</f>
        <v>#N/A</v>
      </c>
      <c r="AB54" s="23" t="e">
        <f>EXP(-LN(2)/2)*AB53+(1-EXP(-LN(2)/2))/(LN(2)/2)*V54*Y54*VLOOKUP('Données projet'!$B$9,Paramètres!$A$1:$I$89,3,0)*0.475*44/12</f>
        <v>#N/A</v>
      </c>
      <c r="AC54" s="24" t="e">
        <f t="shared" si="3"/>
        <v>#N/A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0" t="e">
        <f t="shared" si="5"/>
        <v>#N/A</v>
      </c>
      <c r="AN54" s="60" t="e">
        <f ca="1">AVERAGE(OFFSET($AM$3,0,0,'Données projet'!$E$10+1,1))-AVERAGE(OFFSET($H$3,0,0,'Données projet'!$E$10+1,1))</f>
        <v>#N/A</v>
      </c>
      <c r="AO54" s="60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4.8717948717948731</v>
      </c>
      <c r="BD54" s="13">
        <f>IF('Données projet'!$A$88&gt;35,BD53+BC54-BL53,IF(A54&lt;'Données projet'!$A$88,$BA$205^A54,IF(A54='Données projet'!$A$88,'Données projet'!$B$88,BD53+BC54-BL53)))</f>
        <v>163.2051282051282</v>
      </c>
      <c r="BE54" s="14">
        <f>BD54*VLOOKUP('Données projet'!$B$11,Paramètres!$A$1:$I$89,3,0)*VLOOKUP('Données projet'!$B$11,Paramètres!$A$1:$I$89,5,0)</f>
        <v>155.30599999999998</v>
      </c>
      <c r="BF54" s="14">
        <f t="shared" si="37"/>
        <v>39.781942810239308</v>
      </c>
      <c r="BG54" s="22">
        <f t="shared" si="7"/>
        <v>339.77816706116676</v>
      </c>
      <c r="BH54" s="60">
        <f t="shared" si="8"/>
        <v>633.11150039450013</v>
      </c>
      <c r="BI54" s="60">
        <f ca="1">AVERAGE(OFFSET($BH$3,0,0,'Données projet'!$E$11+1,1))-AVERAGE(OFFSET($H$3,0,0,'Données projet'!$E$11+1,1))</f>
        <v>357.083670644861</v>
      </c>
      <c r="BJ54" s="60">
        <f t="shared" si="38"/>
        <v>299.88885091109654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>
        <f>VLOOKUP(A54,'Données projet'!$A$113:$I$133,2,0)</f>
        <v>321.53846153846155</v>
      </c>
      <c r="BW54" s="13">
        <f>VLOOKUP(A54,'Données projet'!$A$113:$I$133,9,0)</f>
        <v>10.402930402930403</v>
      </c>
      <c r="BX54" s="13">
        <f t="array" ref="BX54">INDEX(BW:BW,MIN(IF(ISNUMBER(BW54:BW250),ROW(BW54:BW250),"")))</f>
        <v>10.402930402930403</v>
      </c>
      <c r="BY54" s="13">
        <f>IF('Données projet'!$A$114&gt;35,BY53+BX54-CG53,IF(A54&lt;'Données projet'!$A$114,$BV$205^A54,IF(A54='Données projet'!$A$114,'Données projet'!$B$114,BY53+BX54-CG53)))</f>
        <v>321.53846153846143</v>
      </c>
      <c r="BZ54" s="14">
        <f>BY54*VLOOKUP('Données projet'!$B$12,Paramètres!$A$1:$I$89,3,0)*VLOOKUP('Données projet'!$B$12,Paramètres!$A$1:$I$89,5,0)</f>
        <v>150.47999999999996</v>
      </c>
      <c r="CA54" s="14">
        <f t="shared" si="39"/>
        <v>38.687647052039566</v>
      </c>
      <c r="CB54" s="22">
        <f t="shared" si="10"/>
        <v>329.46698528230218</v>
      </c>
      <c r="CC54" s="60">
        <f t="shared" si="11"/>
        <v>622.80031861563543</v>
      </c>
      <c r="CD54" s="60">
        <f ca="1">AVERAGE(OFFSET($CC$3,0,0,'Données projet'!$E$12+1,1))-AVERAGE(OFFSET($H$3,0,0,'Données projet'!$E$12+1,1))</f>
        <v>245.98992992759543</v>
      </c>
      <c r="CE54" s="60">
        <f t="shared" si="40"/>
        <v>145.34368562171613</v>
      </c>
      <c r="CF54" s="16">
        <f>IF(ISNA(VLOOKUP(A54,'Données projet'!$A$113:$I$133,3,0)),0,VLOOKUP(A54,'Données projet'!$A$113:$I$133,3,0))</f>
        <v>1</v>
      </c>
      <c r="CG54" s="16">
        <f>IF(ISNA(VLOOKUP(A54,'Données projet'!$A$113:$I$133,4,0)),0,VLOOKUP(A54,'Données projet'!$A$113:$I$133,4,0))</f>
        <v>100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159.58799999999999</v>
      </c>
      <c r="CV54" s="14">
        <f t="shared" si="41"/>
        <v>40.74957371668588</v>
      </c>
      <c r="CW54" s="22">
        <f t="shared" si="13"/>
        <v>348.92127422322784</v>
      </c>
      <c r="CX54" s="60">
        <f t="shared" si="14"/>
        <v>642.25460755656115</v>
      </c>
      <c r="CY54" s="60">
        <f ca="1">AVERAGE(OFFSET($CX$3,0,0,'Données projet'!$E$13+1,1))-AVERAGE(OFFSET($H$3,0,0,'Données projet'!$E$13+1,1))</f>
        <v>455.50822833641354</v>
      </c>
      <c r="CZ54" s="60">
        <f t="shared" si="42"/>
        <v>261.14722581688039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177.60599999999999</v>
      </c>
      <c r="DQ54" s="14">
        <f t="shared" si="43"/>
        <v>44.789150937858665</v>
      </c>
      <c r="DR54" s="22">
        <f t="shared" si="16"/>
        <v>387.33822121677048</v>
      </c>
      <c r="DS54" s="60">
        <f t="shared" si="17"/>
        <v>680.67155455010379</v>
      </c>
      <c r="DT54" s="60">
        <f ca="1">AVERAGE(OFFSET($DS$3,0,0,'Données projet'!$E$14+1,1))-AVERAGE(OFFSET($H$3,0,0,'Données projet'!$E$14+1,1))</f>
        <v>502.07782026233912</v>
      </c>
      <c r="DU54" s="60">
        <f t="shared" si="44"/>
        <v>285.83623046025156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</v>
      </c>
      <c r="EJ54" s="13">
        <f>IF('Données projet'!$A$192&gt;35,EJ53+EI54-ER53,IF(A54&lt;'Données projet'!$A$192,$EG$205^A54,IF(A54='Données projet'!$A$192,'Données projet'!$B$192,EJ53+EI54-ER53)))</f>
        <v>165</v>
      </c>
      <c r="EK54" s="18">
        <f>EJ54*VLOOKUP('Données projet'!$B$15,Paramètres!$A$1:$I$89,3,0)*VLOOKUP('Données projet'!$B$15,Paramètres!$A$1:$I$89,5,0)</f>
        <v>149.29199999999997</v>
      </c>
      <c r="EL54" s="14">
        <f t="shared" si="45"/>
        <v>38.417645803815411</v>
      </c>
      <c r="EM54" s="22">
        <f t="shared" si="19"/>
        <v>326.9276331083118</v>
      </c>
      <c r="EN54" s="60">
        <f t="shared" si="20"/>
        <v>620.26096644164511</v>
      </c>
      <c r="EO54" s="60">
        <f ca="1">AVERAGE(OFFSET($EN$3,0,0,'Données projet'!$E$15+1,1))-AVERAGE(OFFSET($H$3,0,0,'Données projet'!$E$15+1,1))</f>
        <v>428.8489304403459</v>
      </c>
      <c r="EP54" s="60">
        <f t="shared" si="46"/>
        <v>247.01165577562966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 t="e">
        <f>N55*VLOOKUP('Données projet'!$B$9,Paramètres!$A$1:$I$89,3,0)*VLOOKUP('Données projet'!$B$9,Paramètres!$A$1:$I$89,5,0)</f>
        <v>#N/A</v>
      </c>
      <c r="P55" s="14" t="e">
        <f t="shared" si="33"/>
        <v>#N/A</v>
      </c>
      <c r="Q55" s="22" t="e">
        <f t="shared" si="53"/>
        <v>#N/A</v>
      </c>
      <c r="R55" s="60" t="e">
        <f t="shared" si="0"/>
        <v>#N/A</v>
      </c>
      <c r="S55" s="60" t="e">
        <f ca="1">AVERAGE(OFFSET($R$3,0,0,'Données projet'!$E$9+1,1))-AVERAGE(OFFSET($H$3,0,0,'Données projet'!$E$9+1,1))</f>
        <v>#N/A</v>
      </c>
      <c r="T55" s="60" t="e">
        <f t="shared" si="34"/>
        <v>#N/A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 t="e">
        <f>EXP(-LN(2)/35)*Z54+(1-EXP(-LN(2)/35))/(LN(2)/35)*V55*W55*VLOOKUP('Données projet'!$B$9,Paramètres!$A$1:$I$89,3,0)*0.475*44/12</f>
        <v>#N/A</v>
      </c>
      <c r="AA55" s="23" t="e">
        <f>EXP(-LN(2)/25)*AA54+(1-EXP(-LN(2)/25))/(LN(2)/25)*Calculateur!V55*Calculateur!X55*VLOOKUP('Données projet'!$B$9,Paramètres!$A$1:$I$89,3,0)*0.475*44/12</f>
        <v>#N/A</v>
      </c>
      <c r="AB55" s="23" t="e">
        <f>EXP(-LN(2)/2)*AB54+(1-EXP(-LN(2)/2))/(LN(2)/2)*V55*Y55*VLOOKUP('Données projet'!$B$9,Paramètres!$A$1:$I$89,3,0)*0.475*44/12</f>
        <v>#N/A</v>
      </c>
      <c r="AC55" s="24" t="e">
        <f t="shared" si="3"/>
        <v>#N/A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0" t="e">
        <f t="shared" si="5"/>
        <v>#N/A</v>
      </c>
      <c r="AN55" s="60" t="e">
        <f ca="1">AVERAGE(OFFSET($AM$3,0,0,'Données projet'!$E$10+1,1))-AVERAGE(OFFSET($H$3,0,0,'Données projet'!$E$10+1,1))</f>
        <v>#N/A</v>
      </c>
      <c r="AO55" s="60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4.8717948717948731</v>
      </c>
      <c r="BD55" s="13">
        <f>IF('Données projet'!$A$88&gt;35,BD54+BC55-BL54,IF(A55&lt;'Données projet'!$A$88,$BA$205^A55,IF(A55='Données projet'!$A$88,'Données projet'!$B$88,BD54+BC55-BL54)))</f>
        <v>168.07692307692307</v>
      </c>
      <c r="BE55" s="14">
        <f>BD55*VLOOKUP('Données projet'!$B$11,Paramètres!$A$1:$I$89,3,0)*VLOOKUP('Données projet'!$B$11,Paramètres!$A$1:$I$89,5,0)</f>
        <v>159.94199999999998</v>
      </c>
      <c r="BF55" s="14">
        <f t="shared" si="37"/>
        <v>40.829433068762448</v>
      </c>
      <c r="BG55" s="22">
        <f t="shared" si="7"/>
        <v>349.67691259476123</v>
      </c>
      <c r="BH55" s="60">
        <f t="shared" si="8"/>
        <v>643.01024592809449</v>
      </c>
      <c r="BI55" s="60">
        <f ca="1">AVERAGE(OFFSET($BH$3,0,0,'Données projet'!$E$11+1,1))-AVERAGE(OFFSET($H$3,0,0,'Données projet'!$E$11+1,1))</f>
        <v>357.083670644861</v>
      </c>
      <c r="BJ55" s="60">
        <f t="shared" si="38"/>
        <v>299.88885091109654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10.769230769230768</v>
      </c>
      <c r="BY55" s="13">
        <f>IF('Données projet'!$A$114&gt;35,BY54+BX55-CG54,IF(A55&lt;'Données projet'!$A$114,$BV$205^A55,IF(A55='Données projet'!$A$114,'Données projet'!$B$114,BY54+BX55-CG54)))</f>
        <v>232.30769230769221</v>
      </c>
      <c r="BZ55" s="14">
        <f>BY55*VLOOKUP('Données projet'!$B$12,Paramètres!$A$1:$I$89,3,0)*VLOOKUP('Données projet'!$B$12,Paramètres!$A$1:$I$89,5,0)</f>
        <v>108.71999999999996</v>
      </c>
      <c r="CA55" s="14">
        <f t="shared" si="39"/>
        <v>29.029201459451464</v>
      </c>
      <c r="CB55" s="22">
        <f t="shared" si="10"/>
        <v>239.91319254187792</v>
      </c>
      <c r="CC55" s="60">
        <f t="shared" si="11"/>
        <v>533.2465258752112</v>
      </c>
      <c r="CD55" s="60">
        <f ca="1">AVERAGE(OFFSET($CC$3,0,0,'Données projet'!$E$12+1,1))-AVERAGE(OFFSET($H$3,0,0,'Données projet'!$E$12+1,1))</f>
        <v>245.98992992759543</v>
      </c>
      <c r="CE55" s="60">
        <f t="shared" si="40"/>
        <v>145.34368562171613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167.32560000000001</v>
      </c>
      <c r="CV55" s="14">
        <f t="shared" si="41"/>
        <v>42.490495297127609</v>
      </c>
      <c r="CW55" s="22">
        <f t="shared" si="13"/>
        <v>365.42969930916388</v>
      </c>
      <c r="CX55" s="60">
        <f t="shared" si="14"/>
        <v>658.76303264249714</v>
      </c>
      <c r="CY55" s="60">
        <f ca="1">AVERAGE(OFFSET($CX$3,0,0,'Données projet'!$E$13+1,1))-AVERAGE(OFFSET($H$3,0,0,'Données projet'!$E$13+1,1))</f>
        <v>455.50822833641354</v>
      </c>
      <c r="CZ55" s="60">
        <f t="shared" si="42"/>
        <v>261.14722581688039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186.21719999999999</v>
      </c>
      <c r="DQ55" s="14">
        <f t="shared" si="43"/>
        <v>46.702653149673253</v>
      </c>
      <c r="DR55" s="22">
        <f t="shared" si="16"/>
        <v>405.66874423568089</v>
      </c>
      <c r="DS55" s="60">
        <f t="shared" si="17"/>
        <v>699.0020775690142</v>
      </c>
      <c r="DT55" s="60">
        <f ca="1">AVERAGE(OFFSET($DS$3,0,0,'Données projet'!$E$14+1,1))-AVERAGE(OFFSET($H$3,0,0,'Données projet'!$E$14+1,1))</f>
        <v>502.07782026233912</v>
      </c>
      <c r="DU55" s="60">
        <f t="shared" si="44"/>
        <v>285.83623046025156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</v>
      </c>
      <c r="EJ55" s="13">
        <f>IF('Données projet'!$A$192&gt;35,EJ54+EI55-ER54,IF(A55&lt;'Données projet'!$A$192,$EG$205^A55,IF(A55='Données projet'!$A$192,'Données projet'!$B$192,EJ54+EI55-ER54)))</f>
        <v>173</v>
      </c>
      <c r="EK55" s="18">
        <f>EJ55*VLOOKUP('Données projet'!$B$15,Paramètres!$A$1:$I$89,3,0)*VLOOKUP('Données projet'!$B$15,Paramètres!$A$1:$I$89,5,0)</f>
        <v>156.53039999999999</v>
      </c>
      <c r="EL55" s="14">
        <f t="shared" si="45"/>
        <v>40.058941713182037</v>
      </c>
      <c r="EM55" s="22">
        <f t="shared" si="19"/>
        <v>342.393103483792</v>
      </c>
      <c r="EN55" s="60">
        <f t="shared" si="20"/>
        <v>635.72643681712532</v>
      </c>
      <c r="EO55" s="60">
        <f ca="1">AVERAGE(OFFSET($EN$3,0,0,'Données projet'!$E$15+1,1))-AVERAGE(OFFSET($H$3,0,0,'Données projet'!$E$15+1,1))</f>
        <v>428.8489304403459</v>
      </c>
      <c r="EP55" s="60">
        <f t="shared" si="46"/>
        <v>247.01165577562966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 t="e">
        <f>N56*VLOOKUP('Données projet'!$B$9,Paramètres!$A$1:$I$89,3,0)*VLOOKUP('Données projet'!$B$9,Paramètres!$A$1:$I$89,5,0)</f>
        <v>#N/A</v>
      </c>
      <c r="P56" s="14" t="e">
        <f t="shared" si="33"/>
        <v>#N/A</v>
      </c>
      <c r="Q56" s="22" t="e">
        <f t="shared" si="53"/>
        <v>#N/A</v>
      </c>
      <c r="R56" s="60" t="e">
        <f t="shared" si="0"/>
        <v>#N/A</v>
      </c>
      <c r="S56" s="60" t="e">
        <f ca="1">AVERAGE(OFFSET($R$3,0,0,'Données projet'!$E$9+1,1))-AVERAGE(OFFSET($H$3,0,0,'Données projet'!$E$9+1,1))</f>
        <v>#N/A</v>
      </c>
      <c r="T56" s="60" t="e">
        <f t="shared" si="34"/>
        <v>#N/A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 t="e">
        <f>EXP(-LN(2)/35)*Z55+(1-EXP(-LN(2)/35))/(LN(2)/35)*V56*W56*VLOOKUP('Données projet'!$B$9,Paramètres!$A$1:$I$89,3,0)*0.475*44/12</f>
        <v>#N/A</v>
      </c>
      <c r="AA56" s="23" t="e">
        <f>EXP(-LN(2)/25)*AA55+(1-EXP(-LN(2)/25))/(LN(2)/25)*Calculateur!V56*Calculateur!X56*VLOOKUP('Données projet'!$B$9,Paramètres!$A$1:$I$89,3,0)*0.475*44/12</f>
        <v>#N/A</v>
      </c>
      <c r="AB56" s="23" t="e">
        <f>EXP(-LN(2)/2)*AB55+(1-EXP(-LN(2)/2))/(LN(2)/2)*V56*Y56*VLOOKUP('Données projet'!$B$9,Paramètres!$A$1:$I$89,3,0)*0.475*44/12</f>
        <v>#N/A</v>
      </c>
      <c r="AC56" s="24" t="e">
        <f t="shared" si="3"/>
        <v>#N/A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0" t="e">
        <f t="shared" si="5"/>
        <v>#N/A</v>
      </c>
      <c r="AN56" s="60" t="e">
        <f ca="1">AVERAGE(OFFSET($AM$3,0,0,'Données projet'!$E$10+1,1))-AVERAGE(OFFSET($H$3,0,0,'Données projet'!$E$10+1,1))</f>
        <v>#N/A</v>
      </c>
      <c r="AO56" s="60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4.8717948717948731</v>
      </c>
      <c r="BD56" s="13">
        <f>IF('Données projet'!$A$88&gt;35,BD55+BC56-BL55,IF(A56&lt;'Données projet'!$A$88,$BA$205^A56,IF(A56='Données projet'!$A$88,'Données projet'!$B$88,BD55+BC56-BL55)))</f>
        <v>172.94871794871793</v>
      </c>
      <c r="BE56" s="14">
        <f>BD56*VLOOKUP('Données projet'!$B$11,Paramètres!$A$1:$I$89,3,0)*VLOOKUP('Données projet'!$B$11,Paramètres!$A$1:$I$89,5,0)</f>
        <v>164.578</v>
      </c>
      <c r="BF56" s="14">
        <f t="shared" si="37"/>
        <v>41.873394619387227</v>
      </c>
      <c r="BG56" s="22">
        <f t="shared" si="7"/>
        <v>359.56951229543273</v>
      </c>
      <c r="BH56" s="60">
        <f t="shared" si="8"/>
        <v>652.90284562876604</v>
      </c>
      <c r="BI56" s="60">
        <f ca="1">AVERAGE(OFFSET($BH$3,0,0,'Données projet'!$E$11+1,1))-AVERAGE(OFFSET($H$3,0,0,'Données projet'!$E$11+1,1))</f>
        <v>357.083670644861</v>
      </c>
      <c r="BJ56" s="60">
        <f t="shared" si="38"/>
        <v>299.88885091109654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10.769230769230768</v>
      </c>
      <c r="BY56" s="13">
        <f>IF('Données projet'!$A$114&gt;35,BY55+BX56-CG55,IF(A56&lt;'Données projet'!$A$114,$BV$205^A56,IF(A56='Données projet'!$A$114,'Données projet'!$B$114,BY55+BX56-CG55)))</f>
        <v>243.07692307692298</v>
      </c>
      <c r="BZ56" s="14">
        <f>BY56*VLOOKUP('Données projet'!$B$12,Paramètres!$A$1:$I$89,3,0)*VLOOKUP('Données projet'!$B$12,Paramètres!$A$1:$I$89,5,0)</f>
        <v>113.75999999999995</v>
      </c>
      <c r="CA56" s="14">
        <f t="shared" si="39"/>
        <v>30.215129555931622</v>
      </c>
      <c r="CB56" s="22">
        <f t="shared" si="10"/>
        <v>250.7566839765808</v>
      </c>
      <c r="CC56" s="60">
        <f t="shared" si="11"/>
        <v>544.09001730991417</v>
      </c>
      <c r="CD56" s="60">
        <f ca="1">AVERAGE(OFFSET($CC$3,0,0,'Données projet'!$E$12+1,1))-AVERAGE(OFFSET($H$3,0,0,'Données projet'!$E$12+1,1))</f>
        <v>245.98992992759543</v>
      </c>
      <c r="CE56" s="60">
        <f t="shared" si="40"/>
        <v>145.34368562171613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175.06319999999999</v>
      </c>
      <c r="CV56" s="14">
        <f t="shared" si="41"/>
        <v>44.22206774682472</v>
      </c>
      <c r="CW56" s="22">
        <f t="shared" si="13"/>
        <v>381.9218413257197</v>
      </c>
      <c r="CX56" s="60">
        <f t="shared" si="14"/>
        <v>675.25517465905295</v>
      </c>
      <c r="CY56" s="60">
        <f ca="1">AVERAGE(OFFSET($CX$3,0,0,'Données projet'!$E$13+1,1))-AVERAGE(OFFSET($H$3,0,0,'Données projet'!$E$13+1,1))</f>
        <v>455.50822833641354</v>
      </c>
      <c r="CZ56" s="60">
        <f t="shared" si="42"/>
        <v>261.14722581688039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194.82839999999999</v>
      </c>
      <c r="DQ56" s="14">
        <f t="shared" si="43"/>
        <v>48.605879434898533</v>
      </c>
      <c r="DR56" s="22">
        <f t="shared" si="16"/>
        <v>423.98137001578152</v>
      </c>
      <c r="DS56" s="60">
        <f t="shared" si="17"/>
        <v>717.31470334911478</v>
      </c>
      <c r="DT56" s="60">
        <f ca="1">AVERAGE(OFFSET($DS$3,0,0,'Données projet'!$E$14+1,1))-AVERAGE(OFFSET($H$3,0,0,'Données projet'!$E$14+1,1))</f>
        <v>502.07782026233912</v>
      </c>
      <c r="DU56" s="60">
        <f t="shared" si="44"/>
        <v>285.83623046025156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</v>
      </c>
      <c r="EJ56" s="13">
        <f>IF('Données projet'!$A$192&gt;35,EJ55+EI56-ER55,IF(A56&lt;'Données projet'!$A$192,$EG$205^A56,IF(A56='Données projet'!$A$192,'Données projet'!$B$192,EJ55+EI56-ER55)))</f>
        <v>181</v>
      </c>
      <c r="EK56" s="18">
        <f>EJ56*VLOOKUP('Données projet'!$B$15,Paramètres!$A$1:$I$89,3,0)*VLOOKUP('Données projet'!$B$15,Paramètres!$A$1:$I$89,5,0)</f>
        <v>163.7688</v>
      </c>
      <c r="EL56" s="14">
        <f t="shared" si="45"/>
        <v>41.691423503509803</v>
      </c>
      <c r="EM56" s="22">
        <f t="shared" si="19"/>
        <v>357.84322260194625</v>
      </c>
      <c r="EN56" s="60">
        <f t="shared" si="20"/>
        <v>651.17655593527957</v>
      </c>
      <c r="EO56" s="60">
        <f ca="1">AVERAGE(OFFSET($EN$3,0,0,'Données projet'!$E$15+1,1))-AVERAGE(OFFSET($H$3,0,0,'Données projet'!$E$15+1,1))</f>
        <v>428.8489304403459</v>
      </c>
      <c r="EP56" s="60">
        <f t="shared" si="46"/>
        <v>247.01165577562966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 t="e">
        <f>N57*VLOOKUP('Données projet'!$B$9,Paramètres!$A$1:$I$89,3,0)*VLOOKUP('Données projet'!$B$9,Paramètres!$A$1:$I$89,5,0)</f>
        <v>#N/A</v>
      </c>
      <c r="P57" s="14" t="e">
        <f t="shared" si="33"/>
        <v>#N/A</v>
      </c>
      <c r="Q57" s="22" t="e">
        <f t="shared" si="53"/>
        <v>#N/A</v>
      </c>
      <c r="R57" s="60" t="e">
        <f t="shared" si="0"/>
        <v>#N/A</v>
      </c>
      <c r="S57" s="60" t="e">
        <f ca="1">AVERAGE(OFFSET($R$3,0,0,'Données projet'!$E$9+1,1))-AVERAGE(OFFSET($H$3,0,0,'Données projet'!$E$9+1,1))</f>
        <v>#N/A</v>
      </c>
      <c r="T57" s="60" t="e">
        <f t="shared" si="34"/>
        <v>#N/A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 t="e">
        <f>EXP(-LN(2)/35)*Z56+(1-EXP(-LN(2)/35))/(LN(2)/35)*V57*W57*VLOOKUP('Données projet'!$B$9,Paramètres!$A$1:$I$89,3,0)*0.475*44/12</f>
        <v>#N/A</v>
      </c>
      <c r="AA57" s="23" t="e">
        <f>EXP(-LN(2)/25)*AA56+(1-EXP(-LN(2)/25))/(LN(2)/25)*Calculateur!V57*Calculateur!X57*VLOOKUP('Données projet'!$B$9,Paramètres!$A$1:$I$89,3,0)*0.475*44/12</f>
        <v>#N/A</v>
      </c>
      <c r="AB57" s="23" t="e">
        <f>EXP(-LN(2)/2)*AB56+(1-EXP(-LN(2)/2))/(LN(2)/2)*V57*Y57*VLOOKUP('Données projet'!$B$9,Paramètres!$A$1:$I$89,3,0)*0.475*44/12</f>
        <v>#N/A</v>
      </c>
      <c r="AC57" s="24" t="e">
        <f t="shared" si="3"/>
        <v>#N/A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0" t="e">
        <f t="shared" si="5"/>
        <v>#N/A</v>
      </c>
      <c r="AN57" s="60" t="e">
        <f ca="1">AVERAGE(OFFSET($AM$3,0,0,'Données projet'!$E$10+1,1))-AVERAGE(OFFSET($H$3,0,0,'Données projet'!$E$10+1,1))</f>
        <v>#N/A</v>
      </c>
      <c r="AO57" s="60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4.8717948717948731</v>
      </c>
      <c r="BD57" s="13">
        <f>IF('Données projet'!$A$88&gt;35,BD56+BC57-BL56,IF(A57&lt;'Données projet'!$A$88,$BA$205^A57,IF(A57='Données projet'!$A$88,'Données projet'!$B$88,BD56+BC57-BL56)))</f>
        <v>177.82051282051279</v>
      </c>
      <c r="BE57" s="14">
        <f>BD57*VLOOKUP('Données projet'!$B$11,Paramètres!$A$1:$I$89,3,0)*VLOOKUP('Données projet'!$B$11,Paramètres!$A$1:$I$89,5,0)</f>
        <v>169.21399999999997</v>
      </c>
      <c r="BF57" s="14">
        <f t="shared" si="37"/>
        <v>42.91393828048524</v>
      </c>
      <c r="BG57" s="22">
        <f t="shared" si="7"/>
        <v>369.45615917184506</v>
      </c>
      <c r="BH57" s="60">
        <f t="shared" si="8"/>
        <v>662.78949250517837</v>
      </c>
      <c r="BI57" s="60">
        <f ca="1">AVERAGE(OFFSET($BH$3,0,0,'Données projet'!$E$11+1,1))-AVERAGE(OFFSET($H$3,0,0,'Données projet'!$E$11+1,1))</f>
        <v>357.083670644861</v>
      </c>
      <c r="BJ57" s="60">
        <f t="shared" si="38"/>
        <v>299.88885091109654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10.769230769230768</v>
      </c>
      <c r="BY57" s="13">
        <f>IF('Données projet'!$A$114&gt;35,BY56+BX57-CG56,IF(A57&lt;'Données projet'!$A$114,$BV$205^A57,IF(A57='Données projet'!$A$114,'Données projet'!$B$114,BY56+BX57-CG56)))</f>
        <v>253.84615384615375</v>
      </c>
      <c r="BZ57" s="14">
        <f>BY57*VLOOKUP('Données projet'!$B$12,Paramètres!$A$1:$I$89,3,0)*VLOOKUP('Données projet'!$B$12,Paramètres!$A$1:$I$89,5,0)</f>
        <v>118.79999999999995</v>
      </c>
      <c r="CA57" s="14">
        <f t="shared" si="39"/>
        <v>31.394955500632594</v>
      </c>
      <c r="CB57" s="22">
        <f t="shared" si="10"/>
        <v>261.58954749693504</v>
      </c>
      <c r="CC57" s="60">
        <f t="shared" si="11"/>
        <v>554.92288083026835</v>
      </c>
      <c r="CD57" s="60">
        <f ca="1">AVERAGE(OFFSET($CC$3,0,0,'Données projet'!$E$12+1,1))-AVERAGE(OFFSET($H$3,0,0,'Données projet'!$E$12+1,1))</f>
        <v>245.98992992759543</v>
      </c>
      <c r="CE57" s="60">
        <f t="shared" si="40"/>
        <v>145.34368562171613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182.80079999999998</v>
      </c>
      <c r="CV57" s="14">
        <f t="shared" si="41"/>
        <v>45.944751507471658</v>
      </c>
      <c r="CW57" s="22">
        <f t="shared" si="13"/>
        <v>398.39850220884642</v>
      </c>
      <c r="CX57" s="60">
        <f t="shared" si="14"/>
        <v>691.73183554217974</v>
      </c>
      <c r="CY57" s="60">
        <f ca="1">AVERAGE(OFFSET($CX$3,0,0,'Données projet'!$E$13+1,1))-AVERAGE(OFFSET($H$3,0,0,'Données projet'!$E$13+1,1))</f>
        <v>455.50822833641354</v>
      </c>
      <c r="CZ57" s="60">
        <f t="shared" si="42"/>
        <v>261.14722581688039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203.43960000000001</v>
      </c>
      <c r="DQ57" s="14">
        <f t="shared" si="43"/>
        <v>50.499335879627459</v>
      </c>
      <c r="DR57" s="22">
        <f t="shared" si="16"/>
        <v>442.27697999035109</v>
      </c>
      <c r="DS57" s="60">
        <f t="shared" si="17"/>
        <v>735.61031332368441</v>
      </c>
      <c r="DT57" s="60">
        <f ca="1">AVERAGE(OFFSET($DS$3,0,0,'Données projet'!$E$14+1,1))-AVERAGE(OFFSET($H$3,0,0,'Données projet'!$E$14+1,1))</f>
        <v>502.07782026233912</v>
      </c>
      <c r="DU57" s="60">
        <f t="shared" si="44"/>
        <v>285.83623046025156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</v>
      </c>
      <c r="EJ57" s="13">
        <f>IF('Données projet'!$A$192&gt;35,EJ56+EI57-ER56,IF(A57&lt;'Données projet'!$A$192,$EG$205^A57,IF(A57='Données projet'!$A$192,'Données projet'!$B$192,EJ56+EI57-ER56)))</f>
        <v>189</v>
      </c>
      <c r="EK57" s="18">
        <f>EJ57*VLOOKUP('Données projet'!$B$15,Paramètres!$A$1:$I$89,3,0)*VLOOKUP('Données projet'!$B$15,Paramètres!$A$1:$I$89,5,0)</f>
        <v>171.00719999999998</v>
      </c>
      <c r="EL57" s="14">
        <f t="shared" si="45"/>
        <v>43.315525267338089</v>
      </c>
      <c r="EM57" s="22">
        <f t="shared" si="19"/>
        <v>373.27874650728046</v>
      </c>
      <c r="EN57" s="60">
        <f t="shared" si="20"/>
        <v>666.61207984061377</v>
      </c>
      <c r="EO57" s="60">
        <f ca="1">AVERAGE(OFFSET($EN$3,0,0,'Données projet'!$E$15+1,1))-AVERAGE(OFFSET($H$3,0,0,'Données projet'!$E$15+1,1))</f>
        <v>428.8489304403459</v>
      </c>
      <c r="EP57" s="60">
        <f t="shared" si="46"/>
        <v>247.01165577562966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 t="e">
        <f>N58*VLOOKUP('Données projet'!$B$9,Paramètres!$A$1:$I$89,3,0)*VLOOKUP('Données projet'!$B$9,Paramètres!$A$1:$I$89,5,0)</f>
        <v>#N/A</v>
      </c>
      <c r="P58" s="14" t="e">
        <f t="shared" si="33"/>
        <v>#N/A</v>
      </c>
      <c r="Q58" s="22" t="e">
        <f t="shared" si="53"/>
        <v>#N/A</v>
      </c>
      <c r="R58" s="60" t="e">
        <f t="shared" si="0"/>
        <v>#N/A</v>
      </c>
      <c r="S58" s="60" t="e">
        <f ca="1">AVERAGE(OFFSET($R$3,0,0,'Données projet'!$E$9+1,1))-AVERAGE(OFFSET($H$3,0,0,'Données projet'!$E$9+1,1))</f>
        <v>#N/A</v>
      </c>
      <c r="T58" s="60" t="e">
        <f t="shared" si="34"/>
        <v>#N/A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 t="e">
        <f>EXP(-LN(2)/35)*Z57+(1-EXP(-LN(2)/35))/(LN(2)/35)*V58*W58*VLOOKUP('Données projet'!$B$9,Paramètres!$A$1:$I$89,3,0)*0.475*44/12</f>
        <v>#N/A</v>
      </c>
      <c r="AA58" s="23" t="e">
        <f>EXP(-LN(2)/25)*AA57+(1-EXP(-LN(2)/25))/(LN(2)/25)*Calculateur!V58*Calculateur!X58*VLOOKUP('Données projet'!$B$9,Paramètres!$A$1:$I$89,3,0)*0.475*44/12</f>
        <v>#N/A</v>
      </c>
      <c r="AB58" s="23" t="e">
        <f>EXP(-LN(2)/2)*AB57+(1-EXP(-LN(2)/2))/(LN(2)/2)*V58*Y58*VLOOKUP('Données projet'!$B$9,Paramètres!$A$1:$I$89,3,0)*0.475*44/12</f>
        <v>#N/A</v>
      </c>
      <c r="AC58" s="24" t="e">
        <f t="shared" si="3"/>
        <v>#N/A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0" t="e">
        <f t="shared" si="5"/>
        <v>#N/A</v>
      </c>
      <c r="AN58" s="60" t="e">
        <f ca="1">AVERAGE(OFFSET($AM$3,0,0,'Données projet'!$E$10+1,1))-AVERAGE(OFFSET($H$3,0,0,'Données projet'!$E$10+1,1))</f>
        <v>#N/A</v>
      </c>
      <c r="AO58" s="60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182.69230769230768</v>
      </c>
      <c r="BB58" s="13">
        <f>VLOOKUP(A58,'Données projet'!$A$87:$I$107,9,0)</f>
        <v>4.8717948717948731</v>
      </c>
      <c r="BC58" s="13">
        <f t="array" ref="BC58">INDEX(BB:BB,MIN(IF(ISNUMBER(BB58:BB254),ROW(BB58:BB254),"")))</f>
        <v>4.8717948717948731</v>
      </c>
      <c r="BD58" s="13">
        <f>IF('Données projet'!$A$88&gt;35,BD57+BC58-BL57,IF(A58&lt;'Données projet'!$A$88,$BA$205^A58,IF(A58='Données projet'!$A$88,'Données projet'!$B$88,BD57+BC58-BL57)))</f>
        <v>182.69230769230765</v>
      </c>
      <c r="BE58" s="14">
        <f>BD58*VLOOKUP('Données projet'!$B$11,Paramètres!$A$1:$I$89,3,0)*VLOOKUP('Données projet'!$B$11,Paramètres!$A$1:$I$89,5,0)</f>
        <v>173.84999999999997</v>
      </c>
      <c r="BF58" s="14">
        <f t="shared" si="37"/>
        <v>43.951168452592761</v>
      </c>
      <c r="BG58" s="22">
        <f t="shared" si="7"/>
        <v>379.3370350549323</v>
      </c>
      <c r="BH58" s="60">
        <f t="shared" si="8"/>
        <v>672.67036838826562</v>
      </c>
      <c r="BI58" s="60">
        <f ca="1">AVERAGE(OFFSET($BH$3,0,0,'Données projet'!$E$11+1,1))-AVERAGE(OFFSET($H$3,0,0,'Données projet'!$E$11+1,1))</f>
        <v>357.083670644861</v>
      </c>
      <c r="BJ58" s="60">
        <f t="shared" si="38"/>
        <v>299.88885091109654</v>
      </c>
      <c r="BK58" s="16">
        <f>IF(ISNA(VLOOKUP(A58,'Données projet'!$A$87:$I$107,3,0)),0,VLOOKUP(A58,'Données projet'!$A$87:$I$107,3,0))</f>
        <v>3</v>
      </c>
      <c r="BL58" s="16">
        <f>IF(ISNA(VLOOKUP(A58,'Données projet'!$A$87:$I$107,4,0)),0,VLOOKUP(A58,'Données projet'!$A$87:$I$107,4,0))</f>
        <v>28.205128205128204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10.769230769230768</v>
      </c>
      <c r="BY58" s="13">
        <f>IF('Données projet'!$A$114&gt;35,BY57+BX58-CG57,IF(A58&lt;'Données projet'!$A$114,$BV$205^A58,IF(A58='Données projet'!$A$114,'Données projet'!$B$114,BY57+BX58-CG57)))</f>
        <v>264.61538461538453</v>
      </c>
      <c r="BZ58" s="14">
        <f>BY58*VLOOKUP('Données projet'!$B$12,Paramètres!$A$1:$I$89,3,0)*VLOOKUP('Données projet'!$B$12,Paramètres!$A$1:$I$89,5,0)</f>
        <v>123.83999999999995</v>
      </c>
      <c r="CA58" s="14">
        <f t="shared" si="39"/>
        <v>32.56896777038807</v>
      </c>
      <c r="CB58" s="22">
        <f t="shared" si="10"/>
        <v>272.4122855334258</v>
      </c>
      <c r="CC58" s="60">
        <f t="shared" si="11"/>
        <v>565.74561886675906</v>
      </c>
      <c r="CD58" s="60">
        <f ca="1">AVERAGE(OFFSET($CC$3,0,0,'Données projet'!$E$12+1,1))-AVERAGE(OFFSET($H$3,0,0,'Données projet'!$E$12+1,1))</f>
        <v>245.98992992759543</v>
      </c>
      <c r="CE58" s="60">
        <f t="shared" si="40"/>
        <v>145.34368562171613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190.5384</v>
      </c>
      <c r="CV58" s="14">
        <f t="shared" si="41"/>
        <v>47.658965836673829</v>
      </c>
      <c r="CW58" s="22">
        <f t="shared" si="13"/>
        <v>414.86041216554025</v>
      </c>
      <c r="CX58" s="60">
        <f t="shared" si="14"/>
        <v>708.19374549887357</v>
      </c>
      <c r="CY58" s="60">
        <f ca="1">AVERAGE(OFFSET($CX$3,0,0,'Données projet'!$E$13+1,1))-AVERAGE(OFFSET($H$3,0,0,'Données projet'!$E$13+1,1))</f>
        <v>455.50822833641354</v>
      </c>
      <c r="CZ58" s="60">
        <f t="shared" si="42"/>
        <v>261.14722581688039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212.05079999999998</v>
      </c>
      <c r="DQ58" s="14">
        <f t="shared" si="43"/>
        <v>52.383483303212302</v>
      </c>
      <c r="DR58" s="22">
        <f t="shared" si="16"/>
        <v>460.55637675309475</v>
      </c>
      <c r="DS58" s="60">
        <f t="shared" si="17"/>
        <v>753.88971008642807</v>
      </c>
      <c r="DT58" s="60">
        <f ca="1">AVERAGE(OFFSET($DS$3,0,0,'Données projet'!$E$14+1,1))-AVERAGE(OFFSET($H$3,0,0,'Données projet'!$E$14+1,1))</f>
        <v>502.07782026233912</v>
      </c>
      <c r="DU58" s="60">
        <f t="shared" si="44"/>
        <v>285.83623046025156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197</v>
      </c>
      <c r="EH58" s="13">
        <f>VLOOKUP(A58,'Données projet'!$A$191:$I$211,9,0)</f>
        <v>8</v>
      </c>
      <c r="EI58" s="13">
        <f t="array" ref="EI58">INDEX(EH:EH,MIN(IF(ISNUMBER(EH58:EH254),ROW(EH58:EH254),"")))</f>
        <v>8</v>
      </c>
      <c r="EJ58" s="13">
        <f>IF('Données projet'!$A$192&gt;35,EJ57+EI58-ER57,IF(A58&lt;'Données projet'!$A$192,$EG$205^A58,IF(A58='Données projet'!$A$192,'Données projet'!$B$192,EJ57+EI58-ER57)))</f>
        <v>197</v>
      </c>
      <c r="EK58" s="18">
        <f>EJ58*VLOOKUP('Données projet'!$B$15,Paramètres!$A$1:$I$89,3,0)*VLOOKUP('Données projet'!$B$15,Paramètres!$A$1:$I$89,5,0)</f>
        <v>178.2456</v>
      </c>
      <c r="EL58" s="14">
        <f t="shared" si="45"/>
        <v>44.931642269910427</v>
      </c>
      <c r="EM58" s="22">
        <f t="shared" si="19"/>
        <v>388.70036362009404</v>
      </c>
      <c r="EN58" s="60">
        <f t="shared" si="20"/>
        <v>682.03369695342735</v>
      </c>
      <c r="EO58" s="60">
        <f ca="1">AVERAGE(OFFSET($EN$3,0,0,'Données projet'!$E$15+1,1))-AVERAGE(OFFSET($H$3,0,0,'Données projet'!$E$15+1,1))</f>
        <v>428.8489304403459</v>
      </c>
      <c r="EP58" s="60">
        <f t="shared" si="46"/>
        <v>247.01165577562966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 t="e">
        <f>N59*VLOOKUP('Données projet'!$B$9,Paramètres!$A$1:$I$89,3,0)*VLOOKUP('Données projet'!$B$9,Paramètres!$A$1:$I$89,5,0)</f>
        <v>#N/A</v>
      </c>
      <c r="P59" s="14" t="e">
        <f t="shared" si="33"/>
        <v>#N/A</v>
      </c>
      <c r="Q59" s="22" t="e">
        <f t="shared" si="53"/>
        <v>#N/A</v>
      </c>
      <c r="R59" s="60" t="e">
        <f t="shared" si="0"/>
        <v>#N/A</v>
      </c>
      <c r="S59" s="60" t="e">
        <f ca="1">AVERAGE(OFFSET($R$3,0,0,'Données projet'!$E$9+1,1))-AVERAGE(OFFSET($H$3,0,0,'Données projet'!$E$9+1,1))</f>
        <v>#N/A</v>
      </c>
      <c r="T59" s="60" t="e">
        <f t="shared" si="34"/>
        <v>#N/A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 t="e">
        <f>EXP(-LN(2)/35)*Z58+(1-EXP(-LN(2)/35))/(LN(2)/35)*V59*W59*VLOOKUP('Données projet'!$B$9,Paramètres!$A$1:$I$89,3,0)*0.475*44/12</f>
        <v>#N/A</v>
      </c>
      <c r="AA59" s="23" t="e">
        <f>EXP(-LN(2)/25)*AA58+(1-EXP(-LN(2)/25))/(LN(2)/25)*Calculateur!V59*Calculateur!X59*VLOOKUP('Données projet'!$B$9,Paramètres!$A$1:$I$89,3,0)*0.475*44/12</f>
        <v>#N/A</v>
      </c>
      <c r="AB59" s="23" t="e">
        <f>EXP(-LN(2)/2)*AB58+(1-EXP(-LN(2)/2))/(LN(2)/2)*V59*Y59*VLOOKUP('Données projet'!$B$9,Paramètres!$A$1:$I$89,3,0)*0.475*44/12</f>
        <v>#N/A</v>
      </c>
      <c r="AC59" s="24" t="e">
        <f t="shared" si="3"/>
        <v>#N/A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0" t="e">
        <f t="shared" si="5"/>
        <v>#N/A</v>
      </c>
      <c r="AN59" s="60" t="e">
        <f ca="1">AVERAGE(OFFSET($AM$3,0,0,'Données projet'!$E$10+1,1))-AVERAGE(OFFSET($H$3,0,0,'Données projet'!$E$10+1,1))</f>
        <v>#N/A</v>
      </c>
      <c r="AO59" s="60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4.7435897435897463</v>
      </c>
      <c r="BD59" s="13">
        <f>IF('Données projet'!$A$88&gt;35,BD58+BC59-BL58,IF(A59&lt;'Données projet'!$A$88,$BA$205^A59,IF(A59='Données projet'!$A$88,'Données projet'!$B$88,BD58+BC59-BL58)))</f>
        <v>159.2307692307692</v>
      </c>
      <c r="BE59" s="14">
        <f>BD59*VLOOKUP('Données projet'!$B$11,Paramètres!$A$1:$I$89,3,0)*VLOOKUP('Données projet'!$B$11,Paramètres!$A$1:$I$89,5,0)</f>
        <v>151.52399999999997</v>
      </c>
      <c r="BF59" s="14">
        <f t="shared" si="37"/>
        <v>38.924716067948651</v>
      </c>
      <c r="BG59" s="22">
        <f t="shared" si="7"/>
        <v>331.69818048501054</v>
      </c>
      <c r="BH59" s="60">
        <f t="shared" si="8"/>
        <v>625.03151381834391</v>
      </c>
      <c r="BI59" s="60">
        <f ca="1">AVERAGE(OFFSET($BH$3,0,0,'Données projet'!$E$11+1,1))-AVERAGE(OFFSET($H$3,0,0,'Données projet'!$E$11+1,1))</f>
        <v>357.083670644861</v>
      </c>
      <c r="BJ59" s="60">
        <f t="shared" si="38"/>
        <v>299.88885091109654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10.769230769230768</v>
      </c>
      <c r="BY59" s="13">
        <f>IF('Données projet'!$A$114&gt;35,BY58+BX59-CG58,IF(A59&lt;'Données projet'!$A$114,$BV$205^A59,IF(A59='Données projet'!$A$114,'Données projet'!$B$114,BY58+BX59-CG58)))</f>
        <v>275.3846153846153</v>
      </c>
      <c r="BZ59" s="14">
        <f>BY59*VLOOKUP('Données projet'!$B$12,Paramètres!$A$1:$I$89,3,0)*VLOOKUP('Données projet'!$B$12,Paramètres!$A$1:$I$89,5,0)</f>
        <v>128.87999999999997</v>
      </c>
      <c r="CA59" s="14">
        <f t="shared" si="39"/>
        <v>33.73743003255538</v>
      </c>
      <c r="CB59" s="22">
        <f t="shared" si="10"/>
        <v>283.22535730670057</v>
      </c>
      <c r="CC59" s="60">
        <f t="shared" si="11"/>
        <v>576.55869064003389</v>
      </c>
      <c r="CD59" s="60">
        <f ca="1">AVERAGE(OFFSET($CC$3,0,0,'Données projet'!$E$12+1,1))-AVERAGE(OFFSET($H$3,0,0,'Données projet'!$E$12+1,1))</f>
        <v>245.98992992759543</v>
      </c>
      <c r="CE59" s="60">
        <f t="shared" si="40"/>
        <v>145.34368562171613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197.88911999999999</v>
      </c>
      <c r="CV59" s="14">
        <f t="shared" si="41"/>
        <v>49.279974103179534</v>
      </c>
      <c r="CW59" s="22">
        <f t="shared" si="13"/>
        <v>430.48617222970438</v>
      </c>
      <c r="CX59" s="60">
        <f t="shared" si="14"/>
        <v>723.81950556303764</v>
      </c>
      <c r="CY59" s="60">
        <f ca="1">AVERAGE(OFFSET($CX$3,0,0,'Données projet'!$E$13+1,1))-AVERAGE(OFFSET($H$3,0,0,'Données projet'!$E$13+1,1))</f>
        <v>455.50822833641354</v>
      </c>
      <c r="CZ59" s="60">
        <f t="shared" si="42"/>
        <v>261.14722581688039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204.6</v>
      </c>
      <c r="DP59" s="18">
        <f>DO59*VLOOKUP('Données projet'!$B$14,Paramètres!$A$1:$I$89,3,0)*VLOOKUP('Données projet'!$B$14,Paramètres!$A$1:$I$89,5,0)</f>
        <v>220.23143999999996</v>
      </c>
      <c r="DQ59" s="14">
        <f t="shared" si="43"/>
        <v>54.165184982469711</v>
      </c>
      <c r="DR59" s="22">
        <f t="shared" si="16"/>
        <v>477.9074551778013</v>
      </c>
      <c r="DS59" s="60">
        <f t="shared" si="17"/>
        <v>771.24078851113461</v>
      </c>
      <c r="DT59" s="60">
        <f ca="1">AVERAGE(OFFSET($DS$3,0,0,'Données projet'!$E$14+1,1))-AVERAGE(OFFSET($H$3,0,0,'Données projet'!$E$14+1,1))</f>
        <v>502.07782026233912</v>
      </c>
      <c r="DU59" s="60">
        <f t="shared" si="44"/>
        <v>285.83623046025156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7.6</v>
      </c>
      <c r="EJ59" s="13">
        <f>IF('Données projet'!$A$192&gt;35,EJ58+EI59-ER58,IF(A59&lt;'Données projet'!$A$192,$EG$205^A59,IF(A59='Données projet'!$A$192,'Données projet'!$B$192,EJ58+EI59-ER58)))</f>
        <v>204.6</v>
      </c>
      <c r="EK59" s="18">
        <f>EJ59*VLOOKUP('Données projet'!$B$15,Paramètres!$A$1:$I$89,3,0)*VLOOKUP('Données projet'!$B$15,Paramètres!$A$1:$I$89,5,0)</f>
        <v>185.12207999999998</v>
      </c>
      <c r="EL59" s="14">
        <f t="shared" si="45"/>
        <v>46.459887003478677</v>
      </c>
      <c r="EM59" s="22">
        <f t="shared" si="19"/>
        <v>403.33859253105862</v>
      </c>
      <c r="EN59" s="60">
        <f t="shared" si="20"/>
        <v>696.67192586439194</v>
      </c>
      <c r="EO59" s="60">
        <f ca="1">AVERAGE(OFFSET($EN$3,0,0,'Données projet'!$E$15+1,1))-AVERAGE(OFFSET($H$3,0,0,'Données projet'!$E$15+1,1))</f>
        <v>428.8489304403459</v>
      </c>
      <c r="EP59" s="60">
        <f t="shared" si="46"/>
        <v>247.01165577562966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 t="e">
        <f>N60*VLOOKUP('Données projet'!$B$9,Paramètres!$A$1:$I$89,3,0)*VLOOKUP('Données projet'!$B$9,Paramètres!$A$1:$I$89,5,0)</f>
        <v>#N/A</v>
      </c>
      <c r="P60" s="14" t="e">
        <f t="shared" si="33"/>
        <v>#N/A</v>
      </c>
      <c r="Q60" s="22" t="e">
        <f t="shared" si="53"/>
        <v>#N/A</v>
      </c>
      <c r="R60" s="60" t="e">
        <f t="shared" si="0"/>
        <v>#N/A</v>
      </c>
      <c r="S60" s="60" t="e">
        <f ca="1">AVERAGE(OFFSET($R$3,0,0,'Données projet'!$E$9+1,1))-AVERAGE(OFFSET($H$3,0,0,'Données projet'!$E$9+1,1))</f>
        <v>#N/A</v>
      </c>
      <c r="T60" s="60" t="e">
        <f t="shared" si="34"/>
        <v>#N/A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 t="e">
        <f>EXP(-LN(2)/35)*Z59+(1-EXP(-LN(2)/35))/(LN(2)/35)*V60*W60*VLOOKUP('Données projet'!$B$9,Paramètres!$A$1:$I$89,3,0)*0.475*44/12</f>
        <v>#N/A</v>
      </c>
      <c r="AA60" s="23" t="e">
        <f>EXP(-LN(2)/25)*AA59+(1-EXP(-LN(2)/25))/(LN(2)/25)*Calculateur!V60*Calculateur!X60*VLOOKUP('Données projet'!$B$9,Paramètres!$A$1:$I$89,3,0)*0.475*44/12</f>
        <v>#N/A</v>
      </c>
      <c r="AB60" s="23" t="e">
        <f>EXP(-LN(2)/2)*AB59+(1-EXP(-LN(2)/2))/(LN(2)/2)*V60*Y60*VLOOKUP('Données projet'!$B$9,Paramètres!$A$1:$I$89,3,0)*0.475*44/12</f>
        <v>#N/A</v>
      </c>
      <c r="AC60" s="24" t="e">
        <f t="shared" si="3"/>
        <v>#N/A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0" t="e">
        <f t="shared" si="5"/>
        <v>#N/A</v>
      </c>
      <c r="AN60" s="60" t="e">
        <f ca="1">AVERAGE(OFFSET($AM$3,0,0,'Données projet'!$E$10+1,1))-AVERAGE(OFFSET($H$3,0,0,'Données projet'!$E$10+1,1))</f>
        <v>#N/A</v>
      </c>
      <c r="AO60" s="60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4.7435897435897463</v>
      </c>
      <c r="BD60" s="13">
        <f>IF('Données projet'!$A$88&gt;35,BD59+BC60-BL59,IF(A60&lt;'Données projet'!$A$88,$BA$205^A60,IF(A60='Données projet'!$A$88,'Données projet'!$B$88,BD59+BC60-BL59)))</f>
        <v>163.97435897435895</v>
      </c>
      <c r="BE60" s="14">
        <f>BD60*VLOOKUP('Données projet'!$B$11,Paramètres!$A$1:$I$89,3,0)*VLOOKUP('Données projet'!$B$11,Paramètres!$A$1:$I$89,5,0)</f>
        <v>156.03799999999998</v>
      </c>
      <c r="BF60" s="14">
        <f t="shared" si="37"/>
        <v>39.94757532752773</v>
      </c>
      <c r="BG60" s="22">
        <f t="shared" si="7"/>
        <v>341.34154369544405</v>
      </c>
      <c r="BH60" s="60">
        <f t="shared" si="8"/>
        <v>634.67487702877736</v>
      </c>
      <c r="BI60" s="60">
        <f ca="1">AVERAGE(OFFSET($BH$3,0,0,'Données projet'!$E$11+1,1))-AVERAGE(OFFSET($H$3,0,0,'Données projet'!$E$11+1,1))</f>
        <v>357.083670644861</v>
      </c>
      <c r="BJ60" s="60">
        <f t="shared" si="38"/>
        <v>299.88885091109654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10.769230769230768</v>
      </c>
      <c r="BY60" s="13">
        <f>IF('Données projet'!$A$114&gt;35,BY59+BX60-CG59,IF(A60&lt;'Données projet'!$A$114,$BV$205^A60,IF(A60='Données projet'!$A$114,'Données projet'!$B$114,BY59+BX60-CG59)))</f>
        <v>286.15384615384608</v>
      </c>
      <c r="BZ60" s="14">
        <f>BY60*VLOOKUP('Données projet'!$B$12,Paramètres!$A$1:$I$89,3,0)*VLOOKUP('Données projet'!$B$12,Paramètres!$A$1:$I$89,5,0)</f>
        <v>133.91999999999996</v>
      </c>
      <c r="CA60" s="14">
        <f t="shared" si="39"/>
        <v>34.900584164862018</v>
      </c>
      <c r="CB60" s="22">
        <f t="shared" si="10"/>
        <v>294.02918408713464</v>
      </c>
      <c r="CC60" s="60">
        <f t="shared" si="11"/>
        <v>587.36251742046795</v>
      </c>
      <c r="CD60" s="60">
        <f ca="1">AVERAGE(OFFSET($CC$3,0,0,'Données projet'!$E$12+1,1))-AVERAGE(OFFSET($H$3,0,0,'Données projet'!$E$12+1,1))</f>
        <v>245.98992992759543</v>
      </c>
      <c r="CE60" s="60">
        <f t="shared" si="40"/>
        <v>145.34368562171613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205.23983999999999</v>
      </c>
      <c r="CV60" s="14">
        <f t="shared" si="41"/>
        <v>50.893986960458122</v>
      </c>
      <c r="CW60" s="22">
        <f t="shared" si="13"/>
        <v>446.0997486227979</v>
      </c>
      <c r="CX60" s="60">
        <f t="shared" si="14"/>
        <v>739.43308195613122</v>
      </c>
      <c r="CY60" s="60">
        <f ca="1">AVERAGE(OFFSET($CX$3,0,0,'Données projet'!$E$13+1,1))-AVERAGE(OFFSET($H$3,0,0,'Données projet'!$E$13+1,1))</f>
        <v>455.50822833641354</v>
      </c>
      <c r="CZ60" s="60">
        <f t="shared" si="42"/>
        <v>261.14722581688039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212.2</v>
      </c>
      <c r="DP60" s="18">
        <f>DO60*VLOOKUP('Données projet'!$B$14,Paramètres!$A$1:$I$89,3,0)*VLOOKUP('Données projet'!$B$14,Paramètres!$A$1:$I$89,5,0)</f>
        <v>228.41207999999997</v>
      </c>
      <c r="DQ60" s="14">
        <f t="shared" si="43"/>
        <v>55.939197785226767</v>
      </c>
      <c r="DR60" s="22">
        <f t="shared" si="16"/>
        <v>495.24514214260324</v>
      </c>
      <c r="DS60" s="60">
        <f t="shared" si="17"/>
        <v>788.57847547593656</v>
      </c>
      <c r="DT60" s="60">
        <f ca="1">AVERAGE(OFFSET($DS$3,0,0,'Données projet'!$E$14+1,1))-AVERAGE(OFFSET($H$3,0,0,'Données projet'!$E$14+1,1))</f>
        <v>502.07782026233912</v>
      </c>
      <c r="DU60" s="60">
        <f t="shared" si="44"/>
        <v>285.83623046025156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7.6</v>
      </c>
      <c r="EJ60" s="13">
        <f>IF('Données projet'!$A$192&gt;35,EJ59+EI60-ER59,IF(A60&lt;'Données projet'!$A$192,$EG$205^A60,IF(A60='Données projet'!$A$192,'Données projet'!$B$192,EJ59+EI60-ER59)))</f>
        <v>212.2</v>
      </c>
      <c r="EK60" s="18">
        <f>EJ60*VLOOKUP('Données projet'!$B$15,Paramètres!$A$1:$I$89,3,0)*VLOOKUP('Données projet'!$B$15,Paramètres!$A$1:$I$89,5,0)</f>
        <v>191.99855999999997</v>
      </c>
      <c r="EL60" s="14">
        <f t="shared" si="45"/>
        <v>47.981536645873334</v>
      </c>
      <c r="EM60" s="22">
        <f t="shared" si="19"/>
        <v>417.96533499156266</v>
      </c>
      <c r="EN60" s="60">
        <f t="shared" si="20"/>
        <v>711.29866832489597</v>
      </c>
      <c r="EO60" s="60">
        <f ca="1">AVERAGE(OFFSET($EN$3,0,0,'Données projet'!$E$15+1,1))-AVERAGE(OFFSET($H$3,0,0,'Données projet'!$E$15+1,1))</f>
        <v>428.8489304403459</v>
      </c>
      <c r="EP60" s="60">
        <f t="shared" si="46"/>
        <v>247.01165577562966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 t="e">
        <f>N61*VLOOKUP('Données projet'!$B$9,Paramètres!$A$1:$I$89,3,0)*VLOOKUP('Données projet'!$B$9,Paramètres!$A$1:$I$89,5,0)</f>
        <v>#N/A</v>
      </c>
      <c r="P61" s="14" t="e">
        <f t="shared" si="33"/>
        <v>#N/A</v>
      </c>
      <c r="Q61" s="22" t="e">
        <f t="shared" si="53"/>
        <v>#N/A</v>
      </c>
      <c r="R61" s="60" t="e">
        <f t="shared" si="0"/>
        <v>#N/A</v>
      </c>
      <c r="S61" s="60" t="e">
        <f ca="1">AVERAGE(OFFSET($R$3,0,0,'Données projet'!$E$9+1,1))-AVERAGE(OFFSET($H$3,0,0,'Données projet'!$E$9+1,1))</f>
        <v>#N/A</v>
      </c>
      <c r="T61" s="60" t="e">
        <f t="shared" si="34"/>
        <v>#N/A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 t="e">
        <f>EXP(-LN(2)/35)*Z60+(1-EXP(-LN(2)/35))/(LN(2)/35)*V61*W61*VLOOKUP('Données projet'!$B$9,Paramètres!$A$1:$I$89,3,0)*0.475*44/12</f>
        <v>#N/A</v>
      </c>
      <c r="AA61" s="23" t="e">
        <f>EXP(-LN(2)/25)*AA60+(1-EXP(-LN(2)/25))/(LN(2)/25)*Calculateur!V61*Calculateur!X61*VLOOKUP('Données projet'!$B$9,Paramètres!$A$1:$I$89,3,0)*0.475*44/12</f>
        <v>#N/A</v>
      </c>
      <c r="AB61" s="23" t="e">
        <f>EXP(-LN(2)/2)*AB60+(1-EXP(-LN(2)/2))/(LN(2)/2)*V61*Y61*VLOOKUP('Données projet'!$B$9,Paramètres!$A$1:$I$89,3,0)*0.475*44/12</f>
        <v>#N/A</v>
      </c>
      <c r="AC61" s="24" t="e">
        <f t="shared" si="3"/>
        <v>#N/A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0" t="e">
        <f t="shared" si="5"/>
        <v>#N/A</v>
      </c>
      <c r="AN61" s="60" t="e">
        <f ca="1">AVERAGE(OFFSET($AM$3,0,0,'Données projet'!$E$10+1,1))-AVERAGE(OFFSET($H$3,0,0,'Données projet'!$E$10+1,1))</f>
        <v>#N/A</v>
      </c>
      <c r="AO61" s="60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4.7435897435897463</v>
      </c>
      <c r="BD61" s="13">
        <f>IF('Données projet'!$A$88&gt;35,BD60+BC61-BL60,IF(A61&lt;'Données projet'!$A$88,$BA$205^A61,IF(A61='Données projet'!$A$88,'Données projet'!$B$88,BD60+BC61-BL60)))</f>
        <v>168.7179487179487</v>
      </c>
      <c r="BE61" s="14">
        <f>BD61*VLOOKUP('Données projet'!$B$11,Paramètres!$A$1:$I$89,3,0)*VLOOKUP('Données projet'!$B$11,Paramètres!$A$1:$I$89,5,0)</f>
        <v>160.55199999999999</v>
      </c>
      <c r="BF61" s="14">
        <f t="shared" si="37"/>
        <v>40.966995580161921</v>
      </c>
      <c r="BG61" s="22">
        <f t="shared" si="7"/>
        <v>350.97891730211535</v>
      </c>
      <c r="BH61" s="60">
        <f t="shared" si="8"/>
        <v>644.31225063544866</v>
      </c>
      <c r="BI61" s="60">
        <f ca="1">AVERAGE(OFFSET($BH$3,0,0,'Données projet'!$E$11+1,1))-AVERAGE(OFFSET($H$3,0,0,'Données projet'!$E$11+1,1))</f>
        <v>357.083670644861</v>
      </c>
      <c r="BJ61" s="60">
        <f t="shared" si="38"/>
        <v>299.88885091109654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10.769230769230768</v>
      </c>
      <c r="BY61" s="13">
        <f>IF('Données projet'!$A$114&gt;35,BY60+BX61-CG60,IF(A61&lt;'Données projet'!$A$114,$BV$205^A61,IF(A61='Données projet'!$A$114,'Données projet'!$B$114,BY60+BX61-CG60)))</f>
        <v>296.92307692307685</v>
      </c>
      <c r="BZ61" s="14">
        <f>BY61*VLOOKUP('Données projet'!$B$12,Paramètres!$A$1:$I$89,3,0)*VLOOKUP('Données projet'!$B$12,Paramètres!$A$1:$I$89,5,0)</f>
        <v>138.95999999999998</v>
      </c>
      <c r="CA61" s="14">
        <f t="shared" si="39"/>
        <v>36.058652807868881</v>
      </c>
      <c r="CB61" s="22">
        <f t="shared" si="10"/>
        <v>304.82415364037161</v>
      </c>
      <c r="CC61" s="60">
        <f t="shared" si="11"/>
        <v>598.15748697370486</v>
      </c>
      <c r="CD61" s="60">
        <f ca="1">AVERAGE(OFFSET($CC$3,0,0,'Données projet'!$E$12+1,1))-AVERAGE(OFFSET($H$3,0,0,'Données projet'!$E$12+1,1))</f>
        <v>245.98992992759543</v>
      </c>
      <c r="CE61" s="60">
        <f t="shared" si="40"/>
        <v>145.34368562171613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212.59055999999998</v>
      </c>
      <c r="CV61" s="14">
        <f t="shared" si="41"/>
        <v>52.501283653296404</v>
      </c>
      <c r="CW61" s="22">
        <f t="shared" si="13"/>
        <v>461.70162769615786</v>
      </c>
      <c r="CX61" s="60">
        <f t="shared" si="14"/>
        <v>755.03496102949111</v>
      </c>
      <c r="CY61" s="60">
        <f ca="1">AVERAGE(OFFSET($CX$3,0,0,'Données projet'!$E$13+1,1))-AVERAGE(OFFSET($H$3,0,0,'Données projet'!$E$13+1,1))</f>
        <v>455.50822833641354</v>
      </c>
      <c r="CZ61" s="60">
        <f t="shared" si="42"/>
        <v>261.14722581688039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219.79999999999998</v>
      </c>
      <c r="DP61" s="18">
        <f>DO61*VLOOKUP('Données projet'!$B$14,Paramètres!$A$1:$I$89,3,0)*VLOOKUP('Données projet'!$B$14,Paramètres!$A$1:$I$89,5,0)</f>
        <v>236.59271999999999</v>
      </c>
      <c r="DQ61" s="14">
        <f t="shared" si="43"/>
        <v>57.705828638299394</v>
      </c>
      <c r="DR61" s="22">
        <f t="shared" si="16"/>
        <v>512.56997221170479</v>
      </c>
      <c r="DS61" s="60">
        <f t="shared" si="17"/>
        <v>805.90330554503817</v>
      </c>
      <c r="DT61" s="60">
        <f ca="1">AVERAGE(OFFSET($DS$3,0,0,'Données projet'!$E$14+1,1))-AVERAGE(OFFSET($H$3,0,0,'Données projet'!$E$14+1,1))</f>
        <v>502.07782026233912</v>
      </c>
      <c r="DU61" s="60">
        <f t="shared" si="44"/>
        <v>285.83623046025156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7.6</v>
      </c>
      <c r="EJ61" s="13">
        <f>IF('Données projet'!$A$192&gt;35,EJ60+EI61-ER60,IF(A61&lt;'Données projet'!$A$192,$EG$205^A61,IF(A61='Données projet'!$A$192,'Données projet'!$B$192,EJ60+EI61-ER60)))</f>
        <v>219.79999999999998</v>
      </c>
      <c r="EK61" s="18">
        <f>EJ61*VLOOKUP('Données projet'!$B$15,Paramètres!$A$1:$I$89,3,0)*VLOOKUP('Données projet'!$B$15,Paramètres!$A$1:$I$89,5,0)</f>
        <v>198.87503999999998</v>
      </c>
      <c r="EL61" s="14">
        <f t="shared" si="45"/>
        <v>49.496854461868558</v>
      </c>
      <c r="EM61" s="22">
        <f t="shared" si="19"/>
        <v>432.58104952108766</v>
      </c>
      <c r="EN61" s="60">
        <f t="shared" si="20"/>
        <v>725.91438285442098</v>
      </c>
      <c r="EO61" s="60">
        <f ca="1">AVERAGE(OFFSET($EN$3,0,0,'Données projet'!$E$15+1,1))-AVERAGE(OFFSET($H$3,0,0,'Données projet'!$E$15+1,1))</f>
        <v>428.8489304403459</v>
      </c>
      <c r="EP61" s="60">
        <f t="shared" si="46"/>
        <v>247.01165577562966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 t="e">
        <f>N62*VLOOKUP('Données projet'!$B$9,Paramètres!$A$1:$I$89,3,0)*VLOOKUP('Données projet'!$B$9,Paramètres!$A$1:$I$89,5,0)</f>
        <v>#N/A</v>
      </c>
      <c r="P62" s="14" t="e">
        <f t="shared" si="33"/>
        <v>#N/A</v>
      </c>
      <c r="Q62" s="22" t="e">
        <f t="shared" si="53"/>
        <v>#N/A</v>
      </c>
      <c r="R62" s="60" t="e">
        <f t="shared" si="0"/>
        <v>#N/A</v>
      </c>
      <c r="S62" s="60" t="e">
        <f ca="1">AVERAGE(OFFSET($R$3,0,0,'Données projet'!$E$9+1,1))-AVERAGE(OFFSET($H$3,0,0,'Données projet'!$E$9+1,1))</f>
        <v>#N/A</v>
      </c>
      <c r="T62" s="60" t="e">
        <f t="shared" si="34"/>
        <v>#N/A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 t="e">
        <f>EXP(-LN(2)/35)*Z61+(1-EXP(-LN(2)/35))/(LN(2)/35)*V62*W62*VLOOKUP('Données projet'!$B$9,Paramètres!$A$1:$I$89,3,0)*0.475*44/12</f>
        <v>#N/A</v>
      </c>
      <c r="AA62" s="23" t="e">
        <f>EXP(-LN(2)/25)*AA61+(1-EXP(-LN(2)/25))/(LN(2)/25)*Calculateur!V62*Calculateur!X62*VLOOKUP('Données projet'!$B$9,Paramètres!$A$1:$I$89,3,0)*0.475*44/12</f>
        <v>#N/A</v>
      </c>
      <c r="AB62" s="23" t="e">
        <f>EXP(-LN(2)/2)*AB61+(1-EXP(-LN(2)/2))/(LN(2)/2)*V62*Y62*VLOOKUP('Données projet'!$B$9,Paramètres!$A$1:$I$89,3,0)*0.475*44/12</f>
        <v>#N/A</v>
      </c>
      <c r="AC62" s="24" t="e">
        <f t="shared" si="3"/>
        <v>#N/A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0" t="e">
        <f t="shared" si="5"/>
        <v>#N/A</v>
      </c>
      <c r="AN62" s="60" t="e">
        <f ca="1">AVERAGE(OFFSET($AM$3,0,0,'Données projet'!$E$10+1,1))-AVERAGE(OFFSET($H$3,0,0,'Données projet'!$E$10+1,1))</f>
        <v>#N/A</v>
      </c>
      <c r="AO62" s="60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4.7435897435897463</v>
      </c>
      <c r="BD62" s="13">
        <f>IF('Données projet'!$A$88&gt;35,BD61+BC62-BL61,IF(A62&lt;'Données projet'!$A$88,$BA$205^A62,IF(A62='Données projet'!$A$88,'Données projet'!$B$88,BD61+BC62-BL61)))</f>
        <v>173.46153846153845</v>
      </c>
      <c r="BE62" s="14">
        <f>BD62*VLOOKUP('Données projet'!$B$11,Paramètres!$A$1:$I$89,3,0)*VLOOKUP('Données projet'!$B$11,Paramètres!$A$1:$I$89,5,0)</f>
        <v>165.06599999999997</v>
      </c>
      <c r="BF62" s="14">
        <f t="shared" si="37"/>
        <v>41.983084622237669</v>
      </c>
      <c r="BG62" s="22">
        <f t="shared" si="7"/>
        <v>360.61048905039723</v>
      </c>
      <c r="BH62" s="60">
        <f t="shared" si="8"/>
        <v>653.94382238373055</v>
      </c>
      <c r="BI62" s="60">
        <f ca="1">AVERAGE(OFFSET($BH$3,0,0,'Données projet'!$E$11+1,1))-AVERAGE(OFFSET($H$3,0,0,'Données projet'!$E$11+1,1))</f>
        <v>357.083670644861</v>
      </c>
      <c r="BJ62" s="60">
        <f t="shared" si="38"/>
        <v>299.88885091109654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10.769230769230768</v>
      </c>
      <c r="BY62" s="13">
        <f>IF('Données projet'!$A$114&gt;35,BY61+BX62-CG61,IF(A62&lt;'Données projet'!$A$114,$BV$205^A62,IF(A62='Données projet'!$A$114,'Données projet'!$B$114,BY61+BX62-CG61)))</f>
        <v>307.69230769230762</v>
      </c>
      <c r="BZ62" s="14">
        <f>BY62*VLOOKUP('Données projet'!$B$12,Paramètres!$A$1:$I$89,3,0)*VLOOKUP('Données projet'!$B$12,Paramètres!$A$1:$I$89,5,0)</f>
        <v>143.99999999999997</v>
      </c>
      <c r="CA62" s="14">
        <f t="shared" si="39"/>
        <v>37.211841536720947</v>
      </c>
      <c r="CB62" s="22">
        <f t="shared" si="10"/>
        <v>315.61062400978892</v>
      </c>
      <c r="CC62" s="60">
        <f t="shared" si="11"/>
        <v>608.94395734312229</v>
      </c>
      <c r="CD62" s="60">
        <f ca="1">AVERAGE(OFFSET($CC$3,0,0,'Données projet'!$E$12+1,1))-AVERAGE(OFFSET($H$3,0,0,'Données projet'!$E$12+1,1))</f>
        <v>245.98992992759543</v>
      </c>
      <c r="CE62" s="60">
        <f t="shared" si="40"/>
        <v>145.34368562171613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219.94127999999995</v>
      </c>
      <c r="CV62" s="14">
        <f t="shared" si="41"/>
        <v>54.102123020446285</v>
      </c>
      <c r="CW62" s="22">
        <f t="shared" si="13"/>
        <v>477.29226026061059</v>
      </c>
      <c r="CX62" s="60">
        <f t="shared" si="14"/>
        <v>770.6255935939439</v>
      </c>
      <c r="CY62" s="60">
        <f ca="1">AVERAGE(OFFSET($CX$3,0,0,'Données projet'!$E$13+1,1))-AVERAGE(OFFSET($H$3,0,0,'Données projet'!$E$13+1,1))</f>
        <v>455.50822833641354</v>
      </c>
      <c r="CZ62" s="60">
        <f t="shared" si="42"/>
        <v>261.14722581688039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227.39999999999998</v>
      </c>
      <c r="DP62" s="18">
        <f>DO62*VLOOKUP('Données projet'!$B$14,Paramètres!$A$1:$I$89,3,0)*VLOOKUP('Données projet'!$B$14,Paramètres!$A$1:$I$89,5,0)</f>
        <v>244.77335999999997</v>
      </c>
      <c r="DQ62" s="14">
        <f t="shared" si="43"/>
        <v>59.465362039582196</v>
      </c>
      <c r="DR62" s="22">
        <f t="shared" si="16"/>
        <v>529.88244088560566</v>
      </c>
      <c r="DS62" s="60">
        <f t="shared" si="17"/>
        <v>823.21577421893903</v>
      </c>
      <c r="DT62" s="60">
        <f ca="1">AVERAGE(OFFSET($DS$3,0,0,'Données projet'!$E$14+1,1))-AVERAGE(OFFSET($H$3,0,0,'Données projet'!$E$14+1,1))</f>
        <v>502.07782026233912</v>
      </c>
      <c r="DU62" s="60">
        <f t="shared" si="44"/>
        <v>285.83623046025156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7.6</v>
      </c>
      <c r="EJ62" s="13">
        <f>IF('Données projet'!$A$192&gt;35,EJ61+EI62-ER61,IF(A62&lt;'Données projet'!$A$192,$EG$205^A62,IF(A62='Données projet'!$A$192,'Données projet'!$B$192,EJ61+EI62-ER61)))</f>
        <v>227.39999999999998</v>
      </c>
      <c r="EK62" s="18">
        <f>EJ62*VLOOKUP('Données projet'!$B$15,Paramètres!$A$1:$I$89,3,0)*VLOOKUP('Données projet'!$B$15,Paramètres!$A$1:$I$89,5,0)</f>
        <v>205.75151999999994</v>
      </c>
      <c r="EL62" s="14">
        <f t="shared" si="45"/>
        <v>51.006084477955554</v>
      </c>
      <c r="EM62" s="22">
        <f t="shared" si="19"/>
        <v>447.18616113243911</v>
      </c>
      <c r="EN62" s="60">
        <f t="shared" si="20"/>
        <v>740.51949446577237</v>
      </c>
      <c r="EO62" s="60">
        <f ca="1">AVERAGE(OFFSET($EN$3,0,0,'Données projet'!$E$15+1,1))-AVERAGE(OFFSET($H$3,0,0,'Données projet'!$E$15+1,1))</f>
        <v>428.8489304403459</v>
      </c>
      <c r="EP62" s="60">
        <f t="shared" si="46"/>
        <v>247.01165577562966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 t="e">
        <f>N63*VLOOKUP('Données projet'!$B$9,Paramètres!$A$1:$I$89,3,0)*VLOOKUP('Données projet'!$B$9,Paramètres!$A$1:$I$89,5,0)</f>
        <v>#N/A</v>
      </c>
      <c r="P63" s="14" t="e">
        <f t="shared" si="33"/>
        <v>#N/A</v>
      </c>
      <c r="Q63" s="22" t="e">
        <f t="shared" si="53"/>
        <v>#N/A</v>
      </c>
      <c r="R63" s="60" t="e">
        <f t="shared" si="0"/>
        <v>#N/A</v>
      </c>
      <c r="S63" s="60" t="e">
        <f ca="1">AVERAGE(OFFSET($R$3,0,0,'Données projet'!$E$9+1,1))-AVERAGE(OFFSET($H$3,0,0,'Données projet'!$E$9+1,1))</f>
        <v>#N/A</v>
      </c>
      <c r="T63" s="60" t="e">
        <f t="shared" si="34"/>
        <v>#N/A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 t="e">
        <f>EXP(-LN(2)/35)*Z62+(1-EXP(-LN(2)/35))/(LN(2)/35)*V63*W63*VLOOKUP('Données projet'!$B$9,Paramètres!$A$1:$I$89,3,0)*0.475*44/12</f>
        <v>#N/A</v>
      </c>
      <c r="AA63" s="23" t="e">
        <f>EXP(-LN(2)/25)*AA62+(1-EXP(-LN(2)/25))/(LN(2)/25)*Calculateur!V63*Calculateur!X63*VLOOKUP('Données projet'!$B$9,Paramètres!$A$1:$I$89,3,0)*0.475*44/12</f>
        <v>#N/A</v>
      </c>
      <c r="AB63" s="23" t="e">
        <f>EXP(-LN(2)/2)*AB62+(1-EXP(-LN(2)/2))/(LN(2)/2)*V63*Y63*VLOOKUP('Données projet'!$B$9,Paramètres!$A$1:$I$89,3,0)*0.475*44/12</f>
        <v>#N/A</v>
      </c>
      <c r="AC63" s="24" t="e">
        <f t="shared" si="3"/>
        <v>#N/A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0" t="e">
        <f t="shared" si="5"/>
        <v>#N/A</v>
      </c>
      <c r="AN63" s="60" t="e">
        <f ca="1">AVERAGE(OFFSET($AM$3,0,0,'Données projet'!$E$10+1,1))-AVERAGE(OFFSET($H$3,0,0,'Données projet'!$E$10+1,1))</f>
        <v>#N/A</v>
      </c>
      <c r="AO63" s="60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178.2051282051282</v>
      </c>
      <c r="BB63" s="13">
        <f>VLOOKUP(A63,'Données projet'!$A$87:$I$107,9,0)</f>
        <v>4.7435897435897463</v>
      </c>
      <c r="BC63" s="13">
        <f t="array" ref="BC63">INDEX(BB:BB,MIN(IF(ISNUMBER(BB63:BB259),ROW(BB63:BB259),"")))</f>
        <v>4.7435897435897463</v>
      </c>
      <c r="BD63" s="13">
        <f>IF('Données projet'!$A$88&gt;35,BD62+BC63-BL62,IF(A63&lt;'Données projet'!$A$88,$BA$205^A63,IF(A63='Données projet'!$A$88,'Données projet'!$B$88,BD62+BC63-BL62)))</f>
        <v>178.2051282051282</v>
      </c>
      <c r="BE63" s="14">
        <f>BD63*VLOOKUP('Données projet'!$B$11,Paramètres!$A$1:$I$89,3,0)*VLOOKUP('Données projet'!$B$11,Paramètres!$A$1:$I$89,5,0)</f>
        <v>169.58</v>
      </c>
      <c r="BF63" s="14">
        <f t="shared" si="37"/>
        <v>42.995944018844192</v>
      </c>
      <c r="BG63" s="22">
        <f t="shared" si="7"/>
        <v>370.23643583282029</v>
      </c>
      <c r="BH63" s="60">
        <f t="shared" si="8"/>
        <v>663.56976916615361</v>
      </c>
      <c r="BI63" s="60">
        <f ca="1">AVERAGE(OFFSET($BH$3,0,0,'Données projet'!$E$11+1,1))-AVERAGE(OFFSET($H$3,0,0,'Données projet'!$E$11+1,1))</f>
        <v>357.083670644861</v>
      </c>
      <c r="BJ63" s="60">
        <f t="shared" si="38"/>
        <v>299.88885091109654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10.769230769230768</v>
      </c>
      <c r="BY63" s="13">
        <f>IF('Données projet'!$A$114&gt;35,BY62+BX63-CG62,IF(A63&lt;'Données projet'!$A$114,$BV$205^A63,IF(A63='Données projet'!$A$114,'Données projet'!$B$114,BY62+BX63-CG62)))</f>
        <v>318.4615384615384</v>
      </c>
      <c r="BZ63" s="14">
        <f>BY63*VLOOKUP('Données projet'!$B$12,Paramètres!$A$1:$I$89,3,0)*VLOOKUP('Données projet'!$B$12,Paramètres!$A$1:$I$89,5,0)</f>
        <v>149.03999999999996</v>
      </c>
      <c r="CA63" s="14">
        <f t="shared" si="39"/>
        <v>38.360340720309644</v>
      </c>
      <c r="CB63" s="22">
        <f t="shared" si="10"/>
        <v>326.38892675453917</v>
      </c>
      <c r="CC63" s="60">
        <f t="shared" si="11"/>
        <v>619.72226008787243</v>
      </c>
      <c r="CD63" s="60">
        <f ca="1">AVERAGE(OFFSET($CC$3,0,0,'Données projet'!$E$12+1,1))-AVERAGE(OFFSET($H$3,0,0,'Données projet'!$E$12+1,1))</f>
        <v>245.98992992759543</v>
      </c>
      <c r="CE63" s="60">
        <f t="shared" si="40"/>
        <v>145.34368562171613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227.292</v>
      </c>
      <c r="CV63" s="14">
        <f t="shared" si="41"/>
        <v>55.6967456174837</v>
      </c>
      <c r="CW63" s="22">
        <f t="shared" si="13"/>
        <v>492.87206528378402</v>
      </c>
      <c r="CX63" s="60">
        <f t="shared" si="14"/>
        <v>786.20539861711734</v>
      </c>
      <c r="CY63" s="60">
        <f ca="1">AVERAGE(OFFSET($CX$3,0,0,'Données projet'!$E$13+1,1))-AVERAGE(OFFSET($H$3,0,0,'Données projet'!$E$13+1,1))</f>
        <v>455.50822833641354</v>
      </c>
      <c r="CZ63" s="60">
        <f t="shared" si="42"/>
        <v>261.14722581688039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234.99999999999997</v>
      </c>
      <c r="DP63" s="18">
        <f>DO63*VLOOKUP('Données projet'!$B$14,Paramètres!$A$1:$I$89,3,0)*VLOOKUP('Données projet'!$B$14,Paramètres!$A$1:$I$89,5,0)</f>
        <v>252.95399999999998</v>
      </c>
      <c r="DQ63" s="14">
        <f t="shared" si="43"/>
        <v>61.218062391350081</v>
      </c>
      <c r="DR63" s="22">
        <f t="shared" si="16"/>
        <v>547.18300866493462</v>
      </c>
      <c r="DS63" s="60">
        <f t="shared" si="17"/>
        <v>840.51634199826799</v>
      </c>
      <c r="DT63" s="60">
        <f ca="1">AVERAGE(OFFSET($DS$3,0,0,'Données projet'!$E$14+1,1))-AVERAGE(OFFSET($H$3,0,0,'Données projet'!$E$14+1,1))</f>
        <v>502.07782026233912</v>
      </c>
      <c r="DU63" s="60">
        <f t="shared" si="44"/>
        <v>285.83623046025156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42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235</v>
      </c>
      <c r="EH63" s="13">
        <f>VLOOKUP(A63,'Données projet'!$A$191:$I$211,9,0)</f>
        <v>7.6</v>
      </c>
      <c r="EI63" s="13">
        <f t="array" ref="EI63">INDEX(EH:EH,MIN(IF(ISNUMBER(EH63:EH259),ROW(EH63:EH259),"")))</f>
        <v>7.6</v>
      </c>
      <c r="EJ63" s="13">
        <f>IF('Données projet'!$A$192&gt;35,EJ62+EI63-ER62,IF(A63&lt;'Données projet'!$A$192,$EG$205^A63,IF(A63='Données projet'!$A$192,'Données projet'!$B$192,EJ62+EI63-ER62)))</f>
        <v>234.99999999999997</v>
      </c>
      <c r="EK63" s="18">
        <f>EJ63*VLOOKUP('Données projet'!$B$15,Paramètres!$A$1:$I$89,3,0)*VLOOKUP('Données projet'!$B$15,Paramètres!$A$1:$I$89,5,0)</f>
        <v>212.62799999999999</v>
      </c>
      <c r="EL63" s="14">
        <f t="shared" si="45"/>
        <v>52.509453483719035</v>
      </c>
      <c r="EM63" s="22">
        <f t="shared" si="19"/>
        <v>461.78106481747727</v>
      </c>
      <c r="EN63" s="60">
        <f t="shared" si="20"/>
        <v>755.11439815081053</v>
      </c>
      <c r="EO63" s="60">
        <f ca="1">AVERAGE(OFFSET($EN$3,0,0,'Données projet'!$E$15+1,1))-AVERAGE(OFFSET($H$3,0,0,'Données projet'!$E$15+1,1))</f>
        <v>428.8489304403459</v>
      </c>
      <c r="EP63" s="60">
        <f t="shared" si="46"/>
        <v>247.01165577562966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42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 t="e">
        <f>N64*VLOOKUP('Données projet'!$B$9,Paramètres!$A$1:$I$89,3,0)*VLOOKUP('Données projet'!$B$9,Paramètres!$A$1:$I$89,5,0)</f>
        <v>#N/A</v>
      </c>
      <c r="P64" s="14" t="e">
        <f t="shared" si="33"/>
        <v>#N/A</v>
      </c>
      <c r="Q64" s="22" t="e">
        <f t="shared" si="53"/>
        <v>#N/A</v>
      </c>
      <c r="R64" s="60" t="e">
        <f t="shared" si="0"/>
        <v>#N/A</v>
      </c>
      <c r="S64" s="60" t="e">
        <f ca="1">AVERAGE(OFFSET($R$3,0,0,'Données projet'!$E$9+1,1))-AVERAGE(OFFSET($H$3,0,0,'Données projet'!$E$9+1,1))</f>
        <v>#N/A</v>
      </c>
      <c r="T64" s="60" t="e">
        <f t="shared" si="34"/>
        <v>#N/A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 t="e">
        <f>EXP(-LN(2)/35)*Z63+(1-EXP(-LN(2)/35))/(LN(2)/35)*V64*W64*VLOOKUP('Données projet'!$B$9,Paramètres!$A$1:$I$89,3,0)*0.475*44/12</f>
        <v>#N/A</v>
      </c>
      <c r="AA64" s="23" t="e">
        <f>EXP(-LN(2)/25)*AA63+(1-EXP(-LN(2)/25))/(LN(2)/25)*Calculateur!V64*Calculateur!X64*VLOOKUP('Données projet'!$B$9,Paramètres!$A$1:$I$89,3,0)*0.475*44/12</f>
        <v>#N/A</v>
      </c>
      <c r="AB64" s="23" t="e">
        <f>EXP(-LN(2)/2)*AB63+(1-EXP(-LN(2)/2))/(LN(2)/2)*V64*Y64*VLOOKUP('Données projet'!$B$9,Paramètres!$A$1:$I$89,3,0)*0.475*44/12</f>
        <v>#N/A</v>
      </c>
      <c r="AC64" s="24" t="e">
        <f t="shared" si="3"/>
        <v>#N/A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0" t="e">
        <f t="shared" si="5"/>
        <v>#N/A</v>
      </c>
      <c r="AN64" s="60" t="e">
        <f ca="1">AVERAGE(OFFSET($AM$3,0,0,'Données projet'!$E$10+1,1))-AVERAGE(OFFSET($H$3,0,0,'Données projet'!$E$10+1,1))</f>
        <v>#N/A</v>
      </c>
      <c r="AO64" s="60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4.4871794871794863</v>
      </c>
      <c r="BD64" s="13">
        <f>IF('Données projet'!$A$88&gt;35,BD63+BC64-BL63,IF(A64&lt;'Données projet'!$A$88,$BA$205^A64,IF(A64='Données projet'!$A$88,'Données projet'!$B$88,BD63+BC64-BL63)))</f>
        <v>182.69230769230768</v>
      </c>
      <c r="BE64" s="14">
        <f>BD64*VLOOKUP('Données projet'!$B$11,Paramètres!$A$1:$I$89,3,0)*VLOOKUP('Données projet'!$B$11,Paramètres!$A$1:$I$89,5,0)</f>
        <v>173.85</v>
      </c>
      <c r="BF64" s="14">
        <f t="shared" si="37"/>
        <v>43.951168452592761</v>
      </c>
      <c r="BG64" s="22">
        <f t="shared" si="7"/>
        <v>379.33703505493236</v>
      </c>
      <c r="BH64" s="60">
        <f t="shared" si="8"/>
        <v>672.67036838826562</v>
      </c>
      <c r="BI64" s="60">
        <f ca="1">AVERAGE(OFFSET($BH$3,0,0,'Données projet'!$E$11+1,1))-AVERAGE(OFFSET($H$3,0,0,'Données projet'!$E$11+1,1))</f>
        <v>357.083670644861</v>
      </c>
      <c r="BJ64" s="60">
        <f t="shared" si="38"/>
        <v>299.88885091109654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10.769230769230768</v>
      </c>
      <c r="BY64" s="13">
        <f>IF('Données projet'!$A$114&gt;35,BY63+BX64-CG63,IF(A64&lt;'Données projet'!$A$114,$BV$205^A64,IF(A64='Données projet'!$A$114,'Données projet'!$B$114,BY63+BX64-CG63)))</f>
        <v>329.23076923076917</v>
      </c>
      <c r="BZ64" s="14">
        <f>BY64*VLOOKUP('Données projet'!$B$12,Paramètres!$A$1:$I$89,3,0)*VLOOKUP('Données projet'!$B$12,Paramètres!$A$1:$I$89,5,0)</f>
        <v>154.07999999999998</v>
      </c>
      <c r="CA64" s="14">
        <f t="shared" si="39"/>
        <v>39.504327121889922</v>
      </c>
      <c r="CB64" s="22">
        <f t="shared" si="10"/>
        <v>337.15936973729157</v>
      </c>
      <c r="CC64" s="60">
        <f t="shared" si="11"/>
        <v>630.49270307062488</v>
      </c>
      <c r="CD64" s="60">
        <f ca="1">AVERAGE(OFFSET($CC$3,0,0,'Données projet'!$E$12+1,1))-AVERAGE(OFFSET($H$3,0,0,'Données projet'!$E$12+1,1))</f>
        <v>245.98992992759543</v>
      </c>
      <c r="CE64" s="60">
        <f t="shared" si="40"/>
        <v>145.34368562171613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193.63343999999998</v>
      </c>
      <c r="CV64" s="14">
        <f t="shared" si="41"/>
        <v>48.342367086681229</v>
      </c>
      <c r="CW64" s="22">
        <f t="shared" si="13"/>
        <v>421.44119734263637</v>
      </c>
      <c r="CX64" s="60">
        <f t="shared" si="14"/>
        <v>714.77453067596969</v>
      </c>
      <c r="CY64" s="60">
        <f ca="1">AVERAGE(OFFSET($CX$3,0,0,'Données projet'!$E$13+1,1))-AVERAGE(OFFSET($H$3,0,0,'Données projet'!$E$13+1,1))</f>
        <v>455.50822833641354</v>
      </c>
      <c r="CZ64" s="60">
        <f t="shared" si="42"/>
        <v>261.14722581688039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215.49527999999992</v>
      </c>
      <c r="DQ64" s="14">
        <f t="shared" si="43"/>
        <v>53.134631326269272</v>
      </c>
      <c r="DR64" s="22">
        <f t="shared" si="16"/>
        <v>467.86376222658549</v>
      </c>
      <c r="DS64" s="60">
        <f t="shared" si="17"/>
        <v>761.19709555991881</v>
      </c>
      <c r="DT64" s="60">
        <f ca="1">AVERAGE(OFFSET($DS$3,0,0,'Données projet'!$E$14+1,1))-AVERAGE(OFFSET($H$3,0,0,'Données projet'!$E$14+1,1))</f>
        <v>502.07782026233912</v>
      </c>
      <c r="DU64" s="60">
        <f t="shared" si="44"/>
        <v>285.83623046025156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7.2</v>
      </c>
      <c r="EJ64" s="13">
        <f>IF('Données projet'!$A$192&gt;35,EJ63+EI64-ER63,IF(A64&lt;'Données projet'!$A$192,$EG$205^A64,IF(A64='Données projet'!$A$192,'Données projet'!$B$192,EJ63+EI64-ER63)))</f>
        <v>200.19999999999996</v>
      </c>
      <c r="EK64" s="18">
        <f>EJ64*VLOOKUP('Données projet'!$B$15,Paramètres!$A$1:$I$89,3,0)*VLOOKUP('Données projet'!$B$15,Paramètres!$A$1:$I$89,5,0)</f>
        <v>181.14095999999995</v>
      </c>
      <c r="EL64" s="14">
        <f t="shared" si="45"/>
        <v>45.575935320610945</v>
      </c>
      <c r="EM64" s="22">
        <f t="shared" si="19"/>
        <v>394.86525935006392</v>
      </c>
      <c r="EN64" s="60">
        <f t="shared" si="20"/>
        <v>688.19859268339724</v>
      </c>
      <c r="EO64" s="60">
        <f ca="1">AVERAGE(OFFSET($EN$3,0,0,'Données projet'!$E$15+1,1))-AVERAGE(OFFSET($H$3,0,0,'Données projet'!$E$15+1,1))</f>
        <v>428.8489304403459</v>
      </c>
      <c r="EP64" s="60">
        <f t="shared" si="46"/>
        <v>247.01165577562966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 t="e">
        <f>N65*VLOOKUP('Données projet'!$B$9,Paramètres!$A$1:$I$89,3,0)*VLOOKUP('Données projet'!$B$9,Paramètres!$A$1:$I$89,5,0)</f>
        <v>#N/A</v>
      </c>
      <c r="P65" s="14" t="e">
        <f t="shared" si="33"/>
        <v>#N/A</v>
      </c>
      <c r="Q65" s="22" t="e">
        <f t="shared" si="53"/>
        <v>#N/A</v>
      </c>
      <c r="R65" s="60" t="e">
        <f t="shared" si="0"/>
        <v>#N/A</v>
      </c>
      <c r="S65" s="60" t="e">
        <f ca="1">AVERAGE(OFFSET($R$3,0,0,'Données projet'!$E$9+1,1))-AVERAGE(OFFSET($H$3,0,0,'Données projet'!$E$9+1,1))</f>
        <v>#N/A</v>
      </c>
      <c r="T65" s="60" t="e">
        <f t="shared" si="34"/>
        <v>#N/A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 t="e">
        <f>EXP(-LN(2)/35)*Z64+(1-EXP(-LN(2)/35))/(LN(2)/35)*V65*W65*VLOOKUP('Données projet'!$B$9,Paramètres!$A$1:$I$89,3,0)*0.475*44/12</f>
        <v>#N/A</v>
      </c>
      <c r="AA65" s="23" t="e">
        <f>EXP(-LN(2)/25)*AA64+(1-EXP(-LN(2)/25))/(LN(2)/25)*Calculateur!V65*Calculateur!X65*VLOOKUP('Données projet'!$B$9,Paramètres!$A$1:$I$89,3,0)*0.475*44/12</f>
        <v>#N/A</v>
      </c>
      <c r="AB65" s="23" t="e">
        <f>EXP(-LN(2)/2)*AB64+(1-EXP(-LN(2)/2))/(LN(2)/2)*V65*Y65*VLOOKUP('Données projet'!$B$9,Paramètres!$A$1:$I$89,3,0)*0.475*44/12</f>
        <v>#N/A</v>
      </c>
      <c r="AC65" s="24" t="e">
        <f t="shared" si="3"/>
        <v>#N/A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0" t="e">
        <f t="shared" si="5"/>
        <v>#N/A</v>
      </c>
      <c r="AN65" s="60" t="e">
        <f ca="1">AVERAGE(OFFSET($AM$3,0,0,'Données projet'!$E$10+1,1))-AVERAGE(OFFSET($H$3,0,0,'Données projet'!$E$10+1,1))</f>
        <v>#N/A</v>
      </c>
      <c r="AO65" s="60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4.4871794871794863</v>
      </c>
      <c r="BD65" s="13">
        <f>IF('Données projet'!$A$88&gt;35,BD64+BC65-BL64,IF(A65&lt;'Données projet'!$A$88,$BA$205^A65,IF(A65='Données projet'!$A$88,'Données projet'!$B$88,BD64+BC65-BL64)))</f>
        <v>187.17948717948715</v>
      </c>
      <c r="BE65" s="14">
        <f>BD65*VLOOKUP('Données projet'!$B$11,Paramètres!$A$1:$I$89,3,0)*VLOOKUP('Données projet'!$B$11,Paramètres!$A$1:$I$89,5,0)</f>
        <v>178.11999999999998</v>
      </c>
      <c r="BF65" s="14">
        <f t="shared" si="37"/>
        <v>44.90366556024162</v>
      </c>
      <c r="BG65" s="22">
        <f t="shared" si="7"/>
        <v>388.43288418408741</v>
      </c>
      <c r="BH65" s="60">
        <f t="shared" si="8"/>
        <v>681.76621751742073</v>
      </c>
      <c r="BI65" s="60">
        <f ca="1">AVERAGE(OFFSET($BH$3,0,0,'Données projet'!$E$11+1,1))-AVERAGE(OFFSET($H$3,0,0,'Données projet'!$E$11+1,1))</f>
        <v>357.083670644861</v>
      </c>
      <c r="BJ65" s="60">
        <f t="shared" si="38"/>
        <v>299.88885091109654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10.769230769230768</v>
      </c>
      <c r="BY65" s="13">
        <f>IF('Données projet'!$A$114&gt;35,BY64+BX65-CG64,IF(A65&lt;'Données projet'!$A$114,$BV$205^A65,IF(A65='Données projet'!$A$114,'Données projet'!$B$114,BY64+BX65-CG64)))</f>
        <v>339.99999999999994</v>
      </c>
      <c r="BZ65" s="14">
        <f>BY65*VLOOKUP('Données projet'!$B$12,Paramètres!$A$1:$I$89,3,0)*VLOOKUP('Données projet'!$B$12,Paramètres!$A$1:$I$89,5,0)</f>
        <v>159.11999999999998</v>
      </c>
      <c r="CA65" s="14">
        <f t="shared" si="39"/>
        <v>40.643965284387697</v>
      </c>
      <c r="CB65" s="22">
        <f t="shared" si="10"/>
        <v>347.92223953697516</v>
      </c>
      <c r="CC65" s="60">
        <f t="shared" si="11"/>
        <v>641.25557287030847</v>
      </c>
      <c r="CD65" s="60">
        <f ca="1">AVERAGE(OFFSET($CC$3,0,0,'Données projet'!$E$12+1,1))-AVERAGE(OFFSET($H$3,0,0,'Données projet'!$E$12+1,1))</f>
        <v>245.98992992759543</v>
      </c>
      <c r="CE65" s="60">
        <f t="shared" si="40"/>
        <v>145.34368562171613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200.59727999999996</v>
      </c>
      <c r="CV65" s="14">
        <f t="shared" si="41"/>
        <v>49.875409002022977</v>
      </c>
      <c r="CW65" s="22">
        <f t="shared" si="13"/>
        <v>436.23993334518991</v>
      </c>
      <c r="CX65" s="60">
        <f t="shared" si="14"/>
        <v>729.57326667852317</v>
      </c>
      <c r="CY65" s="60">
        <f ca="1">AVERAGE(OFFSET($CX$3,0,0,'Données projet'!$E$13+1,1))-AVERAGE(OFFSET($H$3,0,0,'Données projet'!$E$13+1,1))</f>
        <v>455.50822833641354</v>
      </c>
      <c r="CZ65" s="60">
        <f t="shared" si="42"/>
        <v>261.14722581688039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223.24535999999995</v>
      </c>
      <c r="DQ65" s="14">
        <f t="shared" si="43"/>
        <v>54.819646394591118</v>
      </c>
      <c r="DR65" s="22">
        <f t="shared" si="16"/>
        <v>484.29655280391279</v>
      </c>
      <c r="DS65" s="60">
        <f t="shared" si="17"/>
        <v>777.6298861372461</v>
      </c>
      <c r="DT65" s="60">
        <f ca="1">AVERAGE(OFFSET($DS$3,0,0,'Données projet'!$E$14+1,1))-AVERAGE(OFFSET($H$3,0,0,'Données projet'!$E$14+1,1))</f>
        <v>502.07782026233912</v>
      </c>
      <c r="DU65" s="60">
        <f t="shared" si="44"/>
        <v>285.83623046025156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7.2</v>
      </c>
      <c r="EJ65" s="13">
        <f>IF('Données projet'!$A$192&gt;35,EJ64+EI65-ER64,IF(A65&lt;'Données projet'!$A$192,$EG$205^A65,IF(A65='Données projet'!$A$192,'Données projet'!$B$192,EJ64+EI65-ER64)))</f>
        <v>207.39999999999995</v>
      </c>
      <c r="EK65" s="18">
        <f>EJ65*VLOOKUP('Données projet'!$B$15,Paramètres!$A$1:$I$89,3,0)*VLOOKUP('Données projet'!$B$15,Paramètres!$A$1:$I$89,5,0)</f>
        <v>187.65551999999994</v>
      </c>
      <c r="EL65" s="14">
        <f t="shared" si="45"/>
        <v>47.021247649900147</v>
      </c>
      <c r="EM65" s="22">
        <f t="shared" si="19"/>
        <v>408.72870365690932</v>
      </c>
      <c r="EN65" s="60">
        <f t="shared" si="20"/>
        <v>702.06203699024263</v>
      </c>
      <c r="EO65" s="60">
        <f ca="1">AVERAGE(OFFSET($EN$3,0,0,'Données projet'!$E$15+1,1))-AVERAGE(OFFSET($H$3,0,0,'Données projet'!$E$15+1,1))</f>
        <v>428.8489304403459</v>
      </c>
      <c r="EP65" s="60">
        <f t="shared" si="46"/>
        <v>247.01165577562966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 t="e">
        <f>N66*VLOOKUP('Données projet'!$B$9,Paramètres!$A$1:$I$89,3,0)*VLOOKUP('Données projet'!$B$9,Paramètres!$A$1:$I$89,5,0)</f>
        <v>#N/A</v>
      </c>
      <c r="P66" s="14" t="e">
        <f t="shared" si="33"/>
        <v>#N/A</v>
      </c>
      <c r="Q66" s="22" t="e">
        <f t="shared" si="53"/>
        <v>#N/A</v>
      </c>
      <c r="R66" s="60" t="e">
        <f t="shared" si="0"/>
        <v>#N/A</v>
      </c>
      <c r="S66" s="60" t="e">
        <f ca="1">AVERAGE(OFFSET($R$3,0,0,'Données projet'!$E$9+1,1))-AVERAGE(OFFSET($H$3,0,0,'Données projet'!$E$9+1,1))</f>
        <v>#N/A</v>
      </c>
      <c r="T66" s="60" t="e">
        <f t="shared" si="34"/>
        <v>#N/A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 t="e">
        <f>EXP(-LN(2)/35)*Z65+(1-EXP(-LN(2)/35))/(LN(2)/35)*V66*W66*VLOOKUP('Données projet'!$B$9,Paramètres!$A$1:$I$89,3,0)*0.475*44/12</f>
        <v>#N/A</v>
      </c>
      <c r="AA66" s="23" t="e">
        <f>EXP(-LN(2)/25)*AA65+(1-EXP(-LN(2)/25))/(LN(2)/25)*Calculateur!V66*Calculateur!X66*VLOOKUP('Données projet'!$B$9,Paramètres!$A$1:$I$89,3,0)*0.475*44/12</f>
        <v>#N/A</v>
      </c>
      <c r="AB66" s="23" t="e">
        <f>EXP(-LN(2)/2)*AB65+(1-EXP(-LN(2)/2))/(LN(2)/2)*V66*Y66*VLOOKUP('Données projet'!$B$9,Paramètres!$A$1:$I$89,3,0)*0.475*44/12</f>
        <v>#N/A</v>
      </c>
      <c r="AC66" s="24" t="e">
        <f t="shared" si="3"/>
        <v>#N/A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0" t="e">
        <f t="shared" si="5"/>
        <v>#N/A</v>
      </c>
      <c r="AN66" s="60" t="e">
        <f ca="1">AVERAGE(OFFSET($AM$3,0,0,'Données projet'!$E$10+1,1))-AVERAGE(OFFSET($H$3,0,0,'Données projet'!$E$10+1,1))</f>
        <v>#N/A</v>
      </c>
      <c r="AO66" s="60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4.4871794871794863</v>
      </c>
      <c r="BD66" s="13">
        <f>IF('Données projet'!$A$88&gt;35,BD65+BC66-BL65,IF(A66&lt;'Données projet'!$A$88,$BA$205^A66,IF(A66='Données projet'!$A$88,'Données projet'!$B$88,BD65+BC66-BL65)))</f>
        <v>191.66666666666663</v>
      </c>
      <c r="BE66" s="14">
        <f>BD66*VLOOKUP('Données projet'!$B$11,Paramètres!$A$1:$I$89,3,0)*VLOOKUP('Données projet'!$B$11,Paramètres!$A$1:$I$89,5,0)</f>
        <v>182.38999999999996</v>
      </c>
      <c r="BF66" s="14">
        <f t="shared" si="37"/>
        <v>45.853508245632504</v>
      </c>
      <c r="BG66" s="22">
        <f t="shared" si="7"/>
        <v>397.52411019447646</v>
      </c>
      <c r="BH66" s="60">
        <f t="shared" si="8"/>
        <v>690.85744352780978</v>
      </c>
      <c r="BI66" s="60">
        <f ca="1">AVERAGE(OFFSET($BH$3,0,0,'Données projet'!$E$11+1,1))-AVERAGE(OFFSET($H$3,0,0,'Données projet'!$E$11+1,1))</f>
        <v>357.083670644861</v>
      </c>
      <c r="BJ66" s="60">
        <f t="shared" si="38"/>
        <v>299.88885091109654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>
        <f>VLOOKUP(A66,'Données projet'!$A$113:$I$133,2,0)</f>
        <v>350.76923076923077</v>
      </c>
      <c r="BW66" s="13">
        <f>VLOOKUP(A66,'Données projet'!$A$113:$I$133,9,0)</f>
        <v>10.769230769230768</v>
      </c>
      <c r="BX66" s="13">
        <f t="array" ref="BX66">INDEX(BW:BW,MIN(IF(ISNUMBER(BW66:BW262),ROW(BW66:BW262),"")))</f>
        <v>10.769230769230768</v>
      </c>
      <c r="BY66" s="13">
        <f>IF('Données projet'!$A$114&gt;35,BY65+BX66-CG65,IF(A66&lt;'Données projet'!$A$114,$BV$205^A66,IF(A66='Données projet'!$A$114,'Données projet'!$B$114,BY65+BX66-CG65)))</f>
        <v>350.76923076923072</v>
      </c>
      <c r="BZ66" s="14">
        <f>BY66*VLOOKUP('Données projet'!$B$12,Paramètres!$A$1:$I$89,3,0)*VLOOKUP('Données projet'!$B$12,Paramètres!$A$1:$I$89,5,0)</f>
        <v>164.15999999999997</v>
      </c>
      <c r="CA66" s="14">
        <f t="shared" si="39"/>
        <v>41.779408735262933</v>
      </c>
      <c r="CB66" s="22">
        <f t="shared" si="10"/>
        <v>358.67780354724954</v>
      </c>
      <c r="CC66" s="60">
        <f t="shared" si="11"/>
        <v>652.01113688058285</v>
      </c>
      <c r="CD66" s="60">
        <f ca="1">AVERAGE(OFFSET($CC$3,0,0,'Données projet'!$E$12+1,1))-AVERAGE(OFFSET($H$3,0,0,'Données projet'!$E$12+1,1))</f>
        <v>245.98992992759543</v>
      </c>
      <c r="CE66" s="60">
        <f t="shared" si="40"/>
        <v>145.34368562171613</v>
      </c>
      <c r="CF66" s="16">
        <f>IF(ISNA(VLOOKUP(A66,'Données projet'!$A$113:$I$133,3,0)),0,VLOOKUP(A66,'Données projet'!$A$113:$I$133,3,0))</f>
        <v>2</v>
      </c>
      <c r="CG66" s="16">
        <f>IF(ISNA(VLOOKUP(A66,'Données projet'!$A$113:$I$133,4,0)),0,VLOOKUP(A66,'Données projet'!$A$113:$I$133,4,0))</f>
        <v>108.46153846153845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207.56111999999996</v>
      </c>
      <c r="CV66" s="14">
        <f t="shared" si="41"/>
        <v>51.40226725537714</v>
      </c>
      <c r="CW66" s="22">
        <f t="shared" si="13"/>
        <v>451.02789946978169</v>
      </c>
      <c r="CX66" s="60">
        <f t="shared" si="14"/>
        <v>744.36123280311494</v>
      </c>
      <c r="CY66" s="60">
        <f ca="1">AVERAGE(OFFSET($CX$3,0,0,'Données projet'!$E$13+1,1))-AVERAGE(OFFSET($H$3,0,0,'Données projet'!$E$13+1,1))</f>
        <v>455.50822833641354</v>
      </c>
      <c r="CZ66" s="60">
        <f t="shared" si="42"/>
        <v>261.14722581688039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230.99543999999995</v>
      </c>
      <c r="DQ66" s="14">
        <f t="shared" si="43"/>
        <v>56.497864803589785</v>
      </c>
      <c r="DR66" s="22">
        <f t="shared" si="16"/>
        <v>500.71750586625211</v>
      </c>
      <c r="DS66" s="60">
        <f t="shared" si="17"/>
        <v>794.05083919958543</v>
      </c>
      <c r="DT66" s="60">
        <f ca="1">AVERAGE(OFFSET($DS$3,0,0,'Données projet'!$E$14+1,1))-AVERAGE(OFFSET($H$3,0,0,'Données projet'!$E$14+1,1))</f>
        <v>502.07782026233912</v>
      </c>
      <c r="DU66" s="60">
        <f t="shared" si="44"/>
        <v>285.83623046025156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7.2</v>
      </c>
      <c r="EJ66" s="13">
        <f>IF('Données projet'!$A$192&gt;35,EJ65+EI66-ER65,IF(A66&lt;'Données projet'!$A$192,$EG$205^A66,IF(A66='Données projet'!$A$192,'Données projet'!$B$192,EJ65+EI66-ER65)))</f>
        <v>214.59999999999994</v>
      </c>
      <c r="EK66" s="18">
        <f>EJ66*VLOOKUP('Données projet'!$B$15,Paramètres!$A$1:$I$89,3,0)*VLOOKUP('Données projet'!$B$15,Paramètres!$A$1:$I$89,5,0)</f>
        <v>194.17007999999996</v>
      </c>
      <c r="EL66" s="14">
        <f t="shared" si="45"/>
        <v>48.460730182351035</v>
      </c>
      <c r="EM66" s="22">
        <f t="shared" si="19"/>
        <v>422.5819944009279</v>
      </c>
      <c r="EN66" s="60">
        <f t="shared" si="20"/>
        <v>715.91532773426115</v>
      </c>
      <c r="EO66" s="60">
        <f ca="1">AVERAGE(OFFSET($EN$3,0,0,'Données projet'!$E$15+1,1))-AVERAGE(OFFSET($H$3,0,0,'Données projet'!$E$15+1,1))</f>
        <v>428.8489304403459</v>
      </c>
      <c r="EP66" s="60">
        <f t="shared" si="46"/>
        <v>247.01165577562966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 t="e">
        <f>N67*VLOOKUP('Données projet'!$B$9,Paramètres!$A$1:$I$89,3,0)*VLOOKUP('Données projet'!$B$9,Paramètres!$A$1:$I$89,5,0)</f>
        <v>#N/A</v>
      </c>
      <c r="P67" s="14" t="e">
        <f t="shared" si="33"/>
        <v>#N/A</v>
      </c>
      <c r="Q67" s="22" t="e">
        <f t="shared" ref="Q67:Q98" si="54">(O67+P67)*0.475*44/12</f>
        <v>#N/A</v>
      </c>
      <c r="R67" s="60" t="e">
        <f t="shared" ref="R67:R130" si="55">Q67+(I67+J67)*44/12</f>
        <v>#N/A</v>
      </c>
      <c r="S67" s="60" t="e">
        <f ca="1">AVERAGE(OFFSET($R$3,0,0,'Données projet'!$E$9+1,1))-AVERAGE(OFFSET($H$3,0,0,'Données projet'!$E$9+1,1))</f>
        <v>#N/A</v>
      </c>
      <c r="T67" s="60" t="e">
        <f t="shared" si="34"/>
        <v>#N/A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 t="e">
        <f>EXP(-LN(2)/35)*Z66+(1-EXP(-LN(2)/35))/(LN(2)/35)*V67*W67*VLOOKUP('Données projet'!$B$9,Paramètres!$A$1:$I$89,3,0)*0.475*44/12</f>
        <v>#N/A</v>
      </c>
      <c r="AA67" s="23" t="e">
        <f>EXP(-LN(2)/25)*AA66+(1-EXP(-LN(2)/25))/(LN(2)/25)*Calculateur!V67*Calculateur!X67*VLOOKUP('Données projet'!$B$9,Paramètres!$A$1:$I$89,3,0)*0.475*44/12</f>
        <v>#N/A</v>
      </c>
      <c r="AB67" s="23" t="e">
        <f>EXP(-LN(2)/2)*AB66+(1-EXP(-LN(2)/2))/(LN(2)/2)*V67*Y67*VLOOKUP('Données projet'!$B$9,Paramètres!$A$1:$I$89,3,0)*0.475*44/12</f>
        <v>#N/A</v>
      </c>
      <c r="AC67" s="24" t="e">
        <f t="shared" si="3"/>
        <v>#N/A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0" t="e">
        <f t="shared" si="5"/>
        <v>#N/A</v>
      </c>
      <c r="AN67" s="60" t="e">
        <f ca="1">AVERAGE(OFFSET($AM$3,0,0,'Données projet'!$E$10+1,1))-AVERAGE(OFFSET($H$3,0,0,'Données projet'!$E$10+1,1))</f>
        <v>#N/A</v>
      </c>
      <c r="AO67" s="60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4.4871794871794863</v>
      </c>
      <c r="BD67" s="13">
        <f>IF('Données projet'!$A$88&gt;35,BD66+BC67-BL66,IF(A67&lt;'Données projet'!$A$88,$BA$205^A67,IF(A67='Données projet'!$A$88,'Données projet'!$B$88,BD66+BC67-BL66)))</f>
        <v>196.1538461538461</v>
      </c>
      <c r="BE67" s="14">
        <f>BD67*VLOOKUP('Données projet'!$B$11,Paramètres!$A$1:$I$89,3,0)*VLOOKUP('Données projet'!$B$11,Paramètres!$A$1:$I$89,5,0)</f>
        <v>186.65999999999994</v>
      </c>
      <c r="BF67" s="14">
        <f t="shared" si="37"/>
        <v>46.800765804305463</v>
      </c>
      <c r="BG67" s="22">
        <f t="shared" si="7"/>
        <v>406.61083377583185</v>
      </c>
      <c r="BH67" s="60">
        <f t="shared" si="8"/>
        <v>699.94416710916516</v>
      </c>
      <c r="BI67" s="60">
        <f ca="1">AVERAGE(OFFSET($BH$3,0,0,'Données projet'!$E$11+1,1))-AVERAGE(OFFSET($H$3,0,0,'Données projet'!$E$11+1,1))</f>
        <v>357.083670644861</v>
      </c>
      <c r="BJ67" s="60">
        <f t="shared" si="38"/>
        <v>299.88885091109654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9.8717948717948705</v>
      </c>
      <c r="BY67" s="13">
        <f>IF('Données projet'!$A$114&gt;35,BY66+BX67-CG66,IF(A67&lt;'Données projet'!$A$114,$BV$205^A67,IF(A67='Données projet'!$A$114,'Données projet'!$B$114,BY66+BX67-CG66)))</f>
        <v>252.17948717948713</v>
      </c>
      <c r="BZ67" s="14">
        <f>BY67*VLOOKUP('Données projet'!$B$12,Paramètres!$A$1:$I$89,3,0)*VLOOKUP('Données projet'!$B$12,Paramètres!$A$1:$I$89,5,0)</f>
        <v>118.01999999999998</v>
      </c>
      <c r="CA67" s="14">
        <f t="shared" si="39"/>
        <v>31.212750593480965</v>
      </c>
      <c r="CB67" s="22">
        <f t="shared" si="10"/>
        <v>259.91370728364598</v>
      </c>
      <c r="CC67" s="60">
        <f t="shared" si="11"/>
        <v>553.24704061697935</v>
      </c>
      <c r="CD67" s="60">
        <f ca="1">AVERAGE(OFFSET($CC$3,0,0,'Données projet'!$E$12+1,1))-AVERAGE(OFFSET($H$3,0,0,'Données projet'!$E$12+1,1))</f>
        <v>245.98992992759543</v>
      </c>
      <c r="CE67" s="60">
        <f t="shared" si="40"/>
        <v>145.34368562171613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214.52495999999994</v>
      </c>
      <c r="CV67" s="14">
        <f t="shared" si="41"/>
        <v>52.923173099085716</v>
      </c>
      <c r="CW67" s="22">
        <f t="shared" si="13"/>
        <v>465.80549848090754</v>
      </c>
      <c r="CX67" s="60">
        <f t="shared" si="14"/>
        <v>759.1388318142408</v>
      </c>
      <c r="CY67" s="60">
        <f ca="1">AVERAGE(OFFSET($CX$3,0,0,'Données projet'!$E$13+1,1))-AVERAGE(OFFSET($H$3,0,0,'Données projet'!$E$13+1,1))</f>
        <v>455.50822833641354</v>
      </c>
      <c r="CZ67" s="60">
        <f t="shared" si="42"/>
        <v>261.14722581688039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238.74551999999991</v>
      </c>
      <c r="DQ67" s="14">
        <f t="shared" si="43"/>
        <v>58.169540730060781</v>
      </c>
      <c r="DR67" s="22">
        <f t="shared" si="16"/>
        <v>517.12706410485578</v>
      </c>
      <c r="DS67" s="60">
        <f t="shared" si="17"/>
        <v>810.46039743818915</v>
      </c>
      <c r="DT67" s="60">
        <f ca="1">AVERAGE(OFFSET($DS$3,0,0,'Données projet'!$E$14+1,1))-AVERAGE(OFFSET($H$3,0,0,'Données projet'!$E$14+1,1))</f>
        <v>502.07782026233912</v>
      </c>
      <c r="DU67" s="60">
        <f t="shared" si="44"/>
        <v>285.83623046025156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7.2</v>
      </c>
      <c r="EJ67" s="13">
        <f>IF('Données projet'!$A$192&gt;35,EJ66+EI67-ER66,IF(A67&lt;'Données projet'!$A$192,$EG$205^A67,IF(A67='Données projet'!$A$192,'Données projet'!$B$192,EJ66+EI67-ER66)))</f>
        <v>221.79999999999993</v>
      </c>
      <c r="EK67" s="18">
        <f>EJ67*VLOOKUP('Données projet'!$B$15,Paramètres!$A$1:$I$89,3,0)*VLOOKUP('Données projet'!$B$15,Paramètres!$A$1:$I$89,5,0)</f>
        <v>200.68463999999992</v>
      </c>
      <c r="EL67" s="14">
        <f t="shared" si="45"/>
        <v>49.894600936700193</v>
      </c>
      <c r="EM67" s="22">
        <f t="shared" si="19"/>
        <v>436.42551129808606</v>
      </c>
      <c r="EN67" s="60">
        <f t="shared" si="20"/>
        <v>729.75884463141938</v>
      </c>
      <c r="EO67" s="60">
        <f ca="1">AVERAGE(OFFSET($EN$3,0,0,'Données projet'!$E$15+1,1))-AVERAGE(OFFSET($H$3,0,0,'Données projet'!$E$15+1,1))</f>
        <v>428.8489304403459</v>
      </c>
      <c r="EP67" s="60">
        <f t="shared" si="46"/>
        <v>247.01165577562966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 t="e">
        <f>N68*VLOOKUP('Données projet'!$B$9,Paramètres!$A$1:$I$89,3,0)*VLOOKUP('Données projet'!$B$9,Paramètres!$A$1:$I$89,5,0)</f>
        <v>#N/A</v>
      </c>
      <c r="P68" s="14" t="e">
        <f t="shared" si="33"/>
        <v>#N/A</v>
      </c>
      <c r="Q68" s="22" t="e">
        <f t="shared" si="54"/>
        <v>#N/A</v>
      </c>
      <c r="R68" s="60" t="e">
        <f t="shared" si="55"/>
        <v>#N/A</v>
      </c>
      <c r="S68" s="60" t="e">
        <f ca="1">AVERAGE(OFFSET($R$3,0,0,'Données projet'!$E$9+1,1))-AVERAGE(OFFSET($H$3,0,0,'Données projet'!$E$9+1,1))</f>
        <v>#N/A</v>
      </c>
      <c r="T68" s="60" t="e">
        <f t="shared" si="34"/>
        <v>#N/A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 t="e">
        <f>EXP(-LN(2)/35)*Z67+(1-EXP(-LN(2)/35))/(LN(2)/35)*V68*W68*VLOOKUP('Données projet'!$B$9,Paramètres!$A$1:$I$89,3,0)*0.475*44/12</f>
        <v>#N/A</v>
      </c>
      <c r="AA68" s="23" t="e">
        <f>EXP(-LN(2)/25)*AA67+(1-EXP(-LN(2)/25))/(LN(2)/25)*Calculateur!V68*Calculateur!X68*VLOOKUP('Données projet'!$B$9,Paramètres!$A$1:$I$89,3,0)*0.475*44/12</f>
        <v>#N/A</v>
      </c>
      <c r="AB68" s="23" t="e">
        <f>EXP(-LN(2)/2)*AB67+(1-EXP(-LN(2)/2))/(LN(2)/2)*V68*Y68*VLOOKUP('Données projet'!$B$9,Paramètres!$A$1:$I$89,3,0)*0.475*44/12</f>
        <v>#N/A</v>
      </c>
      <c r="AC68" s="24" t="e">
        <f t="shared" ref="AC68:AC131" si="57">SUM(Z68:AB68)</f>
        <v>#N/A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0" t="e">
        <f t="shared" ref="AM68:AM131" si="59">AL68+(AD68+AE68)*44/12</f>
        <v>#N/A</v>
      </c>
      <c r="AN68" s="60" t="e">
        <f ca="1">AVERAGE(OFFSET($AM$3,0,0,'Données projet'!$E$10+1,1))-AVERAGE(OFFSET($H$3,0,0,'Données projet'!$E$10+1,1))</f>
        <v>#N/A</v>
      </c>
      <c r="AO68" s="60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200.64102564102564</v>
      </c>
      <c r="BB68" s="13">
        <f>VLOOKUP(A68,'Données projet'!$A$87:$I$107,9,0)</f>
        <v>4.4871794871794863</v>
      </c>
      <c r="BC68" s="13">
        <f t="array" ref="BC68">INDEX(BB:BB,MIN(IF(ISNUMBER(BB68:BB264),ROW(BB68:BB264),"")))</f>
        <v>4.4871794871794863</v>
      </c>
      <c r="BD68" s="13">
        <f>IF('Données projet'!$A$88&gt;35,BD67+BC68-BL67,IF(A68&lt;'Données projet'!$A$88,$BA$205^A68,IF(A68='Données projet'!$A$88,'Données projet'!$B$88,BD67+BC68-BL67)))</f>
        <v>200.64102564102558</v>
      </c>
      <c r="BE68" s="14">
        <f>BD68*VLOOKUP('Données projet'!$B$11,Paramètres!$A$1:$I$89,3,0)*VLOOKUP('Données projet'!$B$11,Paramètres!$A$1:$I$89,5,0)</f>
        <v>190.92999999999995</v>
      </c>
      <c r="BF68" s="14">
        <f t="shared" si="37"/>
        <v>47.745504180483643</v>
      </c>
      <c r="BG68" s="22">
        <f t="shared" ref="BG68:BG131" si="61">(BE68+BF68)*0.475*44/12</f>
        <v>415.69316978100892</v>
      </c>
      <c r="BH68" s="60">
        <f t="shared" ref="BH68:BH131" si="62">BG68+(AY68+AZ68)*44/12</f>
        <v>709.02650311434218</v>
      </c>
      <c r="BI68" s="60">
        <f ca="1">AVERAGE(OFFSET($BH$3,0,0,'Données projet'!$E$11+1,1))-AVERAGE(OFFSET($H$3,0,0,'Données projet'!$E$11+1,1))</f>
        <v>357.083670644861</v>
      </c>
      <c r="BJ68" s="60">
        <f t="shared" si="38"/>
        <v>299.88885091109654</v>
      </c>
      <c r="BK68" s="16">
        <f>IF(ISNA(VLOOKUP(A68,'Données projet'!$A$87:$I$107,3,0)),0,VLOOKUP(A68,'Données projet'!$A$87:$I$107,3,0))</f>
        <v>4</v>
      </c>
      <c r="BL68" s="16">
        <f>IF(ISNA(VLOOKUP(A68,'Données projet'!$A$87:$I$107,4,0)),0,VLOOKUP(A68,'Données projet'!$A$87:$I$107,4,0))</f>
        <v>28.205128205128204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9.8717948717948705</v>
      </c>
      <c r="BY68" s="13">
        <f>IF('Données projet'!$A$114&gt;35,BY67+BX68-CG67,IF(A68&lt;'Données projet'!$A$114,$BV$205^A68,IF(A68='Données projet'!$A$114,'Données projet'!$B$114,BY67+BX68-CG67)))</f>
        <v>262.05128205128199</v>
      </c>
      <c r="BZ68" s="14">
        <f>BY68*VLOOKUP('Données projet'!$B$12,Paramètres!$A$1:$I$89,3,0)*VLOOKUP('Données projet'!$B$12,Paramètres!$A$1:$I$89,5,0)</f>
        <v>122.63999999999997</v>
      </c>
      <c r="CA68" s="14">
        <f t="shared" si="39"/>
        <v>32.289953931572668</v>
      </c>
      <c r="CB68" s="22">
        <f t="shared" ref="CB68:CB131" si="64">(BZ68+CA68)*0.475*44/12</f>
        <v>269.83633643082231</v>
      </c>
      <c r="CC68" s="60">
        <f t="shared" ref="CC68:CC131" si="65">CB68+(BT68+BU68)*44/12</f>
        <v>563.16966976415563</v>
      </c>
      <c r="CD68" s="60">
        <f ca="1">AVERAGE(OFFSET($CC$3,0,0,'Données projet'!$E$12+1,1))-AVERAGE(OFFSET($H$3,0,0,'Données projet'!$E$12+1,1))</f>
        <v>245.98992992759543</v>
      </c>
      <c r="CE68" s="60">
        <f t="shared" si="40"/>
        <v>145.34368562171613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221.48879999999991</v>
      </c>
      <c r="CV68" s="14">
        <f t="shared" si="41"/>
        <v>54.43834191952984</v>
      </c>
      <c r="CW68" s="22">
        <f t="shared" ref="CW68:CW131" si="67">(CU68+CV68)*0.475*44/12</f>
        <v>480.57310550984766</v>
      </c>
      <c r="CX68" s="60">
        <f t="shared" ref="CX68:CX131" si="68">CW68+(CO68+CP68)*44/12</f>
        <v>773.90643884318092</v>
      </c>
      <c r="CY68" s="60">
        <f ca="1">AVERAGE(OFFSET($CX$3,0,0,'Données projet'!$E$13+1,1))-AVERAGE(OFFSET($H$3,0,0,'Données projet'!$E$13+1,1))</f>
        <v>455.50822833641354</v>
      </c>
      <c r="CZ68" s="60">
        <f t="shared" si="42"/>
        <v>261.14722581688039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246.49559999999991</v>
      </c>
      <c r="DQ68" s="14">
        <f t="shared" si="43"/>
        <v>59.834910912017278</v>
      </c>
      <c r="DR68" s="22">
        <f t="shared" ref="DR68:DR131" si="70">(DP68+DQ68)*0.475*44/12</f>
        <v>533.52563983842992</v>
      </c>
      <c r="DS68" s="60">
        <f t="shared" ref="DS68:DS131" si="71">DR68+(DJ68+DK68)*44/12</f>
        <v>826.85897317176318</v>
      </c>
      <c r="DT68" s="60">
        <f ca="1">AVERAGE(OFFSET($DS$3,0,0,'Données projet'!$E$14+1,1))-AVERAGE(OFFSET($H$3,0,0,'Données projet'!$E$14+1,1))</f>
        <v>502.07782026233912</v>
      </c>
      <c r="DU68" s="60">
        <f t="shared" si="44"/>
        <v>285.83623046025156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229</v>
      </c>
      <c r="EH68" s="13">
        <f>VLOOKUP(A68,'Données projet'!$A$191:$I$211,9,0)</f>
        <v>7.2</v>
      </c>
      <c r="EI68" s="13">
        <f t="array" ref="EI68">INDEX(EH:EH,MIN(IF(ISNUMBER(EH68:EH264),ROW(EH68:EH264),"")))</f>
        <v>7.2</v>
      </c>
      <c r="EJ68" s="13">
        <f>IF('Données projet'!$A$192&gt;35,EJ67+EI68-ER67,IF(A68&lt;'Données projet'!$A$192,$EG$205^A68,IF(A68='Données projet'!$A$192,'Données projet'!$B$192,EJ67+EI68-ER67)))</f>
        <v>228.99999999999991</v>
      </c>
      <c r="EK68" s="18">
        <f>EJ68*VLOOKUP('Données projet'!$B$15,Paramètres!$A$1:$I$89,3,0)*VLOOKUP('Données projet'!$B$15,Paramètres!$A$1:$I$89,5,0)</f>
        <v>207.19919999999991</v>
      </c>
      <c r="EL68" s="14">
        <f t="shared" si="45"/>
        <v>51.3230629736655</v>
      </c>
      <c r="EM68" s="22">
        <f t="shared" ref="EM68:EM131" si="73">(EK68+EL68)*0.475*44/12</f>
        <v>450.25960801246725</v>
      </c>
      <c r="EN68" s="60">
        <f t="shared" ref="EN68:EN131" si="74">EM68+(EE68+EF68)*44/12</f>
        <v>743.59294134580057</v>
      </c>
      <c r="EO68" s="60">
        <f ca="1">AVERAGE(OFFSET($EN$3,0,0,'Données projet'!$E$15+1,1))-AVERAGE(OFFSET($H$3,0,0,'Données projet'!$E$15+1,1))</f>
        <v>428.8489304403459</v>
      </c>
      <c r="EP68" s="60">
        <f t="shared" si="46"/>
        <v>247.01165577562966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 t="e">
        <f>N69*VLOOKUP('Données projet'!$B$9,Paramètres!$A$1:$I$89,3,0)*VLOOKUP('Données projet'!$B$9,Paramètres!$A$1:$I$89,5,0)</f>
        <v>#N/A</v>
      </c>
      <c r="P69" s="14" t="e">
        <f t="shared" ref="P69:P132" si="87">EXP(-1.0587+0.8836*LN(O69)+0.284)</f>
        <v>#N/A</v>
      </c>
      <c r="Q69" s="22" t="e">
        <f t="shared" si="54"/>
        <v>#N/A</v>
      </c>
      <c r="R69" s="60" t="e">
        <f t="shared" si="55"/>
        <v>#N/A</v>
      </c>
      <c r="S69" s="60" t="e">
        <f ca="1">AVERAGE(OFFSET($R$3,0,0,'Données projet'!$E$9+1,1))-AVERAGE(OFFSET($H$3,0,0,'Données projet'!$E$9+1,1))</f>
        <v>#N/A</v>
      </c>
      <c r="T69" s="60" t="e">
        <f t="shared" ref="T69:T132" si="88">$T$3</f>
        <v>#N/A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 t="e">
        <f>EXP(-LN(2)/35)*Z68+(1-EXP(-LN(2)/35))/(LN(2)/35)*V69*W69*VLOOKUP('Données projet'!$B$9,Paramètres!$A$1:$I$89,3,0)*0.475*44/12</f>
        <v>#N/A</v>
      </c>
      <c r="AA69" s="23" t="e">
        <f>EXP(-LN(2)/25)*AA68+(1-EXP(-LN(2)/25))/(LN(2)/25)*Calculateur!V69*Calculateur!X69*VLOOKUP('Données projet'!$B$9,Paramètres!$A$1:$I$89,3,0)*0.475*44/12</f>
        <v>#N/A</v>
      </c>
      <c r="AB69" s="23" t="e">
        <f>EXP(-LN(2)/2)*AB68+(1-EXP(-LN(2)/2))/(LN(2)/2)*V69*Y69*VLOOKUP('Données projet'!$B$9,Paramètres!$A$1:$I$89,3,0)*0.475*44/12</f>
        <v>#N/A</v>
      </c>
      <c r="AC69" s="24" t="e">
        <f t="shared" si="57"/>
        <v>#N/A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0" t="e">
        <f t="shared" si="59"/>
        <v>#N/A</v>
      </c>
      <c r="AN69" s="60" t="e">
        <f ca="1">AVERAGE(OFFSET($AM$3,0,0,'Données projet'!$E$10+1,1))-AVERAGE(OFFSET($H$3,0,0,'Données projet'!$E$10+1,1))</f>
        <v>#N/A</v>
      </c>
      <c r="AO69" s="60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4.3589743589743595</v>
      </c>
      <c r="BD69" s="13">
        <f>IF('Données projet'!$A$88&gt;35,BD68+BC69-BL68,IF(A69&lt;'Données projet'!$A$88,$BA$205^A69,IF(A69='Données projet'!$A$88,'Données projet'!$B$88,BD68+BC69-BL68)))</f>
        <v>176.79487179487174</v>
      </c>
      <c r="BE69" s="14">
        <f>BD69*VLOOKUP('Données projet'!$B$11,Paramètres!$A$1:$I$89,3,0)*VLOOKUP('Données projet'!$B$11,Paramètres!$A$1:$I$89,5,0)</f>
        <v>168.23799999999997</v>
      </c>
      <c r="BF69" s="14">
        <f t="shared" ref="BF69:BF132" si="91">EXP(-1.0587+0.8836*LN(BE69)+0.284)</f>
        <v>42.695155225480995</v>
      </c>
      <c r="BG69" s="22">
        <f t="shared" si="61"/>
        <v>367.37524535104603</v>
      </c>
      <c r="BH69" s="60">
        <f t="shared" si="62"/>
        <v>660.70857868437929</v>
      </c>
      <c r="BI69" s="60">
        <f ca="1">AVERAGE(OFFSET($BH$3,0,0,'Données projet'!$E$11+1,1))-AVERAGE(OFFSET($H$3,0,0,'Données projet'!$E$11+1,1))</f>
        <v>357.083670644861</v>
      </c>
      <c r="BJ69" s="60">
        <f t="shared" ref="BJ69:BJ132" si="92">$BJ$3</f>
        <v>299.88885091109654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9.8717948717948705</v>
      </c>
      <c r="BY69" s="13">
        <f>IF('Données projet'!$A$114&gt;35,BY68+BX69-CG68,IF(A69&lt;'Données projet'!$A$114,$BV$205^A69,IF(A69='Données projet'!$A$114,'Données projet'!$B$114,BY68+BX69-CG68)))</f>
        <v>271.92307692307685</v>
      </c>
      <c r="BZ69" s="14">
        <f>BY69*VLOOKUP('Données projet'!$B$12,Paramètres!$A$1:$I$89,3,0)*VLOOKUP('Données projet'!$B$12,Paramètres!$A$1:$I$89,5,0)</f>
        <v>127.25999999999998</v>
      </c>
      <c r="CA69" s="14">
        <f t="shared" ref="CA69:CA132" si="93">EXP(-1.0587+0.8836*LN(BZ69)+0.284)</f>
        <v>33.362442969975817</v>
      </c>
      <c r="CB69" s="22">
        <f t="shared" si="64"/>
        <v>279.75075483937445</v>
      </c>
      <c r="CC69" s="60">
        <f t="shared" si="65"/>
        <v>573.08408817270777</v>
      </c>
      <c r="CD69" s="60">
        <f ca="1">AVERAGE(OFFSET($CC$3,0,0,'Données projet'!$E$12+1,1))-AVERAGE(OFFSET($H$3,0,0,'Données projet'!$E$12+1,1))</f>
        <v>245.98992992759543</v>
      </c>
      <c r="CE69" s="60">
        <f t="shared" ref="CE69:CE132" si="94">$CE$3</f>
        <v>145.34368562171613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228.06575999999993</v>
      </c>
      <c r="CV69" s="14">
        <f t="shared" ref="CV69:CV132" si="95">EXP(-1.0587+0.8836*LN(CU69)+0.284)</f>
        <v>55.864248276798108</v>
      </c>
      <c r="CW69" s="22">
        <f t="shared" si="67"/>
        <v>494.51143108208981</v>
      </c>
      <c r="CX69" s="60">
        <f t="shared" si="68"/>
        <v>787.84476441542313</v>
      </c>
      <c r="CY69" s="60">
        <f ca="1">AVERAGE(OFFSET($CX$3,0,0,'Données projet'!$E$13+1,1))-AVERAGE(OFFSET($H$3,0,0,'Données projet'!$E$13+1,1))</f>
        <v>455.50822833641354</v>
      </c>
      <c r="CZ69" s="60">
        <f t="shared" ref="CZ69:CZ132" si="96">$CZ$3</f>
        <v>261.14722581688039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235.79999999999993</v>
      </c>
      <c r="DP69" s="18">
        <f>DO69*VLOOKUP('Données projet'!$B$14,Paramètres!$A$1:$I$89,3,0)*VLOOKUP('Données projet'!$B$14,Paramètres!$A$1:$I$89,5,0)</f>
        <v>253.81511999999992</v>
      </c>
      <c r="DQ69" s="14">
        <f t="shared" ref="DQ69:DQ132" si="97">EXP(-1.0587+0.8836*LN(DP69)+0.284)</f>
        <v>61.402169885153235</v>
      </c>
      <c r="DR69" s="22">
        <f t="shared" si="70"/>
        <v>549.00344654997514</v>
      </c>
      <c r="DS69" s="60">
        <f t="shared" si="71"/>
        <v>842.33677988330851</v>
      </c>
      <c r="DT69" s="60">
        <f ca="1">AVERAGE(OFFSET($DS$3,0,0,'Données projet'!$E$14+1,1))-AVERAGE(OFFSET($H$3,0,0,'Données projet'!$E$14+1,1))</f>
        <v>502.07782026233912</v>
      </c>
      <c r="DU69" s="60">
        <f t="shared" ref="DU69:DU132" si="98">$DU$3</f>
        <v>285.83623046025156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6.8</v>
      </c>
      <c r="EJ69" s="13">
        <f>IF('Données projet'!$A$192&gt;35,EJ68+EI69-ER68,IF(A69&lt;'Données projet'!$A$192,$EG$205^A69,IF(A69='Données projet'!$A$192,'Données projet'!$B$192,EJ68+EI69-ER68)))</f>
        <v>235.79999999999993</v>
      </c>
      <c r="EK69" s="18">
        <f>EJ69*VLOOKUP('Données projet'!$B$15,Paramètres!$A$1:$I$89,3,0)*VLOOKUP('Données projet'!$B$15,Paramètres!$A$1:$I$89,5,0)</f>
        <v>213.35183999999992</v>
      </c>
      <c r="EL69" s="14">
        <f t="shared" ref="EL69:EL132" si="99">EXP(-1.0587+0.8836*LN(EK69)+0.284)</f>
        <v>52.667370665417188</v>
      </c>
      <c r="EM69" s="22">
        <f t="shared" si="73"/>
        <v>463.31679190893482</v>
      </c>
      <c r="EN69" s="60">
        <f t="shared" si="74"/>
        <v>756.65012524226813</v>
      </c>
      <c r="EO69" s="60">
        <f ca="1">AVERAGE(OFFSET($EN$3,0,0,'Données projet'!$E$15+1,1))-AVERAGE(OFFSET($H$3,0,0,'Données projet'!$E$15+1,1))</f>
        <v>428.8489304403459</v>
      </c>
      <c r="EP69" s="60">
        <f t="shared" ref="EP69:EP132" si="100">$EP$3</f>
        <v>247.01165577562966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 t="e">
        <f>N70*VLOOKUP('Données projet'!$B$9,Paramètres!$A$1:$I$89,3,0)*VLOOKUP('Données projet'!$B$9,Paramètres!$A$1:$I$89,5,0)</f>
        <v>#N/A</v>
      </c>
      <c r="P70" s="14" t="e">
        <f t="shared" si="87"/>
        <v>#N/A</v>
      </c>
      <c r="Q70" s="22" t="e">
        <f t="shared" si="54"/>
        <v>#N/A</v>
      </c>
      <c r="R70" s="60" t="e">
        <f t="shared" si="55"/>
        <v>#N/A</v>
      </c>
      <c r="S70" s="60" t="e">
        <f ca="1">AVERAGE(OFFSET($R$3,0,0,'Données projet'!$E$9+1,1))-AVERAGE(OFFSET($H$3,0,0,'Données projet'!$E$9+1,1))</f>
        <v>#N/A</v>
      </c>
      <c r="T70" s="60" t="e">
        <f t="shared" si="88"/>
        <v>#N/A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 t="e">
        <f>EXP(-LN(2)/35)*Z69+(1-EXP(-LN(2)/35))/(LN(2)/35)*V70*W70*VLOOKUP('Données projet'!$B$9,Paramètres!$A$1:$I$89,3,0)*0.475*44/12</f>
        <v>#N/A</v>
      </c>
      <c r="AA70" s="23" t="e">
        <f>EXP(-LN(2)/25)*AA69+(1-EXP(-LN(2)/25))/(LN(2)/25)*Calculateur!V70*Calculateur!X70*VLOOKUP('Données projet'!$B$9,Paramètres!$A$1:$I$89,3,0)*0.475*44/12</f>
        <v>#N/A</v>
      </c>
      <c r="AB70" s="23" t="e">
        <f>EXP(-LN(2)/2)*AB69+(1-EXP(-LN(2)/2))/(LN(2)/2)*V70*Y70*VLOOKUP('Données projet'!$B$9,Paramètres!$A$1:$I$89,3,0)*0.475*44/12</f>
        <v>#N/A</v>
      </c>
      <c r="AC70" s="24" t="e">
        <f t="shared" si="57"/>
        <v>#N/A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0" t="e">
        <f t="shared" si="59"/>
        <v>#N/A</v>
      </c>
      <c r="AN70" s="60" t="e">
        <f ca="1">AVERAGE(OFFSET($AM$3,0,0,'Données projet'!$E$10+1,1))-AVERAGE(OFFSET($H$3,0,0,'Données projet'!$E$10+1,1))</f>
        <v>#N/A</v>
      </c>
      <c r="AO70" s="60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4.3589743589743595</v>
      </c>
      <c r="BD70" s="13">
        <f>IF('Données projet'!$A$88&gt;35,BD69+BC70-BL69,IF(A70&lt;'Données projet'!$A$88,$BA$205^A70,IF(A70='Données projet'!$A$88,'Données projet'!$B$88,BD69+BC70-BL69)))</f>
        <v>181.1538461538461</v>
      </c>
      <c r="BE70" s="14">
        <f>BD70*VLOOKUP('Données projet'!$B$11,Paramètres!$A$1:$I$89,3,0)*VLOOKUP('Données projet'!$B$11,Paramètres!$A$1:$I$89,5,0)</f>
        <v>172.38599999999997</v>
      </c>
      <c r="BF70" s="14">
        <f t="shared" si="91"/>
        <v>43.623973962324399</v>
      </c>
      <c r="BG70" s="22">
        <f t="shared" si="61"/>
        <v>376.21737131771488</v>
      </c>
      <c r="BH70" s="60">
        <f t="shared" si="62"/>
        <v>669.55070465104814</v>
      </c>
      <c r="BI70" s="60">
        <f ca="1">AVERAGE(OFFSET($BH$3,0,0,'Données projet'!$E$11+1,1))-AVERAGE(OFFSET($H$3,0,0,'Données projet'!$E$11+1,1))</f>
        <v>357.083670644861</v>
      </c>
      <c r="BJ70" s="60">
        <f t="shared" si="92"/>
        <v>299.88885091109654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9.8717948717948705</v>
      </c>
      <c r="BY70" s="13">
        <f>IF('Données projet'!$A$114&gt;35,BY69+BX70-CG69,IF(A70&lt;'Données projet'!$A$114,$BV$205^A70,IF(A70='Données projet'!$A$114,'Données projet'!$B$114,BY69+BX70-CG69)))</f>
        <v>281.79487179487171</v>
      </c>
      <c r="BZ70" s="14">
        <f>BY70*VLOOKUP('Données projet'!$B$12,Paramètres!$A$1:$I$89,3,0)*VLOOKUP('Données projet'!$B$12,Paramètres!$A$1:$I$89,5,0)</f>
        <v>131.87999999999994</v>
      </c>
      <c r="CA70" s="14">
        <f t="shared" si="93"/>
        <v>34.430408458396784</v>
      </c>
      <c r="CB70" s="22">
        <f t="shared" si="64"/>
        <v>289.65729473170762</v>
      </c>
      <c r="CC70" s="60">
        <f t="shared" si="65"/>
        <v>582.99062806504094</v>
      </c>
      <c r="CD70" s="60">
        <f ca="1">AVERAGE(OFFSET($CC$3,0,0,'Données projet'!$E$12+1,1))-AVERAGE(OFFSET($H$3,0,0,'Données projet'!$E$12+1,1))</f>
        <v>245.98992992759543</v>
      </c>
      <c r="CE70" s="60">
        <f t="shared" si="94"/>
        <v>145.34368562171613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234.64271999999994</v>
      </c>
      <c r="CV70" s="14">
        <f t="shared" si="95"/>
        <v>57.285375557336316</v>
      </c>
      <c r="CW70" s="22">
        <f t="shared" si="67"/>
        <v>508.44143309569387</v>
      </c>
      <c r="CX70" s="60">
        <f t="shared" si="68"/>
        <v>801.77476642902718</v>
      </c>
      <c r="CY70" s="60">
        <f ca="1">AVERAGE(OFFSET($CX$3,0,0,'Données projet'!$E$13+1,1))-AVERAGE(OFFSET($H$3,0,0,'Données projet'!$E$13+1,1))</f>
        <v>455.50822833641354</v>
      </c>
      <c r="CZ70" s="60">
        <f t="shared" si="96"/>
        <v>261.14722581688039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242.59999999999994</v>
      </c>
      <c r="DP70" s="18">
        <f>DO70*VLOOKUP('Données projet'!$B$14,Paramètres!$A$1:$I$89,3,0)*VLOOKUP('Données projet'!$B$14,Paramètres!$A$1:$I$89,5,0)</f>
        <v>261.13463999999993</v>
      </c>
      <c r="DQ70" s="14">
        <f t="shared" si="97"/>
        <v>62.964176023241265</v>
      </c>
      <c r="DR70" s="22">
        <f t="shared" si="70"/>
        <v>564.47210457381163</v>
      </c>
      <c r="DS70" s="60">
        <f t="shared" si="71"/>
        <v>857.80543790714501</v>
      </c>
      <c r="DT70" s="60">
        <f ca="1">AVERAGE(OFFSET($DS$3,0,0,'Données projet'!$E$14+1,1))-AVERAGE(OFFSET($H$3,0,0,'Données projet'!$E$14+1,1))</f>
        <v>502.07782026233912</v>
      </c>
      <c r="DU70" s="60">
        <f t="shared" si="98"/>
        <v>285.83623046025156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6.8</v>
      </c>
      <c r="EJ70" s="13">
        <f>IF('Données projet'!$A$192&gt;35,EJ69+EI70-ER69,IF(A70&lt;'Données projet'!$A$192,$EG$205^A70,IF(A70='Données projet'!$A$192,'Données projet'!$B$192,EJ69+EI70-ER69)))</f>
        <v>242.59999999999994</v>
      </c>
      <c r="EK70" s="18">
        <f>EJ70*VLOOKUP('Données projet'!$B$15,Paramètres!$A$1:$I$89,3,0)*VLOOKUP('Données projet'!$B$15,Paramètres!$A$1:$I$89,5,0)</f>
        <v>219.50447999999992</v>
      </c>
      <c r="EL70" s="14">
        <f t="shared" si="99"/>
        <v>54.007172767040167</v>
      </c>
      <c r="EM70" s="22">
        <f t="shared" si="73"/>
        <v>476.36612856926143</v>
      </c>
      <c r="EN70" s="60">
        <f t="shared" si="74"/>
        <v>769.69946190259475</v>
      </c>
      <c r="EO70" s="60">
        <f ca="1">AVERAGE(OFFSET($EN$3,0,0,'Données projet'!$E$15+1,1))-AVERAGE(OFFSET($H$3,0,0,'Données projet'!$E$15+1,1))</f>
        <v>428.8489304403459</v>
      </c>
      <c r="EP70" s="60">
        <f t="shared" si="100"/>
        <v>247.01165577562966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 t="e">
        <f>N71*VLOOKUP('Données projet'!$B$9,Paramètres!$A$1:$I$89,3,0)*VLOOKUP('Données projet'!$B$9,Paramètres!$A$1:$I$89,5,0)</f>
        <v>#N/A</v>
      </c>
      <c r="P71" s="14" t="e">
        <f t="shared" si="87"/>
        <v>#N/A</v>
      </c>
      <c r="Q71" s="22" t="e">
        <f t="shared" si="54"/>
        <v>#N/A</v>
      </c>
      <c r="R71" s="60" t="e">
        <f t="shared" si="55"/>
        <v>#N/A</v>
      </c>
      <c r="S71" s="60" t="e">
        <f ca="1">AVERAGE(OFFSET($R$3,0,0,'Données projet'!$E$9+1,1))-AVERAGE(OFFSET($H$3,0,0,'Données projet'!$E$9+1,1))</f>
        <v>#N/A</v>
      </c>
      <c r="T71" s="60" t="e">
        <f t="shared" si="88"/>
        <v>#N/A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 t="e">
        <f>EXP(-LN(2)/35)*Z70+(1-EXP(-LN(2)/35))/(LN(2)/35)*V71*W71*VLOOKUP('Données projet'!$B$9,Paramètres!$A$1:$I$89,3,0)*0.475*44/12</f>
        <v>#N/A</v>
      </c>
      <c r="AA71" s="23" t="e">
        <f>EXP(-LN(2)/25)*AA70+(1-EXP(-LN(2)/25))/(LN(2)/25)*Calculateur!V71*Calculateur!X71*VLOOKUP('Données projet'!$B$9,Paramètres!$A$1:$I$89,3,0)*0.475*44/12</f>
        <v>#N/A</v>
      </c>
      <c r="AB71" s="23" t="e">
        <f>EXP(-LN(2)/2)*AB70+(1-EXP(-LN(2)/2))/(LN(2)/2)*V71*Y71*VLOOKUP('Données projet'!$B$9,Paramètres!$A$1:$I$89,3,0)*0.475*44/12</f>
        <v>#N/A</v>
      </c>
      <c r="AC71" s="24" t="e">
        <f t="shared" si="57"/>
        <v>#N/A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0" t="e">
        <f t="shared" si="59"/>
        <v>#N/A</v>
      </c>
      <c r="AN71" s="60" t="e">
        <f ca="1">AVERAGE(OFFSET($AM$3,0,0,'Données projet'!$E$10+1,1))-AVERAGE(OFFSET($H$3,0,0,'Données projet'!$E$10+1,1))</f>
        <v>#N/A</v>
      </c>
      <c r="AO71" s="60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4.3589743589743595</v>
      </c>
      <c r="BD71" s="13">
        <f>IF('Données projet'!$A$88&gt;35,BD70+BC71-BL70,IF(A71&lt;'Données projet'!$A$88,$BA$205^A71,IF(A71='Données projet'!$A$88,'Données projet'!$B$88,BD70+BC71-BL70)))</f>
        <v>185.51282051282047</v>
      </c>
      <c r="BE71" s="14">
        <f>BD71*VLOOKUP('Données projet'!$B$11,Paramètres!$A$1:$I$89,3,0)*VLOOKUP('Données projet'!$B$11,Paramètres!$A$1:$I$89,5,0)</f>
        <v>176.53399999999996</v>
      </c>
      <c r="BF71" s="14">
        <f t="shared" si="91"/>
        <v>44.550194592706617</v>
      </c>
      <c r="BG71" s="22">
        <f t="shared" si="61"/>
        <v>385.05497224896391</v>
      </c>
      <c r="BH71" s="60">
        <f t="shared" si="62"/>
        <v>678.38830558229722</v>
      </c>
      <c r="BI71" s="60">
        <f ca="1">AVERAGE(OFFSET($BH$3,0,0,'Données projet'!$E$11+1,1))-AVERAGE(OFFSET($H$3,0,0,'Données projet'!$E$11+1,1))</f>
        <v>357.083670644861</v>
      </c>
      <c r="BJ71" s="60">
        <f t="shared" si="92"/>
        <v>299.88885091109654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9.8717948717948705</v>
      </c>
      <c r="BY71" s="13">
        <f>IF('Données projet'!$A$114&gt;35,BY70+BX71-CG70,IF(A71&lt;'Données projet'!$A$114,$BV$205^A71,IF(A71='Données projet'!$A$114,'Données projet'!$B$114,BY70+BX71-CG70)))</f>
        <v>291.66666666666657</v>
      </c>
      <c r="BZ71" s="14">
        <f>BY71*VLOOKUP('Données projet'!$B$12,Paramètres!$A$1:$I$89,3,0)*VLOOKUP('Données projet'!$B$12,Paramètres!$A$1:$I$89,5,0)</f>
        <v>136.49999999999994</v>
      </c>
      <c r="CA71" s="14">
        <f t="shared" si="93"/>
        <v>35.494027024087352</v>
      </c>
      <c r="CB71" s="22">
        <f t="shared" si="64"/>
        <v>299.55626373361866</v>
      </c>
      <c r="CC71" s="60">
        <f t="shared" si="65"/>
        <v>592.88959706695198</v>
      </c>
      <c r="CD71" s="60">
        <f ca="1">AVERAGE(OFFSET($CC$3,0,0,'Données projet'!$E$12+1,1))-AVERAGE(OFFSET($H$3,0,0,'Données projet'!$E$12+1,1))</f>
        <v>245.98992992759543</v>
      </c>
      <c r="CE71" s="60">
        <f t="shared" si="94"/>
        <v>145.34368562171613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241.21967999999995</v>
      </c>
      <c r="CV71" s="14">
        <f t="shared" si="95"/>
        <v>58.701873105526744</v>
      </c>
      <c r="CW71" s="22">
        <f t="shared" si="67"/>
        <v>522.36337165879229</v>
      </c>
      <c r="CX71" s="60">
        <f t="shared" si="68"/>
        <v>815.69670499212566</v>
      </c>
      <c r="CY71" s="60">
        <f ca="1">AVERAGE(OFFSET($CX$3,0,0,'Données projet'!$E$13+1,1))-AVERAGE(OFFSET($H$3,0,0,'Données projet'!$E$13+1,1))</f>
        <v>455.50822833641354</v>
      </c>
      <c r="CZ71" s="60">
        <f t="shared" si="96"/>
        <v>261.14722581688039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249.39999999999995</v>
      </c>
      <c r="DP71" s="18">
        <f>DO71*VLOOKUP('Données projet'!$B$14,Paramètres!$A$1:$I$89,3,0)*VLOOKUP('Données projet'!$B$14,Paramètres!$A$1:$I$89,5,0)</f>
        <v>268.45415999999994</v>
      </c>
      <c r="DQ71" s="14">
        <f t="shared" si="97"/>
        <v>64.521093475436089</v>
      </c>
      <c r="DR71" s="22">
        <f t="shared" si="70"/>
        <v>579.93189980305101</v>
      </c>
      <c r="DS71" s="60">
        <f t="shared" si="71"/>
        <v>873.26523313638427</v>
      </c>
      <c r="DT71" s="60">
        <f ca="1">AVERAGE(OFFSET($DS$3,0,0,'Données projet'!$E$14+1,1))-AVERAGE(OFFSET($H$3,0,0,'Données projet'!$E$14+1,1))</f>
        <v>502.07782026233912</v>
      </c>
      <c r="DU71" s="60">
        <f t="shared" si="98"/>
        <v>285.83623046025156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6.8</v>
      </c>
      <c r="EJ71" s="13">
        <f>IF('Données projet'!$A$192&gt;35,EJ70+EI71-ER70,IF(A71&lt;'Données projet'!$A$192,$EG$205^A71,IF(A71='Données projet'!$A$192,'Données projet'!$B$192,EJ70+EI71-ER70)))</f>
        <v>249.39999999999995</v>
      </c>
      <c r="EK71" s="18">
        <f>EJ71*VLOOKUP('Données projet'!$B$15,Paramètres!$A$1:$I$89,3,0)*VLOOKUP('Données projet'!$B$15,Paramètres!$A$1:$I$89,5,0)</f>
        <v>225.65711999999994</v>
      </c>
      <c r="EL71" s="14">
        <f t="shared" si="99"/>
        <v>55.342610076561513</v>
      </c>
      <c r="EM71" s="22">
        <f t="shared" si="73"/>
        <v>489.40786321667775</v>
      </c>
      <c r="EN71" s="60">
        <f t="shared" si="74"/>
        <v>782.74119655001107</v>
      </c>
      <c r="EO71" s="60">
        <f ca="1">AVERAGE(OFFSET($EN$3,0,0,'Données projet'!$E$15+1,1))-AVERAGE(OFFSET($H$3,0,0,'Données projet'!$E$15+1,1))</f>
        <v>428.8489304403459</v>
      </c>
      <c r="EP71" s="60">
        <f t="shared" si="100"/>
        <v>247.01165577562966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 t="e">
        <f>N72*VLOOKUP('Données projet'!$B$9,Paramètres!$A$1:$I$89,3,0)*VLOOKUP('Données projet'!$B$9,Paramètres!$A$1:$I$89,5,0)</f>
        <v>#N/A</v>
      </c>
      <c r="P72" s="14" t="e">
        <f t="shared" si="87"/>
        <v>#N/A</v>
      </c>
      <c r="Q72" s="22" t="e">
        <f t="shared" si="54"/>
        <v>#N/A</v>
      </c>
      <c r="R72" s="60" t="e">
        <f t="shared" si="55"/>
        <v>#N/A</v>
      </c>
      <c r="S72" s="60" t="e">
        <f ca="1">AVERAGE(OFFSET($R$3,0,0,'Données projet'!$E$9+1,1))-AVERAGE(OFFSET($H$3,0,0,'Données projet'!$E$9+1,1))</f>
        <v>#N/A</v>
      </c>
      <c r="T72" s="60" t="e">
        <f t="shared" si="88"/>
        <v>#N/A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 t="e">
        <f>EXP(-LN(2)/35)*Z71+(1-EXP(-LN(2)/35))/(LN(2)/35)*V72*W72*VLOOKUP('Données projet'!$B$9,Paramètres!$A$1:$I$89,3,0)*0.475*44/12</f>
        <v>#N/A</v>
      </c>
      <c r="AA72" s="23" t="e">
        <f>EXP(-LN(2)/25)*AA71+(1-EXP(-LN(2)/25))/(LN(2)/25)*Calculateur!V72*Calculateur!X72*VLOOKUP('Données projet'!$B$9,Paramètres!$A$1:$I$89,3,0)*0.475*44/12</f>
        <v>#N/A</v>
      </c>
      <c r="AB72" s="23" t="e">
        <f>EXP(-LN(2)/2)*AB71+(1-EXP(-LN(2)/2))/(LN(2)/2)*V72*Y72*VLOOKUP('Données projet'!$B$9,Paramètres!$A$1:$I$89,3,0)*0.475*44/12</f>
        <v>#N/A</v>
      </c>
      <c r="AC72" s="24" t="e">
        <f t="shared" si="57"/>
        <v>#N/A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0" t="e">
        <f t="shared" si="59"/>
        <v>#N/A</v>
      </c>
      <c r="AN72" s="60" t="e">
        <f ca="1">AVERAGE(OFFSET($AM$3,0,0,'Données projet'!$E$10+1,1))-AVERAGE(OFFSET($H$3,0,0,'Données projet'!$E$10+1,1))</f>
        <v>#N/A</v>
      </c>
      <c r="AO72" s="60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4.3589743589743595</v>
      </c>
      <c r="BD72" s="13">
        <f>IF('Données projet'!$A$88&gt;35,BD71+BC72-BL71,IF(A72&lt;'Données projet'!$A$88,$BA$205^A72,IF(A72='Données projet'!$A$88,'Données projet'!$B$88,BD71+BC72-BL71)))</f>
        <v>189.87179487179483</v>
      </c>
      <c r="BE72" s="14">
        <f>BD72*VLOOKUP('Données projet'!$B$11,Paramètres!$A$1:$I$89,3,0)*VLOOKUP('Données projet'!$B$11,Paramètres!$A$1:$I$89,5,0)</f>
        <v>180.68199999999996</v>
      </c>
      <c r="BF72" s="14">
        <f t="shared" si="91"/>
        <v>45.473885189516494</v>
      </c>
      <c r="BG72" s="22">
        <f t="shared" si="61"/>
        <v>393.88816670507452</v>
      </c>
      <c r="BH72" s="60">
        <f t="shared" si="62"/>
        <v>687.22150003840784</v>
      </c>
      <c r="BI72" s="60">
        <f ca="1">AVERAGE(OFFSET($BH$3,0,0,'Données projet'!$E$11+1,1))-AVERAGE(OFFSET($H$3,0,0,'Données projet'!$E$11+1,1))</f>
        <v>357.083670644861</v>
      </c>
      <c r="BJ72" s="60">
        <f t="shared" si="92"/>
        <v>299.88885091109654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9.8717948717948705</v>
      </c>
      <c r="BY72" s="13">
        <f>IF('Données projet'!$A$114&gt;35,BY71+BX72-CG71,IF(A72&lt;'Données projet'!$A$114,$BV$205^A72,IF(A72='Données projet'!$A$114,'Données projet'!$B$114,BY71+BX72-CG71)))</f>
        <v>301.53846153846143</v>
      </c>
      <c r="BZ72" s="14">
        <f>BY72*VLOOKUP('Données projet'!$B$12,Paramètres!$A$1:$I$89,3,0)*VLOOKUP('Données projet'!$B$12,Paramètres!$A$1:$I$89,5,0)</f>
        <v>141.11999999999995</v>
      </c>
      <c r="CA72" s="14">
        <f t="shared" si="93"/>
        <v>36.553462659686843</v>
      </c>
      <c r="CB72" s="22">
        <f t="shared" si="64"/>
        <v>309.4479474656211</v>
      </c>
      <c r="CC72" s="60">
        <f t="shared" si="65"/>
        <v>602.78128079895441</v>
      </c>
      <c r="CD72" s="60">
        <f ca="1">AVERAGE(OFFSET($CC$3,0,0,'Données projet'!$E$12+1,1))-AVERAGE(OFFSET($H$3,0,0,'Données projet'!$E$12+1,1))</f>
        <v>245.98992992759543</v>
      </c>
      <c r="CE72" s="60">
        <f t="shared" si="94"/>
        <v>145.34368562171613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247.79663999999997</v>
      </c>
      <c r="CV72" s="14">
        <f t="shared" si="95"/>
        <v>60.113881658336368</v>
      </c>
      <c r="CW72" s="22">
        <f t="shared" si="67"/>
        <v>536.27749188826908</v>
      </c>
      <c r="CX72" s="60">
        <f t="shared" si="68"/>
        <v>829.61082522160245</v>
      </c>
      <c r="CY72" s="60">
        <f ca="1">AVERAGE(OFFSET($CX$3,0,0,'Données projet'!$E$13+1,1))-AVERAGE(OFFSET($H$3,0,0,'Données projet'!$E$13+1,1))</f>
        <v>455.50822833641354</v>
      </c>
      <c r="CZ72" s="60">
        <f t="shared" si="96"/>
        <v>261.14722581688039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256.19999999999993</v>
      </c>
      <c r="DP72" s="18">
        <f>DO72*VLOOKUP('Données projet'!$B$14,Paramètres!$A$1:$I$89,3,0)*VLOOKUP('Données projet'!$B$14,Paramètres!$A$1:$I$89,5,0)</f>
        <v>275.7736799999999</v>
      </c>
      <c r="DQ72" s="14">
        <f t="shared" si="97"/>
        <v>66.073076930208813</v>
      </c>
      <c r="DR72" s="22">
        <f t="shared" si="70"/>
        <v>595.38310165344672</v>
      </c>
      <c r="DS72" s="60">
        <f t="shared" si="71"/>
        <v>888.71643498678009</v>
      </c>
      <c r="DT72" s="60">
        <f ca="1">AVERAGE(OFFSET($DS$3,0,0,'Données projet'!$E$14+1,1))-AVERAGE(OFFSET($H$3,0,0,'Données projet'!$E$14+1,1))</f>
        <v>502.07782026233912</v>
      </c>
      <c r="DU72" s="60">
        <f t="shared" si="98"/>
        <v>285.83623046025156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6.8</v>
      </c>
      <c r="EJ72" s="13">
        <f>IF('Données projet'!$A$192&gt;35,EJ71+EI72-ER71,IF(A72&lt;'Données projet'!$A$192,$EG$205^A72,IF(A72='Données projet'!$A$192,'Données projet'!$B$192,EJ71+EI72-ER71)))</f>
        <v>256.19999999999993</v>
      </c>
      <c r="EK72" s="18">
        <f>EJ72*VLOOKUP('Données projet'!$B$15,Paramètres!$A$1:$I$89,3,0)*VLOOKUP('Données projet'!$B$15,Paramètres!$A$1:$I$89,5,0)</f>
        <v>231.80975999999993</v>
      </c>
      <c r="EL72" s="14">
        <f t="shared" si="99"/>
        <v>56.673815277159328</v>
      </c>
      <c r="EM72" s="22">
        <f t="shared" si="73"/>
        <v>502.44222694105241</v>
      </c>
      <c r="EN72" s="60">
        <f t="shared" si="74"/>
        <v>795.77556027438573</v>
      </c>
      <c r="EO72" s="60">
        <f ca="1">AVERAGE(OFFSET($EN$3,0,0,'Données projet'!$E$15+1,1))-AVERAGE(OFFSET($H$3,0,0,'Données projet'!$E$15+1,1))</f>
        <v>428.8489304403459</v>
      </c>
      <c r="EP72" s="60">
        <f t="shared" si="100"/>
        <v>247.01165577562966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 t="e">
        <f>N73*VLOOKUP('Données projet'!$B$9,Paramètres!$A$1:$I$89,3,0)*VLOOKUP('Données projet'!$B$9,Paramètres!$A$1:$I$89,5,0)</f>
        <v>#N/A</v>
      </c>
      <c r="P73" s="14" t="e">
        <f t="shared" si="87"/>
        <v>#N/A</v>
      </c>
      <c r="Q73" s="22" t="e">
        <f t="shared" si="54"/>
        <v>#N/A</v>
      </c>
      <c r="R73" s="60" t="e">
        <f t="shared" si="55"/>
        <v>#N/A</v>
      </c>
      <c r="S73" s="60" t="e">
        <f ca="1">AVERAGE(OFFSET($R$3,0,0,'Données projet'!$E$9+1,1))-AVERAGE(OFFSET($H$3,0,0,'Données projet'!$E$9+1,1))</f>
        <v>#N/A</v>
      </c>
      <c r="T73" s="60" t="e">
        <f t="shared" si="88"/>
        <v>#N/A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 t="e">
        <f>EXP(-LN(2)/35)*Z72+(1-EXP(-LN(2)/35))/(LN(2)/35)*V73*W73*VLOOKUP('Données projet'!$B$9,Paramètres!$A$1:$I$89,3,0)*0.475*44/12</f>
        <v>#N/A</v>
      </c>
      <c r="AA73" s="23" t="e">
        <f>EXP(-LN(2)/25)*AA72+(1-EXP(-LN(2)/25))/(LN(2)/25)*Calculateur!V73*Calculateur!X73*VLOOKUP('Données projet'!$B$9,Paramètres!$A$1:$I$89,3,0)*0.475*44/12</f>
        <v>#N/A</v>
      </c>
      <c r="AB73" s="23" t="e">
        <f>EXP(-LN(2)/2)*AB72+(1-EXP(-LN(2)/2))/(LN(2)/2)*V73*Y73*VLOOKUP('Données projet'!$B$9,Paramètres!$A$1:$I$89,3,0)*0.475*44/12</f>
        <v>#N/A</v>
      </c>
      <c r="AC73" s="24" t="e">
        <f t="shared" si="57"/>
        <v>#N/A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0" t="e">
        <f t="shared" si="59"/>
        <v>#N/A</v>
      </c>
      <c r="AN73" s="60" t="e">
        <f ca="1">AVERAGE(OFFSET($AM$3,0,0,'Données projet'!$E$10+1,1))-AVERAGE(OFFSET($H$3,0,0,'Données projet'!$E$10+1,1))</f>
        <v>#N/A</v>
      </c>
      <c r="AO73" s="60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194.23076923076923</v>
      </c>
      <c r="BB73" s="13">
        <f>VLOOKUP(A73,'Données projet'!$A$87:$I$107,9,0)</f>
        <v>4.3589743589743595</v>
      </c>
      <c r="BC73" s="13">
        <f t="array" ref="BC73">INDEX(BB:BB,MIN(IF(ISNUMBER(BB73:BB269),ROW(BB73:BB269),"")))</f>
        <v>4.3589743589743595</v>
      </c>
      <c r="BD73" s="13">
        <f>IF('Données projet'!$A$88&gt;35,BD72+BC73-BL72,IF(A73&lt;'Données projet'!$A$88,$BA$205^A73,IF(A73='Données projet'!$A$88,'Données projet'!$B$88,BD72+BC73-BL72)))</f>
        <v>194.2307692307692</v>
      </c>
      <c r="BE73" s="14">
        <f>BD73*VLOOKUP('Données projet'!$B$11,Paramètres!$A$1:$I$89,3,0)*VLOOKUP('Données projet'!$B$11,Paramètres!$A$1:$I$89,5,0)</f>
        <v>184.82999999999998</v>
      </c>
      <c r="BF73" s="14">
        <f t="shared" si="91"/>
        <v>46.395110521715885</v>
      </c>
      <c r="BG73" s="22">
        <f t="shared" si="61"/>
        <v>402.71706749198847</v>
      </c>
      <c r="BH73" s="60">
        <f t="shared" si="62"/>
        <v>696.05040082532173</v>
      </c>
      <c r="BI73" s="60">
        <f ca="1">AVERAGE(OFFSET($BH$3,0,0,'Données projet'!$E$11+1,1))-AVERAGE(OFFSET($H$3,0,0,'Données projet'!$E$11+1,1))</f>
        <v>357.083670644861</v>
      </c>
      <c r="BJ73" s="60">
        <f t="shared" si="92"/>
        <v>299.88885091109654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9.8717948717948705</v>
      </c>
      <c r="BY73" s="13">
        <f>IF('Données projet'!$A$114&gt;35,BY72+BX73-CG72,IF(A73&lt;'Données projet'!$A$114,$BV$205^A73,IF(A73='Données projet'!$A$114,'Données projet'!$B$114,BY72+BX73-CG72)))</f>
        <v>311.4102564102563</v>
      </c>
      <c r="BZ73" s="14">
        <f>BY73*VLOOKUP('Données projet'!$B$12,Paramètres!$A$1:$I$89,3,0)*VLOOKUP('Données projet'!$B$12,Paramètres!$A$1:$I$89,5,0)</f>
        <v>145.73999999999995</v>
      </c>
      <c r="CA73" s="14">
        <f t="shared" si="93"/>
        <v>37.608868010754726</v>
      </c>
      <c r="CB73" s="22">
        <f t="shared" si="64"/>
        <v>319.33261178539772</v>
      </c>
      <c r="CC73" s="60">
        <f t="shared" si="65"/>
        <v>612.66594511873109</v>
      </c>
      <c r="CD73" s="60">
        <f ca="1">AVERAGE(OFFSET($CC$3,0,0,'Données projet'!$E$12+1,1))-AVERAGE(OFFSET($H$3,0,0,'Données projet'!$E$12+1,1))</f>
        <v>245.98992992759543</v>
      </c>
      <c r="CE73" s="60">
        <f t="shared" si="94"/>
        <v>145.34368562171613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254.37359999999998</v>
      </c>
      <c r="CV73" s="14">
        <f t="shared" si="95"/>
        <v>61.521534056516209</v>
      </c>
      <c r="CW73" s="22">
        <f t="shared" si="67"/>
        <v>550.1840251484324</v>
      </c>
      <c r="CX73" s="60">
        <f t="shared" si="68"/>
        <v>843.51735848176577</v>
      </c>
      <c r="CY73" s="60">
        <f ca="1">AVERAGE(OFFSET($CX$3,0,0,'Données projet'!$E$13+1,1))-AVERAGE(OFFSET($H$3,0,0,'Données projet'!$E$13+1,1))</f>
        <v>455.50822833641354</v>
      </c>
      <c r="CZ73" s="60">
        <f t="shared" si="96"/>
        <v>261.14722581688039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263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262.99999999999994</v>
      </c>
      <c r="DP73" s="18">
        <f>DO73*VLOOKUP('Données projet'!$B$14,Paramètres!$A$1:$I$89,3,0)*VLOOKUP('Données projet'!$B$14,Paramètres!$A$1:$I$89,5,0)</f>
        <v>283.09319999999991</v>
      </c>
      <c r="DQ73" s="14">
        <f t="shared" si="97"/>
        <v>67.620272397048666</v>
      </c>
      <c r="DR73" s="22">
        <f t="shared" si="70"/>
        <v>610.82596442485954</v>
      </c>
      <c r="DS73" s="60">
        <f t="shared" si="71"/>
        <v>904.15929775819291</v>
      </c>
      <c r="DT73" s="60">
        <f ca="1">AVERAGE(OFFSET($DS$3,0,0,'Données projet'!$E$14+1,1))-AVERAGE(OFFSET($H$3,0,0,'Données projet'!$E$14+1,1))</f>
        <v>502.07782026233912</v>
      </c>
      <c r="DU73" s="60">
        <f t="shared" si="98"/>
        <v>285.83623046025156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42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263</v>
      </c>
      <c r="EH73" s="13">
        <f>VLOOKUP(A73,'Données projet'!$A$191:$I$211,9,0)</f>
        <v>6.8</v>
      </c>
      <c r="EI73" s="13">
        <f t="array" ref="EI73">INDEX(EH:EH,MIN(IF(ISNUMBER(EH73:EH269),ROW(EH73:EH269),"")))</f>
        <v>6.8</v>
      </c>
      <c r="EJ73" s="13">
        <f>IF('Données projet'!$A$192&gt;35,EJ72+EI73-ER72,IF(A73&lt;'Données projet'!$A$192,$EG$205^A73,IF(A73='Données projet'!$A$192,'Données projet'!$B$192,EJ72+EI73-ER72)))</f>
        <v>262.99999999999994</v>
      </c>
      <c r="EK73" s="18">
        <f>EJ73*VLOOKUP('Données projet'!$B$15,Paramètres!$A$1:$I$89,3,0)*VLOOKUP('Données projet'!$B$15,Paramètres!$A$1:$I$89,5,0)</f>
        <v>237.96239999999995</v>
      </c>
      <c r="EL73" s="14">
        <f t="shared" si="99"/>
        <v>58.00091360766335</v>
      </c>
      <c r="EM73" s="22">
        <f t="shared" si="73"/>
        <v>515.4694378666801</v>
      </c>
      <c r="EN73" s="60">
        <f t="shared" si="74"/>
        <v>808.80277120001347</v>
      </c>
      <c r="EO73" s="60">
        <f ca="1">AVERAGE(OFFSET($EN$3,0,0,'Données projet'!$E$15+1,1))-AVERAGE(OFFSET($H$3,0,0,'Données projet'!$E$15+1,1))</f>
        <v>428.8489304403459</v>
      </c>
      <c r="EP73" s="60">
        <f t="shared" si="100"/>
        <v>247.01165577562966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42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 t="e">
        <f>N74*VLOOKUP('Données projet'!$B$9,Paramètres!$A$1:$I$89,3,0)*VLOOKUP('Données projet'!$B$9,Paramètres!$A$1:$I$89,5,0)</f>
        <v>#N/A</v>
      </c>
      <c r="P74" s="14" t="e">
        <f t="shared" si="87"/>
        <v>#N/A</v>
      </c>
      <c r="Q74" s="22" t="e">
        <f t="shared" si="54"/>
        <v>#N/A</v>
      </c>
      <c r="R74" s="60" t="e">
        <f t="shared" si="55"/>
        <v>#N/A</v>
      </c>
      <c r="S74" s="60" t="e">
        <f ca="1">AVERAGE(OFFSET($R$3,0,0,'Données projet'!$E$9+1,1))-AVERAGE(OFFSET($H$3,0,0,'Données projet'!$E$9+1,1))</f>
        <v>#N/A</v>
      </c>
      <c r="T74" s="60" t="e">
        <f t="shared" si="88"/>
        <v>#N/A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 t="e">
        <f>EXP(-LN(2)/35)*Z73+(1-EXP(-LN(2)/35))/(LN(2)/35)*V74*W74*VLOOKUP('Données projet'!$B$9,Paramètres!$A$1:$I$89,3,0)*0.475*44/12</f>
        <v>#N/A</v>
      </c>
      <c r="AA74" s="23" t="e">
        <f>EXP(-LN(2)/25)*AA73+(1-EXP(-LN(2)/25))/(LN(2)/25)*Calculateur!V74*Calculateur!X74*VLOOKUP('Données projet'!$B$9,Paramètres!$A$1:$I$89,3,0)*0.475*44/12</f>
        <v>#N/A</v>
      </c>
      <c r="AB74" s="23" t="e">
        <f>EXP(-LN(2)/2)*AB73+(1-EXP(-LN(2)/2))/(LN(2)/2)*V74*Y74*VLOOKUP('Données projet'!$B$9,Paramètres!$A$1:$I$89,3,0)*0.475*44/12</f>
        <v>#N/A</v>
      </c>
      <c r="AC74" s="24" t="e">
        <f t="shared" si="57"/>
        <v>#N/A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0" t="e">
        <f t="shared" si="59"/>
        <v>#N/A</v>
      </c>
      <c r="AN74" s="60" t="e">
        <f ca="1">AVERAGE(OFFSET($AM$3,0,0,'Données projet'!$E$10+1,1))-AVERAGE(OFFSET($H$3,0,0,'Données projet'!$E$10+1,1))</f>
        <v>#N/A</v>
      </c>
      <c r="AO74" s="60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3.9743589743589722</v>
      </c>
      <c r="BD74" s="13">
        <f>IF('Données projet'!$A$88&gt;35,BD73+BC74-BL73,IF(A74&lt;'Données projet'!$A$88,$BA$205^A74,IF(A74='Données projet'!$A$88,'Données projet'!$B$88,BD73+BC74-BL73)))</f>
        <v>198.20512820512818</v>
      </c>
      <c r="BE74" s="14">
        <f>BD74*VLOOKUP('Données projet'!$B$11,Paramètres!$A$1:$I$89,3,0)*VLOOKUP('Données projet'!$B$11,Paramètres!$A$1:$I$89,5,0)</f>
        <v>188.61199999999997</v>
      </c>
      <c r="BF74" s="14">
        <f t="shared" si="91"/>
        <v>47.232954932734849</v>
      </c>
      <c r="BG74" s="22">
        <f t="shared" si="61"/>
        <v>410.76329650784646</v>
      </c>
      <c r="BH74" s="60">
        <f t="shared" si="62"/>
        <v>704.09662984117972</v>
      </c>
      <c r="BI74" s="60">
        <f ca="1">AVERAGE(OFFSET($BH$3,0,0,'Données projet'!$E$11+1,1))-AVERAGE(OFFSET($H$3,0,0,'Données projet'!$E$11+1,1))</f>
        <v>357.083670644861</v>
      </c>
      <c r="BJ74" s="60">
        <f t="shared" si="92"/>
        <v>299.88885091109654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9.8717948717948705</v>
      </c>
      <c r="BY74" s="13">
        <f>IF('Données projet'!$A$114&gt;35,BY73+BX74-CG73,IF(A74&lt;'Données projet'!$A$114,$BV$205^A74,IF(A74='Données projet'!$A$114,'Données projet'!$B$114,BY73+BX74-CG73)))</f>
        <v>321.28205128205116</v>
      </c>
      <c r="BZ74" s="14">
        <f>BY74*VLOOKUP('Données projet'!$B$12,Paramètres!$A$1:$I$89,3,0)*VLOOKUP('Données projet'!$B$12,Paramètres!$A$1:$I$89,5,0)</f>
        <v>150.35999999999993</v>
      </c>
      <c r="CA74" s="14">
        <f t="shared" si="93"/>
        <v>38.660385495456531</v>
      </c>
      <c r="CB74" s="22">
        <f t="shared" si="64"/>
        <v>329.21050473791996</v>
      </c>
      <c r="CC74" s="60">
        <f t="shared" si="65"/>
        <v>622.54383807125328</v>
      </c>
      <c r="CD74" s="60">
        <f ca="1">AVERAGE(OFFSET($CC$3,0,0,'Données projet'!$E$12+1,1))-AVERAGE(OFFSET($H$3,0,0,'Données projet'!$E$12+1,1))</f>
        <v>245.98992992759543</v>
      </c>
      <c r="CE74" s="60">
        <f t="shared" si="94"/>
        <v>145.34368562171613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219.74783999999994</v>
      </c>
      <c r="CV74" s="14">
        <f t="shared" si="95"/>
        <v>54.060076332940561</v>
      </c>
      <c r="CW74" s="22">
        <f t="shared" si="67"/>
        <v>476.88212094653812</v>
      </c>
      <c r="CX74" s="60">
        <f t="shared" si="68"/>
        <v>770.21545427987144</v>
      </c>
      <c r="CY74" s="60">
        <f ca="1">AVERAGE(OFFSET($CX$3,0,0,'Données projet'!$E$13+1,1))-AVERAGE(OFFSET($H$3,0,0,'Données projet'!$E$13+1,1))</f>
        <v>455.50822833641354</v>
      </c>
      <c r="CZ74" s="60">
        <f t="shared" si="96"/>
        <v>261.14722581688039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227.19999999999993</v>
      </c>
      <c r="DP74" s="18">
        <f>DO74*VLOOKUP('Données projet'!$B$14,Paramètres!$A$1:$I$89,3,0)*VLOOKUP('Données projet'!$B$14,Paramètres!$A$1:$I$89,5,0)</f>
        <v>244.55807999999993</v>
      </c>
      <c r="DQ74" s="14">
        <f t="shared" si="97"/>
        <v>59.419147189674156</v>
      </c>
      <c r="DR74" s="22">
        <f t="shared" si="70"/>
        <v>529.42700402201569</v>
      </c>
      <c r="DS74" s="60">
        <f t="shared" si="71"/>
        <v>822.76033735534907</v>
      </c>
      <c r="DT74" s="60">
        <f ca="1">AVERAGE(OFFSET($DS$3,0,0,'Données projet'!$E$14+1,1))-AVERAGE(OFFSET($H$3,0,0,'Données projet'!$E$14+1,1))</f>
        <v>502.07782026233912</v>
      </c>
      <c r="DU74" s="60">
        <f t="shared" si="98"/>
        <v>285.83623046025156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6.2</v>
      </c>
      <c r="EJ74" s="13">
        <f>IF('Données projet'!$A$192&gt;35,EJ73+EI74-ER73,IF(A74&lt;'Données projet'!$A$192,$EG$205^A74,IF(A74='Données projet'!$A$192,'Données projet'!$B$192,EJ73+EI74-ER73)))</f>
        <v>227.19999999999993</v>
      </c>
      <c r="EK74" s="18">
        <f>EJ74*VLOOKUP('Données projet'!$B$15,Paramètres!$A$1:$I$89,3,0)*VLOOKUP('Données projet'!$B$15,Paramètres!$A$1:$I$89,5,0)</f>
        <v>205.57055999999994</v>
      </c>
      <c r="EL74" s="14">
        <f t="shared" si="99"/>
        <v>50.966443946767392</v>
      </c>
      <c r="EM74" s="22">
        <f t="shared" si="73"/>
        <v>446.80194854061978</v>
      </c>
      <c r="EN74" s="60">
        <f t="shared" si="74"/>
        <v>740.13528187395309</v>
      </c>
      <c r="EO74" s="60">
        <f ca="1">AVERAGE(OFFSET($EN$3,0,0,'Données projet'!$E$15+1,1))-AVERAGE(OFFSET($H$3,0,0,'Données projet'!$E$15+1,1))</f>
        <v>428.8489304403459</v>
      </c>
      <c r="EP74" s="60">
        <f t="shared" si="100"/>
        <v>247.01165577562966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 t="e">
        <f>N75*VLOOKUP('Données projet'!$B$9,Paramètres!$A$1:$I$89,3,0)*VLOOKUP('Données projet'!$B$9,Paramètres!$A$1:$I$89,5,0)</f>
        <v>#N/A</v>
      </c>
      <c r="P75" s="14" t="e">
        <f t="shared" si="87"/>
        <v>#N/A</v>
      </c>
      <c r="Q75" s="22" t="e">
        <f t="shared" si="54"/>
        <v>#N/A</v>
      </c>
      <c r="R75" s="60" t="e">
        <f t="shared" si="55"/>
        <v>#N/A</v>
      </c>
      <c r="S75" s="60" t="e">
        <f ca="1">AVERAGE(OFFSET($R$3,0,0,'Données projet'!$E$9+1,1))-AVERAGE(OFFSET($H$3,0,0,'Données projet'!$E$9+1,1))</f>
        <v>#N/A</v>
      </c>
      <c r="T75" s="60" t="e">
        <f t="shared" si="88"/>
        <v>#N/A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 t="e">
        <f>EXP(-LN(2)/35)*Z74+(1-EXP(-LN(2)/35))/(LN(2)/35)*V75*W75*VLOOKUP('Données projet'!$B$9,Paramètres!$A$1:$I$89,3,0)*0.475*44/12</f>
        <v>#N/A</v>
      </c>
      <c r="AA75" s="23" t="e">
        <f>EXP(-LN(2)/25)*AA74+(1-EXP(-LN(2)/25))/(LN(2)/25)*Calculateur!V75*Calculateur!X75*VLOOKUP('Données projet'!$B$9,Paramètres!$A$1:$I$89,3,0)*0.475*44/12</f>
        <v>#N/A</v>
      </c>
      <c r="AB75" s="23" t="e">
        <f>EXP(-LN(2)/2)*AB74+(1-EXP(-LN(2)/2))/(LN(2)/2)*V75*Y75*VLOOKUP('Données projet'!$B$9,Paramètres!$A$1:$I$89,3,0)*0.475*44/12</f>
        <v>#N/A</v>
      </c>
      <c r="AC75" s="24" t="e">
        <f t="shared" si="57"/>
        <v>#N/A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0" t="e">
        <f t="shared" si="59"/>
        <v>#N/A</v>
      </c>
      <c r="AN75" s="60" t="e">
        <f ca="1">AVERAGE(OFFSET($AM$3,0,0,'Données projet'!$E$10+1,1))-AVERAGE(OFFSET($H$3,0,0,'Données projet'!$E$10+1,1))</f>
        <v>#N/A</v>
      </c>
      <c r="AO75" s="60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3.9743589743589722</v>
      </c>
      <c r="BD75" s="13">
        <f>IF('Données projet'!$A$88&gt;35,BD74+BC75-BL74,IF(A75&lt;'Données projet'!$A$88,$BA$205^A75,IF(A75='Données projet'!$A$88,'Données projet'!$B$88,BD74+BC75-BL74)))</f>
        <v>202.17948717948715</v>
      </c>
      <c r="BE75" s="14">
        <f>BD75*VLOOKUP('Données projet'!$B$11,Paramètres!$A$1:$I$89,3,0)*VLOOKUP('Données projet'!$B$11,Paramètres!$A$1:$I$89,5,0)</f>
        <v>192.39399999999998</v>
      </c>
      <c r="BF75" s="14">
        <f t="shared" si="91"/>
        <v>48.06884593738954</v>
      </c>
      <c r="BG75" s="22">
        <f t="shared" si="61"/>
        <v>418.80612334095343</v>
      </c>
      <c r="BH75" s="60">
        <f t="shared" si="62"/>
        <v>712.13945667428675</v>
      </c>
      <c r="BI75" s="60">
        <f ca="1">AVERAGE(OFFSET($BH$3,0,0,'Données projet'!$E$11+1,1))-AVERAGE(OFFSET($H$3,0,0,'Données projet'!$E$11+1,1))</f>
        <v>357.083670644861</v>
      </c>
      <c r="BJ75" s="60">
        <f t="shared" si="92"/>
        <v>299.88885091109654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9.8717948717948705</v>
      </c>
      <c r="BY75" s="13">
        <f>IF('Données projet'!$A$114&gt;35,BY74+BX75-CG74,IF(A75&lt;'Données projet'!$A$114,$BV$205^A75,IF(A75='Données projet'!$A$114,'Données projet'!$B$114,BY74+BX75-CG74)))</f>
        <v>331.15384615384602</v>
      </c>
      <c r="BZ75" s="14">
        <f>BY75*VLOOKUP('Données projet'!$B$12,Paramètres!$A$1:$I$89,3,0)*VLOOKUP('Données projet'!$B$12,Paramètres!$A$1:$I$89,5,0)</f>
        <v>154.97999999999993</v>
      </c>
      <c r="CA75" s="14">
        <f t="shared" si="93"/>
        <v>39.708148282768228</v>
      </c>
      <c r="CB75" s="22">
        <f t="shared" si="64"/>
        <v>339.08185825915456</v>
      </c>
      <c r="CC75" s="60">
        <f t="shared" si="65"/>
        <v>632.41519159248787</v>
      </c>
      <c r="CD75" s="60">
        <f ca="1">AVERAGE(OFFSET($CC$3,0,0,'Données projet'!$E$12+1,1))-AVERAGE(OFFSET($H$3,0,0,'Données projet'!$E$12+1,1))</f>
        <v>245.98992992759543</v>
      </c>
      <c r="CE75" s="60">
        <f t="shared" si="94"/>
        <v>145.34368562171613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225.74447999999992</v>
      </c>
      <c r="CV75" s="14">
        <f t="shared" si="95"/>
        <v>55.36154088431374</v>
      </c>
      <c r="CW75" s="22">
        <f t="shared" si="67"/>
        <v>489.59298637351299</v>
      </c>
      <c r="CX75" s="60">
        <f t="shared" si="68"/>
        <v>782.92631970684624</v>
      </c>
      <c r="CY75" s="60">
        <f ca="1">AVERAGE(OFFSET($CX$3,0,0,'Données projet'!$E$13+1,1))-AVERAGE(OFFSET($H$3,0,0,'Données projet'!$E$13+1,1))</f>
        <v>455.50822833641354</v>
      </c>
      <c r="CZ75" s="60">
        <f t="shared" si="96"/>
        <v>261.14722581688039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233.39999999999992</v>
      </c>
      <c r="DP75" s="18">
        <f>DO75*VLOOKUP('Données projet'!$B$14,Paramètres!$A$1:$I$89,3,0)*VLOOKUP('Données projet'!$B$14,Paramètres!$A$1:$I$89,5,0)</f>
        <v>251.23175999999989</v>
      </c>
      <c r="DQ75" s="14">
        <f t="shared" si="97"/>
        <v>60.849628220886878</v>
      </c>
      <c r="DR75" s="22">
        <f t="shared" si="70"/>
        <v>543.54175115137775</v>
      </c>
      <c r="DS75" s="60">
        <f t="shared" si="71"/>
        <v>836.87508448471112</v>
      </c>
      <c r="DT75" s="60">
        <f ca="1">AVERAGE(OFFSET($DS$3,0,0,'Données projet'!$E$14+1,1))-AVERAGE(OFFSET($H$3,0,0,'Données projet'!$E$14+1,1))</f>
        <v>502.07782026233912</v>
      </c>
      <c r="DU75" s="60">
        <f t="shared" si="98"/>
        <v>285.83623046025156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6.2</v>
      </c>
      <c r="EJ75" s="13">
        <f>IF('Données projet'!$A$192&gt;35,EJ74+EI75-ER74,IF(A75&lt;'Données projet'!$A$192,$EG$205^A75,IF(A75='Données projet'!$A$192,'Données projet'!$B$192,EJ74+EI75-ER74)))</f>
        <v>233.39999999999992</v>
      </c>
      <c r="EK75" s="18">
        <f>EJ75*VLOOKUP('Données projet'!$B$15,Paramètres!$A$1:$I$89,3,0)*VLOOKUP('Données projet'!$B$15,Paramètres!$A$1:$I$89,5,0)</f>
        <v>211.18031999999994</v>
      </c>
      <c r="EL75" s="14">
        <f t="shared" si="99"/>
        <v>52.193431117443019</v>
      </c>
      <c r="EM75" s="22">
        <f t="shared" si="73"/>
        <v>458.70928319621316</v>
      </c>
      <c r="EN75" s="60">
        <f t="shared" si="74"/>
        <v>752.04261652954642</v>
      </c>
      <c r="EO75" s="60">
        <f ca="1">AVERAGE(OFFSET($EN$3,0,0,'Données projet'!$E$15+1,1))-AVERAGE(OFFSET($H$3,0,0,'Données projet'!$E$15+1,1))</f>
        <v>428.8489304403459</v>
      </c>
      <c r="EP75" s="60">
        <f t="shared" si="100"/>
        <v>247.01165577562966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 t="e">
        <f>N76*VLOOKUP('Données projet'!$B$9,Paramètres!$A$1:$I$89,3,0)*VLOOKUP('Données projet'!$B$9,Paramètres!$A$1:$I$89,5,0)</f>
        <v>#N/A</v>
      </c>
      <c r="P76" s="14" t="e">
        <f t="shared" si="87"/>
        <v>#N/A</v>
      </c>
      <c r="Q76" s="22" t="e">
        <f t="shared" si="54"/>
        <v>#N/A</v>
      </c>
      <c r="R76" s="60" t="e">
        <f t="shared" si="55"/>
        <v>#N/A</v>
      </c>
      <c r="S76" s="60" t="e">
        <f ca="1">AVERAGE(OFFSET($R$3,0,0,'Données projet'!$E$9+1,1))-AVERAGE(OFFSET($H$3,0,0,'Données projet'!$E$9+1,1))</f>
        <v>#N/A</v>
      </c>
      <c r="T76" s="60" t="e">
        <f t="shared" si="88"/>
        <v>#N/A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 t="e">
        <f>EXP(-LN(2)/35)*Z75+(1-EXP(-LN(2)/35))/(LN(2)/35)*V76*W76*VLOOKUP('Données projet'!$B$9,Paramètres!$A$1:$I$89,3,0)*0.475*44/12</f>
        <v>#N/A</v>
      </c>
      <c r="AA76" s="23" t="e">
        <f>EXP(-LN(2)/25)*AA75+(1-EXP(-LN(2)/25))/(LN(2)/25)*Calculateur!V76*Calculateur!X76*VLOOKUP('Données projet'!$B$9,Paramètres!$A$1:$I$89,3,0)*0.475*44/12</f>
        <v>#N/A</v>
      </c>
      <c r="AB76" s="23" t="e">
        <f>EXP(-LN(2)/2)*AB75+(1-EXP(-LN(2)/2))/(LN(2)/2)*V76*Y76*VLOOKUP('Données projet'!$B$9,Paramètres!$A$1:$I$89,3,0)*0.475*44/12</f>
        <v>#N/A</v>
      </c>
      <c r="AC76" s="24" t="e">
        <f t="shared" si="57"/>
        <v>#N/A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0" t="e">
        <f t="shared" si="59"/>
        <v>#N/A</v>
      </c>
      <c r="AN76" s="60" t="e">
        <f ca="1">AVERAGE(OFFSET($AM$3,0,0,'Données projet'!$E$10+1,1))-AVERAGE(OFFSET($H$3,0,0,'Données projet'!$E$10+1,1))</f>
        <v>#N/A</v>
      </c>
      <c r="AO76" s="60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3.9743589743589722</v>
      </c>
      <c r="BD76" s="13">
        <f>IF('Données projet'!$A$88&gt;35,BD75+BC76-BL75,IF(A76&lt;'Données projet'!$A$88,$BA$205^A76,IF(A76='Données projet'!$A$88,'Données projet'!$B$88,BD75+BC76-BL75)))</f>
        <v>206.15384615384613</v>
      </c>
      <c r="BE76" s="14">
        <f>BD76*VLOOKUP('Données projet'!$B$11,Paramètres!$A$1:$I$89,3,0)*VLOOKUP('Données projet'!$B$11,Paramètres!$A$1:$I$89,5,0)</f>
        <v>196.17599999999999</v>
      </c>
      <c r="BF76" s="14">
        <f t="shared" si="91"/>
        <v>48.902826361146467</v>
      </c>
      <c r="BG76" s="22">
        <f t="shared" si="61"/>
        <v>426.84562257899671</v>
      </c>
      <c r="BH76" s="60">
        <f t="shared" si="62"/>
        <v>720.17895591233003</v>
      </c>
      <c r="BI76" s="60">
        <f ca="1">AVERAGE(OFFSET($BH$3,0,0,'Données projet'!$E$11+1,1))-AVERAGE(OFFSET($H$3,0,0,'Données projet'!$E$11+1,1))</f>
        <v>357.083670644861</v>
      </c>
      <c r="BJ76" s="60">
        <f t="shared" si="92"/>
        <v>299.88885091109654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9.8717948717948705</v>
      </c>
      <c r="BY76" s="13">
        <f>IF('Données projet'!$A$114&gt;35,BY75+BX76-CG75,IF(A76&lt;'Données projet'!$A$114,$BV$205^A76,IF(A76='Données projet'!$A$114,'Données projet'!$B$114,BY75+BX76-CG75)))</f>
        <v>341.02564102564088</v>
      </c>
      <c r="BZ76" s="14">
        <f>BY76*VLOOKUP('Données projet'!$B$12,Paramètres!$A$1:$I$89,3,0)*VLOOKUP('Données projet'!$B$12,Paramètres!$A$1:$I$89,5,0)</f>
        <v>159.59999999999994</v>
      </c>
      <c r="CA76" s="14">
        <f t="shared" si="93"/>
        <v>40.752281150761135</v>
      </c>
      <c r="CB76" s="22">
        <f t="shared" si="64"/>
        <v>348.94688967090889</v>
      </c>
      <c r="CC76" s="60">
        <f t="shared" si="65"/>
        <v>642.2802230042422</v>
      </c>
      <c r="CD76" s="60">
        <f ca="1">AVERAGE(OFFSET($CC$3,0,0,'Données projet'!$E$12+1,1))-AVERAGE(OFFSET($H$3,0,0,'Données projet'!$E$12+1,1))</f>
        <v>245.98992992759543</v>
      </c>
      <c r="CE76" s="60">
        <f t="shared" si="94"/>
        <v>145.34368562171613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231.74111999999991</v>
      </c>
      <c r="CV76" s="14">
        <f t="shared" si="95"/>
        <v>56.658986982752438</v>
      </c>
      <c r="CW76" s="22">
        <f t="shared" si="67"/>
        <v>502.29685299496032</v>
      </c>
      <c r="CX76" s="60">
        <f t="shared" si="68"/>
        <v>795.63018632829358</v>
      </c>
      <c r="CY76" s="60">
        <f ca="1">AVERAGE(OFFSET($CX$3,0,0,'Données projet'!$E$13+1,1))-AVERAGE(OFFSET($H$3,0,0,'Données projet'!$E$13+1,1))</f>
        <v>455.50822833641354</v>
      </c>
      <c r="CZ76" s="60">
        <f t="shared" si="96"/>
        <v>261.14722581688039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239.59999999999991</v>
      </c>
      <c r="DP76" s="18">
        <f>DO76*VLOOKUP('Données projet'!$B$14,Paramètres!$A$1:$I$89,3,0)*VLOOKUP('Données projet'!$B$14,Paramètres!$A$1:$I$89,5,0)</f>
        <v>257.90543999999989</v>
      </c>
      <c r="DQ76" s="14">
        <f t="shared" si="97"/>
        <v>62.275692442827719</v>
      </c>
      <c r="DR76" s="22">
        <f t="shared" si="70"/>
        <v>557.64880567125817</v>
      </c>
      <c r="DS76" s="60">
        <f t="shared" si="71"/>
        <v>850.98213900459155</v>
      </c>
      <c r="DT76" s="60">
        <f ca="1">AVERAGE(OFFSET($DS$3,0,0,'Données projet'!$E$14+1,1))-AVERAGE(OFFSET($H$3,0,0,'Données projet'!$E$14+1,1))</f>
        <v>502.07782026233912</v>
      </c>
      <c r="DU76" s="60">
        <f t="shared" si="98"/>
        <v>285.83623046025156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6.2</v>
      </c>
      <c r="EJ76" s="13">
        <f>IF('Données projet'!$A$192&gt;35,EJ75+EI76-ER75,IF(A76&lt;'Données projet'!$A$192,$EG$205^A76,IF(A76='Données projet'!$A$192,'Données projet'!$B$192,EJ75+EI76-ER75)))</f>
        <v>239.59999999999991</v>
      </c>
      <c r="EK76" s="18">
        <f>EJ76*VLOOKUP('Données projet'!$B$15,Paramètres!$A$1:$I$89,3,0)*VLOOKUP('Données projet'!$B$15,Paramètres!$A$1:$I$89,5,0)</f>
        <v>216.7900799999999</v>
      </c>
      <c r="EL76" s="14">
        <f t="shared" si="99"/>
        <v>53.416629794462551</v>
      </c>
      <c r="EM76" s="22">
        <f t="shared" si="73"/>
        <v>470.61001955868869</v>
      </c>
      <c r="EN76" s="60">
        <f t="shared" si="74"/>
        <v>763.94335289202195</v>
      </c>
      <c r="EO76" s="60">
        <f ca="1">AVERAGE(OFFSET($EN$3,0,0,'Données projet'!$E$15+1,1))-AVERAGE(OFFSET($H$3,0,0,'Données projet'!$E$15+1,1))</f>
        <v>428.8489304403459</v>
      </c>
      <c r="EP76" s="60">
        <f t="shared" si="100"/>
        <v>247.01165577562966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 t="e">
        <f>N77*VLOOKUP('Données projet'!$B$9,Paramètres!$A$1:$I$89,3,0)*VLOOKUP('Données projet'!$B$9,Paramètres!$A$1:$I$89,5,0)</f>
        <v>#N/A</v>
      </c>
      <c r="P77" s="14" t="e">
        <f t="shared" si="87"/>
        <v>#N/A</v>
      </c>
      <c r="Q77" s="22" t="e">
        <f t="shared" si="54"/>
        <v>#N/A</v>
      </c>
      <c r="R77" s="60" t="e">
        <f t="shared" si="55"/>
        <v>#N/A</v>
      </c>
      <c r="S77" s="60" t="e">
        <f ca="1">AVERAGE(OFFSET($R$3,0,0,'Données projet'!$E$9+1,1))-AVERAGE(OFFSET($H$3,0,0,'Données projet'!$E$9+1,1))</f>
        <v>#N/A</v>
      </c>
      <c r="T77" s="60" t="e">
        <f t="shared" si="88"/>
        <v>#N/A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 t="e">
        <f>EXP(-LN(2)/35)*Z76+(1-EXP(-LN(2)/35))/(LN(2)/35)*V77*W77*VLOOKUP('Données projet'!$B$9,Paramètres!$A$1:$I$89,3,0)*0.475*44/12</f>
        <v>#N/A</v>
      </c>
      <c r="AA77" s="23" t="e">
        <f>EXP(-LN(2)/25)*AA76+(1-EXP(-LN(2)/25))/(LN(2)/25)*Calculateur!V77*Calculateur!X77*VLOOKUP('Données projet'!$B$9,Paramètres!$A$1:$I$89,3,0)*0.475*44/12</f>
        <v>#N/A</v>
      </c>
      <c r="AB77" s="23" t="e">
        <f>EXP(-LN(2)/2)*AB76+(1-EXP(-LN(2)/2))/(LN(2)/2)*V77*Y77*VLOOKUP('Données projet'!$B$9,Paramètres!$A$1:$I$89,3,0)*0.475*44/12</f>
        <v>#N/A</v>
      </c>
      <c r="AC77" s="24" t="e">
        <f t="shared" si="57"/>
        <v>#N/A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0" t="e">
        <f t="shared" si="59"/>
        <v>#N/A</v>
      </c>
      <c r="AN77" s="60" t="e">
        <f ca="1">AVERAGE(OFFSET($AM$3,0,0,'Données projet'!$E$10+1,1))-AVERAGE(OFFSET($H$3,0,0,'Données projet'!$E$10+1,1))</f>
        <v>#N/A</v>
      </c>
      <c r="AO77" s="60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3.9743589743589722</v>
      </c>
      <c r="BD77" s="13">
        <f>IF('Données projet'!$A$88&gt;35,BD76+BC77-BL76,IF(A77&lt;'Données projet'!$A$88,$BA$205^A77,IF(A77='Données projet'!$A$88,'Données projet'!$B$88,BD76+BC77-BL76)))</f>
        <v>210.12820512820511</v>
      </c>
      <c r="BE77" s="14">
        <f>BD77*VLOOKUP('Données projet'!$B$11,Paramètres!$A$1:$I$89,3,0)*VLOOKUP('Données projet'!$B$11,Paramètres!$A$1:$I$89,5,0)</f>
        <v>199.958</v>
      </c>
      <c r="BF77" s="14">
        <f t="shared" si="91"/>
        <v>49.734937283774826</v>
      </c>
      <c r="BG77" s="22">
        <f t="shared" si="61"/>
        <v>434.88186576924113</v>
      </c>
      <c r="BH77" s="60">
        <f t="shared" si="62"/>
        <v>728.21519910257439</v>
      </c>
      <c r="BI77" s="60">
        <f ca="1">AVERAGE(OFFSET($BH$3,0,0,'Données projet'!$E$11+1,1))-AVERAGE(OFFSET($H$3,0,0,'Données projet'!$E$11+1,1))</f>
        <v>357.083670644861</v>
      </c>
      <c r="BJ77" s="60">
        <f t="shared" si="92"/>
        <v>299.88885091109654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9.8717948717948705</v>
      </c>
      <c r="BY77" s="13">
        <f>IF('Données projet'!$A$114&gt;35,BY76+BX77-CG76,IF(A77&lt;'Données projet'!$A$114,$BV$205^A77,IF(A77='Données projet'!$A$114,'Données projet'!$B$114,BY76+BX77-CG76)))</f>
        <v>350.89743589743574</v>
      </c>
      <c r="BZ77" s="14">
        <f>BY77*VLOOKUP('Données projet'!$B$12,Paramètres!$A$1:$I$89,3,0)*VLOOKUP('Données projet'!$B$12,Paramètres!$A$1:$I$89,5,0)</f>
        <v>164.21999999999994</v>
      </c>
      <c r="CA77" s="14">
        <f t="shared" si="93"/>
        <v>41.792901242713462</v>
      </c>
      <c r="CB77" s="22">
        <f t="shared" si="64"/>
        <v>358.80580299772583</v>
      </c>
      <c r="CC77" s="60">
        <f t="shared" si="65"/>
        <v>652.13913633105915</v>
      </c>
      <c r="CD77" s="60">
        <f ca="1">AVERAGE(OFFSET($CC$3,0,0,'Données projet'!$E$12+1,1))-AVERAGE(OFFSET($H$3,0,0,'Données projet'!$E$12+1,1))</f>
        <v>245.98992992759543</v>
      </c>
      <c r="CE77" s="60">
        <f t="shared" si="94"/>
        <v>145.34368562171613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237.73775999999989</v>
      </c>
      <c r="CV77" s="14">
        <f t="shared" si="95"/>
        <v>57.952530566790166</v>
      </c>
      <c r="CW77" s="22">
        <f t="shared" si="67"/>
        <v>514.99392273715932</v>
      </c>
      <c r="CX77" s="60">
        <f t="shared" si="68"/>
        <v>808.32725607049269</v>
      </c>
      <c r="CY77" s="60">
        <f ca="1">AVERAGE(OFFSET($CX$3,0,0,'Données projet'!$E$13+1,1))-AVERAGE(OFFSET($H$3,0,0,'Données projet'!$E$13+1,1))</f>
        <v>455.50822833641354</v>
      </c>
      <c r="CZ77" s="60">
        <f t="shared" si="96"/>
        <v>261.14722581688039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</v>
      </c>
      <c r="DP77" s="18">
        <f>DO77*VLOOKUP('Données projet'!$B$14,Paramètres!$A$1:$I$89,3,0)*VLOOKUP('Données projet'!$B$14,Paramètres!$A$1:$I$89,5,0)</f>
        <v>264.57911999999988</v>
      </c>
      <c r="DQ77" s="14">
        <f t="shared" si="97"/>
        <v>63.697467287221869</v>
      </c>
      <c r="DR77" s="22">
        <f t="shared" si="70"/>
        <v>571.74838952524453</v>
      </c>
      <c r="DS77" s="60">
        <f t="shared" si="71"/>
        <v>865.0817228585779</v>
      </c>
      <c r="DT77" s="60">
        <f ca="1">AVERAGE(OFFSET($DS$3,0,0,'Données projet'!$E$14+1,1))-AVERAGE(OFFSET($H$3,0,0,'Données projet'!$E$14+1,1))</f>
        <v>502.07782026233912</v>
      </c>
      <c r="DU77" s="60">
        <f t="shared" si="98"/>
        <v>285.83623046025156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6.2</v>
      </c>
      <c r="EJ77" s="13">
        <f>IF('Données projet'!$A$192&gt;35,EJ76+EI77-ER76,IF(A77&lt;'Données projet'!$A$192,$EG$205^A77,IF(A77='Données projet'!$A$192,'Données projet'!$B$192,EJ76+EI77-ER76)))</f>
        <v>245.7999999999999</v>
      </c>
      <c r="EK77" s="18">
        <f>EJ77*VLOOKUP('Données projet'!$B$15,Paramètres!$A$1:$I$89,3,0)*VLOOKUP('Données projet'!$B$15,Paramètres!$A$1:$I$89,5,0)</f>
        <v>222.3998399999999</v>
      </c>
      <c r="EL77" s="14">
        <f t="shared" si="99"/>
        <v>54.636149281681448</v>
      </c>
      <c r="EM77" s="22">
        <f t="shared" si="73"/>
        <v>482.50434799892832</v>
      </c>
      <c r="EN77" s="60">
        <f t="shared" si="74"/>
        <v>775.83768133226158</v>
      </c>
      <c r="EO77" s="60">
        <f ca="1">AVERAGE(OFFSET($EN$3,0,0,'Données projet'!$E$15+1,1))-AVERAGE(OFFSET($H$3,0,0,'Données projet'!$E$15+1,1))</f>
        <v>428.8489304403459</v>
      </c>
      <c r="EP77" s="60">
        <f t="shared" si="100"/>
        <v>247.01165577562966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 t="e">
        <f>N78*VLOOKUP('Données projet'!$B$9,Paramètres!$A$1:$I$89,3,0)*VLOOKUP('Données projet'!$B$9,Paramètres!$A$1:$I$89,5,0)</f>
        <v>#N/A</v>
      </c>
      <c r="P78" s="14" t="e">
        <f t="shared" si="87"/>
        <v>#N/A</v>
      </c>
      <c r="Q78" s="22" t="e">
        <f t="shared" si="54"/>
        <v>#N/A</v>
      </c>
      <c r="R78" s="60" t="e">
        <f t="shared" si="55"/>
        <v>#N/A</v>
      </c>
      <c r="S78" s="60" t="e">
        <f ca="1">AVERAGE(OFFSET($R$3,0,0,'Données projet'!$E$9+1,1))-AVERAGE(OFFSET($H$3,0,0,'Données projet'!$E$9+1,1))</f>
        <v>#N/A</v>
      </c>
      <c r="T78" s="60" t="e">
        <f t="shared" si="88"/>
        <v>#N/A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 t="e">
        <f>EXP(-LN(2)/35)*Z77+(1-EXP(-LN(2)/35))/(LN(2)/35)*V78*W78*VLOOKUP('Données projet'!$B$9,Paramètres!$A$1:$I$89,3,0)*0.475*44/12</f>
        <v>#N/A</v>
      </c>
      <c r="AA78" s="23" t="e">
        <f>EXP(-LN(2)/25)*AA77+(1-EXP(-LN(2)/25))/(LN(2)/25)*Calculateur!V78*Calculateur!X78*VLOOKUP('Données projet'!$B$9,Paramètres!$A$1:$I$89,3,0)*0.475*44/12</f>
        <v>#N/A</v>
      </c>
      <c r="AB78" s="23" t="e">
        <f>EXP(-LN(2)/2)*AB77+(1-EXP(-LN(2)/2))/(LN(2)/2)*V78*Y78*VLOOKUP('Données projet'!$B$9,Paramètres!$A$1:$I$89,3,0)*0.475*44/12</f>
        <v>#N/A</v>
      </c>
      <c r="AC78" s="24" t="e">
        <f t="shared" si="57"/>
        <v>#N/A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0" t="e">
        <f t="shared" si="59"/>
        <v>#N/A</v>
      </c>
      <c r="AN78" s="60" t="e">
        <f ca="1">AVERAGE(OFFSET($AM$3,0,0,'Données projet'!$E$10+1,1))-AVERAGE(OFFSET($H$3,0,0,'Données projet'!$E$10+1,1))</f>
        <v>#N/A</v>
      </c>
      <c r="AO78" s="60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214.10256410256409</v>
      </c>
      <c r="BB78" s="13">
        <f>VLOOKUP(A78,'Données projet'!$A$87:$I$107,9,0)</f>
        <v>3.9743589743589722</v>
      </c>
      <c r="BC78" s="13">
        <f t="array" ref="BC78">INDEX(BB:BB,MIN(IF(ISNUMBER(BB78:BB274),ROW(BB78:BB274),"")))</f>
        <v>3.9743589743589722</v>
      </c>
      <c r="BD78" s="13">
        <f>IF('Données projet'!$A$88&gt;35,BD77+BC78-BL77,IF(A78&lt;'Données projet'!$A$88,$BA$205^A78,IF(A78='Données projet'!$A$88,'Données projet'!$B$88,BD77+BC78-BL77)))</f>
        <v>214.10256410256409</v>
      </c>
      <c r="BE78" s="14">
        <f>BD78*VLOOKUP('Données projet'!$B$11,Paramètres!$A$1:$I$89,3,0)*VLOOKUP('Données projet'!$B$11,Paramètres!$A$1:$I$89,5,0)</f>
        <v>203.73999999999998</v>
      </c>
      <c r="BF78" s="14">
        <f t="shared" si="91"/>
        <v>50.565218142155274</v>
      </c>
      <c r="BG78" s="22">
        <f t="shared" si="61"/>
        <v>442.91492159758701</v>
      </c>
      <c r="BH78" s="60">
        <f t="shared" si="62"/>
        <v>736.24825493092033</v>
      </c>
      <c r="BI78" s="60">
        <f ca="1">AVERAGE(OFFSET($BH$3,0,0,'Données projet'!$E$11+1,1))-AVERAGE(OFFSET($H$3,0,0,'Données projet'!$E$11+1,1))</f>
        <v>357.083670644861</v>
      </c>
      <c r="BJ78" s="60">
        <f t="shared" si="92"/>
        <v>299.88885091109654</v>
      </c>
      <c r="BK78" s="16">
        <f>IF(ISNA(VLOOKUP(A78,'Données projet'!$A$87:$I$107,3,0)),0,VLOOKUP(A78,'Données projet'!$A$87:$I$107,3,0))</f>
        <v>5</v>
      </c>
      <c r="BL78" s="16">
        <f>IF(ISNA(VLOOKUP(A78,'Données projet'!$A$87:$I$107,4,0)),0,VLOOKUP(A78,'Données projet'!$A$87:$I$107,4,0))</f>
        <v>26.923076923076923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360.76923076923077</v>
      </c>
      <c r="BW78" s="13">
        <f>VLOOKUP(A78,'Données projet'!$A$113:$I$133,9,0)</f>
        <v>9.8717948717948705</v>
      </c>
      <c r="BX78" s="13">
        <f t="array" ref="BX78">INDEX(BW:BW,MIN(IF(ISNUMBER(BW78:BW274),ROW(BW78:BW274),"")))</f>
        <v>9.8717948717948705</v>
      </c>
      <c r="BY78" s="13">
        <f>IF('Données projet'!$A$114&gt;35,BY77+BX78-CG77,IF(A78&lt;'Données projet'!$A$114,$BV$205^A78,IF(A78='Données projet'!$A$114,'Données projet'!$B$114,BY77+BX78-CG77)))</f>
        <v>360.7692307692306</v>
      </c>
      <c r="BZ78" s="14">
        <f>BY78*VLOOKUP('Données projet'!$B$12,Paramètres!$A$1:$I$89,3,0)*VLOOKUP('Données projet'!$B$12,Paramètres!$A$1:$I$89,5,0)</f>
        <v>168.83999999999995</v>
      </c>
      <c r="CA78" s="14">
        <f t="shared" si="93"/>
        <v>42.830118735743163</v>
      </c>
      <c r="CB78" s="22">
        <f t="shared" si="64"/>
        <v>368.65879013141921</v>
      </c>
      <c r="CC78" s="60">
        <f t="shared" si="65"/>
        <v>661.99212346475247</v>
      </c>
      <c r="CD78" s="60">
        <f ca="1">AVERAGE(OFFSET($CC$3,0,0,'Données projet'!$E$12+1,1))-AVERAGE(OFFSET($H$3,0,0,'Données projet'!$E$12+1,1))</f>
        <v>245.98992992759543</v>
      </c>
      <c r="CE78" s="60">
        <f t="shared" si="94"/>
        <v>145.34368562171613</v>
      </c>
      <c r="CF78" s="16">
        <f>IF(ISNA(VLOOKUP(A78,'Données projet'!$A$113:$I$133,3,0)),0,VLOOKUP(A78,'Données projet'!$A$113:$I$133,3,0))</f>
        <v>3</v>
      </c>
      <c r="CG78" s="16">
        <f>IF(ISNA(VLOOKUP(A78,'Données projet'!$A$113:$I$133,4,0)),0,VLOOKUP(A78,'Données projet'!$A$113:$I$133,4,0))</f>
        <v>85.384615384615415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243.73439999999988</v>
      </c>
      <c r="CV78" s="14">
        <f t="shared" si="95"/>
        <v>59.242281392848767</v>
      </c>
      <c r="CW78" s="22">
        <f t="shared" si="67"/>
        <v>527.68438675921141</v>
      </c>
      <c r="CX78" s="60">
        <f t="shared" si="68"/>
        <v>821.01772009254478</v>
      </c>
      <c r="CY78" s="60">
        <f ca="1">AVERAGE(OFFSET($CX$3,0,0,'Données projet'!$E$13+1,1))-AVERAGE(OFFSET($H$3,0,0,'Données projet'!$E$13+1,1))</f>
        <v>455.50822833641354</v>
      </c>
      <c r="CZ78" s="60">
        <f t="shared" si="96"/>
        <v>261.14722581688039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251.99999999999989</v>
      </c>
      <c r="DP78" s="18">
        <f>DO78*VLOOKUP('Données projet'!$B$14,Paramètres!$A$1:$I$89,3,0)*VLOOKUP('Données projet'!$B$14,Paramètres!$A$1:$I$89,5,0)</f>
        <v>271.25279999999987</v>
      </c>
      <c r="DQ78" s="14">
        <f t="shared" si="97"/>
        <v>65.115073390838859</v>
      </c>
      <c r="DR78" s="22">
        <f t="shared" si="70"/>
        <v>585.84071282237744</v>
      </c>
      <c r="DS78" s="60">
        <f t="shared" si="71"/>
        <v>879.17404615571081</v>
      </c>
      <c r="DT78" s="60">
        <f ca="1">AVERAGE(OFFSET($DS$3,0,0,'Données projet'!$E$14+1,1))-AVERAGE(OFFSET($H$3,0,0,'Données projet'!$E$14+1,1))</f>
        <v>502.07782026233912</v>
      </c>
      <c r="DU78" s="60">
        <f t="shared" si="98"/>
        <v>285.83623046025156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252</v>
      </c>
      <c r="EH78" s="13">
        <f>VLOOKUP(A78,'Données projet'!$A$191:$I$211,9,0)</f>
        <v>6.2</v>
      </c>
      <c r="EI78" s="13">
        <f t="array" ref="EI78">INDEX(EH:EH,MIN(IF(ISNUMBER(EH78:EH274),ROW(EH78:EH274),"")))</f>
        <v>6.2</v>
      </c>
      <c r="EJ78" s="13">
        <f>IF('Données projet'!$A$192&gt;35,EJ77+EI78-ER77,IF(A78&lt;'Données projet'!$A$192,$EG$205^A78,IF(A78='Données projet'!$A$192,'Données projet'!$B$192,EJ77+EI78-ER77)))</f>
        <v>251.99999999999989</v>
      </c>
      <c r="EK78" s="18">
        <f>EJ78*VLOOKUP('Données projet'!$B$15,Paramètres!$A$1:$I$89,3,0)*VLOOKUP('Données projet'!$B$15,Paramètres!$A$1:$I$89,5,0)</f>
        <v>228.00959999999986</v>
      </c>
      <c r="EL78" s="14">
        <f t="shared" si="99"/>
        <v>55.852093054619779</v>
      </c>
      <c r="EM78" s="22">
        <f t="shared" si="73"/>
        <v>494.39244873679587</v>
      </c>
      <c r="EN78" s="60">
        <f t="shared" si="74"/>
        <v>787.72578207012918</v>
      </c>
      <c r="EO78" s="60">
        <f ca="1">AVERAGE(OFFSET($EN$3,0,0,'Données projet'!$E$15+1,1))-AVERAGE(OFFSET($H$3,0,0,'Données projet'!$E$15+1,1))</f>
        <v>428.8489304403459</v>
      </c>
      <c r="EP78" s="60">
        <f t="shared" si="100"/>
        <v>247.01165577562966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 t="e">
        <f>N79*VLOOKUP('Données projet'!$B$9,Paramètres!$A$1:$I$89,3,0)*VLOOKUP('Données projet'!$B$9,Paramètres!$A$1:$I$89,5,0)</f>
        <v>#N/A</v>
      </c>
      <c r="P79" s="14" t="e">
        <f t="shared" si="87"/>
        <v>#N/A</v>
      </c>
      <c r="Q79" s="22" t="e">
        <f t="shared" si="54"/>
        <v>#N/A</v>
      </c>
      <c r="R79" s="60" t="e">
        <f t="shared" si="55"/>
        <v>#N/A</v>
      </c>
      <c r="S79" s="60" t="e">
        <f ca="1">AVERAGE(OFFSET($R$3,0,0,'Données projet'!$E$9+1,1))-AVERAGE(OFFSET($H$3,0,0,'Données projet'!$E$9+1,1))</f>
        <v>#N/A</v>
      </c>
      <c r="T79" s="60" t="e">
        <f t="shared" si="88"/>
        <v>#N/A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 t="e">
        <f>EXP(-LN(2)/35)*Z78+(1-EXP(-LN(2)/35))/(LN(2)/35)*V79*W79*VLOOKUP('Données projet'!$B$9,Paramètres!$A$1:$I$89,3,0)*0.475*44/12</f>
        <v>#N/A</v>
      </c>
      <c r="AA79" s="23" t="e">
        <f>EXP(-LN(2)/25)*AA78+(1-EXP(-LN(2)/25))/(LN(2)/25)*Calculateur!V79*Calculateur!X79*VLOOKUP('Données projet'!$B$9,Paramètres!$A$1:$I$89,3,0)*0.475*44/12</f>
        <v>#N/A</v>
      </c>
      <c r="AB79" s="23" t="e">
        <f>EXP(-LN(2)/2)*AB78+(1-EXP(-LN(2)/2))/(LN(2)/2)*V79*Y79*VLOOKUP('Données projet'!$B$9,Paramètres!$A$1:$I$89,3,0)*0.475*44/12</f>
        <v>#N/A</v>
      </c>
      <c r="AC79" s="24" t="e">
        <f t="shared" si="57"/>
        <v>#N/A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0" t="e">
        <f t="shared" si="59"/>
        <v>#N/A</v>
      </c>
      <c r="AN79" s="60" t="e">
        <f ca="1">AVERAGE(OFFSET($AM$3,0,0,'Données projet'!$E$10+1,1))-AVERAGE(OFFSET($H$3,0,0,'Données projet'!$E$10+1,1))</f>
        <v>#N/A</v>
      </c>
      <c r="AO79" s="60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3.8461538461538511</v>
      </c>
      <c r="BD79" s="13">
        <f>IF('Données projet'!$A$88&gt;35,BD78+BC79-BL78,IF(A79&lt;'Données projet'!$A$88,$BA$205^A79,IF(A79='Données projet'!$A$88,'Données projet'!$B$88,BD78+BC79-BL78)))</f>
        <v>191.02564102564099</v>
      </c>
      <c r="BE79" s="14">
        <f>BD79*VLOOKUP('Données projet'!$B$11,Paramètres!$A$1:$I$89,3,0)*VLOOKUP('Données projet'!$B$11,Paramètres!$A$1:$I$89,5,0)</f>
        <v>181.77999999999997</v>
      </c>
      <c r="BF79" s="14">
        <f t="shared" si="91"/>
        <v>45.717976285292259</v>
      </c>
      <c r="BG79" s="22">
        <f t="shared" si="61"/>
        <v>396.22564203021733</v>
      </c>
      <c r="BH79" s="60">
        <f t="shared" si="62"/>
        <v>689.55897536355064</v>
      </c>
      <c r="BI79" s="60">
        <f ca="1">AVERAGE(OFFSET($BH$3,0,0,'Données projet'!$E$11+1,1))-AVERAGE(OFFSET($H$3,0,0,'Données projet'!$E$11+1,1))</f>
        <v>357.083670644861</v>
      </c>
      <c r="BJ79" s="60">
        <f t="shared" si="92"/>
        <v>299.88885091109654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8.9743589743589727</v>
      </c>
      <c r="BY79" s="13">
        <f>IF('Données projet'!$A$114&gt;35,BY78+BX79-CG78,IF(A79&lt;'Données projet'!$A$114,$BV$205^A79,IF(A79='Données projet'!$A$114,'Données projet'!$B$114,BY78+BX79-CG78)))</f>
        <v>284.35897435897414</v>
      </c>
      <c r="BZ79" s="14">
        <f>BY79*VLOOKUP('Données projet'!$B$12,Paramètres!$A$1:$I$89,3,0)*VLOOKUP('Données projet'!$B$12,Paramètres!$A$1:$I$89,5,0)</f>
        <v>133.0799999999999</v>
      </c>
      <c r="CA79" s="14">
        <f t="shared" si="93"/>
        <v>34.707084092439132</v>
      </c>
      <c r="CB79" s="22">
        <f t="shared" si="64"/>
        <v>292.22917146099797</v>
      </c>
      <c r="CC79" s="60">
        <f t="shared" si="65"/>
        <v>585.56250479433129</v>
      </c>
      <c r="CD79" s="60">
        <f ca="1">AVERAGE(OFFSET($CC$3,0,0,'Données projet'!$E$12+1,1))-AVERAGE(OFFSET($H$3,0,0,'Données projet'!$E$12+1,1))</f>
        <v>245.98992992759543</v>
      </c>
      <c r="CE79" s="60">
        <f t="shared" si="94"/>
        <v>145.34368562171613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249.53759999999988</v>
      </c>
      <c r="CV79" s="14">
        <f t="shared" si="95"/>
        <v>60.486914185674671</v>
      </c>
      <c r="CW79" s="22">
        <f t="shared" si="67"/>
        <v>539.95936220671649</v>
      </c>
      <c r="CX79" s="60">
        <f t="shared" si="68"/>
        <v>833.29269554004986</v>
      </c>
      <c r="CY79" s="60">
        <f ca="1">AVERAGE(OFFSET($CX$3,0,0,'Données projet'!$E$13+1,1))-AVERAGE(OFFSET($H$3,0,0,'Données projet'!$E$13+1,1))</f>
        <v>455.50822833641354</v>
      </c>
      <c r="CZ79" s="60">
        <f t="shared" si="96"/>
        <v>261.14722581688039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257.99999999999989</v>
      </c>
      <c r="DP79" s="18">
        <f>DO79*VLOOKUP('Données projet'!$B$14,Paramètres!$A$1:$I$89,3,0)*VLOOKUP('Données projet'!$B$14,Paramètres!$A$1:$I$89,5,0)</f>
        <v>277.71119999999985</v>
      </c>
      <c r="DQ79" s="14">
        <f t="shared" si="97"/>
        <v>66.483088830893976</v>
      </c>
      <c r="DR79" s="22">
        <f t="shared" si="70"/>
        <v>599.47171971380669</v>
      </c>
      <c r="DS79" s="60">
        <f t="shared" si="71"/>
        <v>892.80505304714006</v>
      </c>
      <c r="DT79" s="60">
        <f ca="1">AVERAGE(OFFSET($DS$3,0,0,'Données projet'!$E$14+1,1))-AVERAGE(OFFSET($H$3,0,0,'Données projet'!$E$14+1,1))</f>
        <v>502.07782026233912</v>
      </c>
      <c r="DU79" s="60">
        <f t="shared" si="98"/>
        <v>285.83623046025156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6</v>
      </c>
      <c r="EJ79" s="13">
        <f>IF('Données projet'!$A$192&gt;35,EJ78+EI79-ER78,IF(A79&lt;'Données projet'!$A$192,$EG$205^A79,IF(A79='Données projet'!$A$192,'Données projet'!$B$192,EJ78+EI79-ER78)))</f>
        <v>257.99999999999989</v>
      </c>
      <c r="EK79" s="18">
        <f>EJ79*VLOOKUP('Données projet'!$B$15,Paramètres!$A$1:$I$89,3,0)*VLOOKUP('Données projet'!$B$15,Paramètres!$A$1:$I$89,5,0)</f>
        <v>233.43839999999989</v>
      </c>
      <c r="EL79" s="14">
        <f t="shared" si="99"/>
        <v>57.025500710931624</v>
      </c>
      <c r="EM79" s="22">
        <f t="shared" si="73"/>
        <v>505.89129373820577</v>
      </c>
      <c r="EN79" s="60">
        <f t="shared" si="74"/>
        <v>799.22462707153909</v>
      </c>
      <c r="EO79" s="60">
        <f ca="1">AVERAGE(OFFSET($EN$3,0,0,'Données projet'!$E$15+1,1))-AVERAGE(OFFSET($H$3,0,0,'Données projet'!$E$15+1,1))</f>
        <v>428.8489304403459</v>
      </c>
      <c r="EP79" s="60">
        <f t="shared" si="100"/>
        <v>247.01165577562966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 t="e">
        <f>N80*VLOOKUP('Données projet'!$B$9,Paramètres!$A$1:$I$89,3,0)*VLOOKUP('Données projet'!$B$9,Paramètres!$A$1:$I$89,5,0)</f>
        <v>#N/A</v>
      </c>
      <c r="P80" s="14" t="e">
        <f t="shared" si="87"/>
        <v>#N/A</v>
      </c>
      <c r="Q80" s="22" t="e">
        <f t="shared" si="54"/>
        <v>#N/A</v>
      </c>
      <c r="R80" s="60" t="e">
        <f t="shared" si="55"/>
        <v>#N/A</v>
      </c>
      <c r="S80" s="60" t="e">
        <f ca="1">AVERAGE(OFFSET($R$3,0,0,'Données projet'!$E$9+1,1))-AVERAGE(OFFSET($H$3,0,0,'Données projet'!$E$9+1,1))</f>
        <v>#N/A</v>
      </c>
      <c r="T80" s="60" t="e">
        <f t="shared" si="88"/>
        <v>#N/A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 t="e">
        <f>EXP(-LN(2)/35)*Z79+(1-EXP(-LN(2)/35))/(LN(2)/35)*V80*W80*VLOOKUP('Données projet'!$B$9,Paramètres!$A$1:$I$89,3,0)*0.475*44/12</f>
        <v>#N/A</v>
      </c>
      <c r="AA80" s="23" t="e">
        <f>EXP(-LN(2)/25)*AA79+(1-EXP(-LN(2)/25))/(LN(2)/25)*Calculateur!V80*Calculateur!X80*VLOOKUP('Données projet'!$B$9,Paramètres!$A$1:$I$89,3,0)*0.475*44/12</f>
        <v>#N/A</v>
      </c>
      <c r="AB80" s="23" t="e">
        <f>EXP(-LN(2)/2)*AB79+(1-EXP(-LN(2)/2))/(LN(2)/2)*V80*Y80*VLOOKUP('Données projet'!$B$9,Paramètres!$A$1:$I$89,3,0)*0.475*44/12</f>
        <v>#N/A</v>
      </c>
      <c r="AC80" s="24" t="e">
        <f t="shared" si="57"/>
        <v>#N/A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0" t="e">
        <f t="shared" si="59"/>
        <v>#N/A</v>
      </c>
      <c r="AN80" s="60" t="e">
        <f ca="1">AVERAGE(OFFSET($AM$3,0,0,'Données projet'!$E$10+1,1))-AVERAGE(OFFSET($H$3,0,0,'Données projet'!$E$10+1,1))</f>
        <v>#N/A</v>
      </c>
      <c r="AO80" s="60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3.8461538461538511</v>
      </c>
      <c r="BD80" s="13">
        <f>IF('Données projet'!$A$88&gt;35,BD79+BC80-BL79,IF(A80&lt;'Données projet'!$A$88,$BA$205^A80,IF(A80='Données projet'!$A$88,'Données projet'!$B$88,BD79+BC80-BL79)))</f>
        <v>194.87179487179483</v>
      </c>
      <c r="BE80" s="14">
        <f>BD80*VLOOKUP('Données projet'!$B$11,Paramètres!$A$1:$I$89,3,0)*VLOOKUP('Données projet'!$B$11,Paramètres!$A$1:$I$89,5,0)</f>
        <v>185.43999999999997</v>
      </c>
      <c r="BF80" s="14">
        <f t="shared" si="91"/>
        <v>46.530380670487169</v>
      </c>
      <c r="BG80" s="22">
        <f t="shared" si="61"/>
        <v>404.01507966776512</v>
      </c>
      <c r="BH80" s="60">
        <f t="shared" si="62"/>
        <v>697.34841300109838</v>
      </c>
      <c r="BI80" s="60">
        <f ca="1">AVERAGE(OFFSET($BH$3,0,0,'Données projet'!$E$11+1,1))-AVERAGE(OFFSET($H$3,0,0,'Données projet'!$E$11+1,1))</f>
        <v>357.083670644861</v>
      </c>
      <c r="BJ80" s="60">
        <f t="shared" si="92"/>
        <v>299.88885091109654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8.9743589743589727</v>
      </c>
      <c r="BY80" s="13">
        <f>IF('Données projet'!$A$114&gt;35,BY79+BX80-CG79,IF(A80&lt;'Données projet'!$A$114,$BV$205^A80,IF(A80='Données projet'!$A$114,'Données projet'!$B$114,BY79+BX80-CG79)))</f>
        <v>293.33333333333309</v>
      </c>
      <c r="BZ80" s="14">
        <f>BY80*VLOOKUP('Données projet'!$B$12,Paramètres!$A$1:$I$89,3,0)*VLOOKUP('Données projet'!$B$12,Paramètres!$A$1:$I$89,5,0)</f>
        <v>137.27999999999989</v>
      </c>
      <c r="CA80" s="14">
        <f t="shared" si="93"/>
        <v>35.673181961873411</v>
      </c>
      <c r="CB80" s="22">
        <f t="shared" si="64"/>
        <v>301.22679191692936</v>
      </c>
      <c r="CC80" s="60">
        <f t="shared" si="65"/>
        <v>594.56012525026267</v>
      </c>
      <c r="CD80" s="60">
        <f ca="1">AVERAGE(OFFSET($CC$3,0,0,'Données projet'!$E$12+1,1))-AVERAGE(OFFSET($H$3,0,0,'Données projet'!$E$12+1,1))</f>
        <v>245.98992992759543</v>
      </c>
      <c r="CE80" s="60">
        <f t="shared" si="94"/>
        <v>145.34368562171613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255.34079999999989</v>
      </c>
      <c r="CV80" s="14">
        <f t="shared" si="95"/>
        <v>61.728182021951895</v>
      </c>
      <c r="CW80" s="22">
        <f t="shared" si="67"/>
        <v>552.22847702156594</v>
      </c>
      <c r="CX80" s="60">
        <f t="shared" si="68"/>
        <v>845.56181035489931</v>
      </c>
      <c r="CY80" s="60">
        <f ca="1">AVERAGE(OFFSET($CX$3,0,0,'Données projet'!$E$13+1,1))-AVERAGE(OFFSET($H$3,0,0,'Données projet'!$E$13+1,1))</f>
        <v>455.50822833641354</v>
      </c>
      <c r="CZ80" s="60">
        <f t="shared" si="96"/>
        <v>261.14722581688039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263.99999999999989</v>
      </c>
      <c r="DP80" s="18">
        <f>DO80*VLOOKUP('Données projet'!$B$14,Paramètres!$A$1:$I$89,3,0)*VLOOKUP('Données projet'!$B$14,Paramètres!$A$1:$I$89,5,0)</f>
        <v>284.16959999999989</v>
      </c>
      <c r="DQ80" s="14">
        <f t="shared" si="97"/>
        <v>67.847405740313874</v>
      </c>
      <c r="DR80" s="22">
        <f t="shared" si="70"/>
        <v>613.09628499771316</v>
      </c>
      <c r="DS80" s="60">
        <f t="shared" si="71"/>
        <v>906.42961833104641</v>
      </c>
      <c r="DT80" s="60">
        <f ca="1">AVERAGE(OFFSET($DS$3,0,0,'Données projet'!$E$14+1,1))-AVERAGE(OFFSET($H$3,0,0,'Données projet'!$E$14+1,1))</f>
        <v>502.07782026233912</v>
      </c>
      <c r="DU80" s="60">
        <f t="shared" si="98"/>
        <v>285.83623046025156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6</v>
      </c>
      <c r="EJ80" s="13">
        <f>IF('Données projet'!$A$192&gt;35,EJ79+EI80-ER79,IF(A80&lt;'Données projet'!$A$192,$EG$205^A80,IF(A80='Données projet'!$A$192,'Données projet'!$B$192,EJ79+EI80-ER79)))</f>
        <v>263.99999999999989</v>
      </c>
      <c r="EK80" s="18">
        <f>EJ80*VLOOKUP('Données projet'!$B$15,Paramètres!$A$1:$I$89,3,0)*VLOOKUP('Données projet'!$B$15,Paramètres!$A$1:$I$89,5,0)</f>
        <v>238.86719999999988</v>
      </c>
      <c r="EL80" s="14">
        <f t="shared" si="99"/>
        <v>58.195735973104156</v>
      </c>
      <c r="EM80" s="22">
        <f t="shared" si="73"/>
        <v>517.38461348648957</v>
      </c>
      <c r="EN80" s="60">
        <f t="shared" si="74"/>
        <v>810.71794681982283</v>
      </c>
      <c r="EO80" s="60">
        <f ca="1">AVERAGE(OFFSET($EN$3,0,0,'Données projet'!$E$15+1,1))-AVERAGE(OFFSET($H$3,0,0,'Données projet'!$E$15+1,1))</f>
        <v>428.8489304403459</v>
      </c>
      <c r="EP80" s="60">
        <f t="shared" si="100"/>
        <v>247.01165577562966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 t="e">
        <f>N81*VLOOKUP('Données projet'!$B$9,Paramètres!$A$1:$I$89,3,0)*VLOOKUP('Données projet'!$B$9,Paramètres!$A$1:$I$89,5,0)</f>
        <v>#N/A</v>
      </c>
      <c r="P81" s="14" t="e">
        <f t="shared" si="87"/>
        <v>#N/A</v>
      </c>
      <c r="Q81" s="22" t="e">
        <f t="shared" si="54"/>
        <v>#N/A</v>
      </c>
      <c r="R81" s="60" t="e">
        <f t="shared" si="55"/>
        <v>#N/A</v>
      </c>
      <c r="S81" s="60" t="e">
        <f ca="1">AVERAGE(OFFSET($R$3,0,0,'Données projet'!$E$9+1,1))-AVERAGE(OFFSET($H$3,0,0,'Données projet'!$E$9+1,1))</f>
        <v>#N/A</v>
      </c>
      <c r="T81" s="60" t="e">
        <f t="shared" si="88"/>
        <v>#N/A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 t="e">
        <f>EXP(-LN(2)/35)*Z80+(1-EXP(-LN(2)/35))/(LN(2)/35)*V81*W81*VLOOKUP('Données projet'!$B$9,Paramètres!$A$1:$I$89,3,0)*0.475*44/12</f>
        <v>#N/A</v>
      </c>
      <c r="AA81" s="23" t="e">
        <f>EXP(-LN(2)/25)*AA80+(1-EXP(-LN(2)/25))/(LN(2)/25)*Calculateur!V81*Calculateur!X81*VLOOKUP('Données projet'!$B$9,Paramètres!$A$1:$I$89,3,0)*0.475*44/12</f>
        <v>#N/A</v>
      </c>
      <c r="AB81" s="23" t="e">
        <f>EXP(-LN(2)/2)*AB80+(1-EXP(-LN(2)/2))/(LN(2)/2)*V81*Y81*VLOOKUP('Données projet'!$B$9,Paramètres!$A$1:$I$89,3,0)*0.475*44/12</f>
        <v>#N/A</v>
      </c>
      <c r="AC81" s="24" t="e">
        <f t="shared" si="57"/>
        <v>#N/A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0" t="e">
        <f t="shared" si="59"/>
        <v>#N/A</v>
      </c>
      <c r="AN81" s="60" t="e">
        <f ca="1">AVERAGE(OFFSET($AM$3,0,0,'Données projet'!$E$10+1,1))-AVERAGE(OFFSET($H$3,0,0,'Données projet'!$E$10+1,1))</f>
        <v>#N/A</v>
      </c>
      <c r="AO81" s="60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3.8461538461538511</v>
      </c>
      <c r="BD81" s="13">
        <f>IF('Données projet'!$A$88&gt;35,BD80+BC81-BL80,IF(A81&lt;'Données projet'!$A$88,$BA$205^A81,IF(A81='Données projet'!$A$88,'Données projet'!$B$88,BD80+BC81-BL80)))</f>
        <v>198.71794871794867</v>
      </c>
      <c r="BE81" s="14">
        <f>BD81*VLOOKUP('Données projet'!$B$11,Paramètres!$A$1:$I$89,3,0)*VLOOKUP('Données projet'!$B$11,Paramètres!$A$1:$I$89,5,0)</f>
        <v>189.09999999999997</v>
      </c>
      <c r="BF81" s="14">
        <f t="shared" si="91"/>
        <v>47.340920677804583</v>
      </c>
      <c r="BG81" s="22">
        <f t="shared" si="61"/>
        <v>411.80127018050956</v>
      </c>
      <c r="BH81" s="60">
        <f t="shared" si="62"/>
        <v>705.13460351384288</v>
      </c>
      <c r="BI81" s="60">
        <f ca="1">AVERAGE(OFFSET($BH$3,0,0,'Données projet'!$E$11+1,1))-AVERAGE(OFFSET($H$3,0,0,'Données projet'!$E$11+1,1))</f>
        <v>357.083670644861</v>
      </c>
      <c r="BJ81" s="60">
        <f t="shared" si="92"/>
        <v>299.88885091109654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8.9743589743589727</v>
      </c>
      <c r="BY81" s="13">
        <f>IF('Données projet'!$A$114&gt;35,BY80+BX81-CG80,IF(A81&lt;'Données projet'!$A$114,$BV$205^A81,IF(A81='Données projet'!$A$114,'Données projet'!$B$114,BY80+BX81-CG80)))</f>
        <v>302.30769230769204</v>
      </c>
      <c r="BZ81" s="14">
        <f>BY81*VLOOKUP('Données projet'!$B$12,Paramètres!$A$1:$I$89,3,0)*VLOOKUP('Données projet'!$B$12,Paramètres!$A$1:$I$89,5,0)</f>
        <v>141.47999999999988</v>
      </c>
      <c r="CA81" s="14">
        <f t="shared" si="93"/>
        <v>36.635844927016009</v>
      </c>
      <c r="CB81" s="22">
        <f t="shared" si="64"/>
        <v>310.21842991455259</v>
      </c>
      <c r="CC81" s="60">
        <f t="shared" si="65"/>
        <v>603.5517632478859</v>
      </c>
      <c r="CD81" s="60">
        <f ca="1">AVERAGE(OFFSET($CC$3,0,0,'Données projet'!$E$12+1,1))-AVERAGE(OFFSET($H$3,0,0,'Données projet'!$E$12+1,1))</f>
        <v>245.98992992759543</v>
      </c>
      <c r="CE81" s="60">
        <f t="shared" si="94"/>
        <v>145.34368562171613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261.14399999999989</v>
      </c>
      <c r="CV81" s="14">
        <f t="shared" si="95"/>
        <v>62.966170181808813</v>
      </c>
      <c r="CW81" s="22">
        <f t="shared" si="67"/>
        <v>564.49187973331675</v>
      </c>
      <c r="CX81" s="60">
        <f t="shared" si="68"/>
        <v>857.82521306665012</v>
      </c>
      <c r="CY81" s="60">
        <f ca="1">AVERAGE(OFFSET($CX$3,0,0,'Données projet'!$E$13+1,1))-AVERAGE(OFFSET($H$3,0,0,'Données projet'!$E$13+1,1))</f>
        <v>455.50822833641354</v>
      </c>
      <c r="CZ81" s="60">
        <f t="shared" si="96"/>
        <v>261.14722581688039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269.99999999999989</v>
      </c>
      <c r="DP81" s="18">
        <f>DO81*VLOOKUP('Données projet'!$B$14,Paramètres!$A$1:$I$89,3,0)*VLOOKUP('Données projet'!$B$14,Paramètres!$A$1:$I$89,5,0)</f>
        <v>290.62799999999987</v>
      </c>
      <c r="DQ81" s="14">
        <f t="shared" si="97"/>
        <v>69.208117853196882</v>
      </c>
      <c r="DR81" s="22">
        <f t="shared" si="70"/>
        <v>626.71457192765104</v>
      </c>
      <c r="DS81" s="60">
        <f t="shared" si="71"/>
        <v>920.04790526098441</v>
      </c>
      <c r="DT81" s="60">
        <f ca="1">AVERAGE(OFFSET($DS$3,0,0,'Données projet'!$E$14+1,1))-AVERAGE(OFFSET($H$3,0,0,'Données projet'!$E$14+1,1))</f>
        <v>502.07782026233912</v>
      </c>
      <c r="DU81" s="60">
        <f t="shared" si="98"/>
        <v>285.83623046025156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6</v>
      </c>
      <c r="EJ81" s="13">
        <f>IF('Données projet'!$A$192&gt;35,EJ80+EI81-ER80,IF(A81&lt;'Données projet'!$A$192,$EG$205^A81,IF(A81='Données projet'!$A$192,'Données projet'!$B$192,EJ80+EI81-ER80)))</f>
        <v>269.99999999999989</v>
      </c>
      <c r="EK81" s="18">
        <f>EJ81*VLOOKUP('Données projet'!$B$15,Paramètres!$A$1:$I$89,3,0)*VLOOKUP('Données projet'!$B$15,Paramètres!$A$1:$I$89,5,0)</f>
        <v>244.29599999999991</v>
      </c>
      <c r="EL81" s="14">
        <f t="shared" si="99"/>
        <v>59.362879241040318</v>
      </c>
      <c r="EM81" s="22">
        <f t="shared" si="73"/>
        <v>528.87254801147833</v>
      </c>
      <c r="EN81" s="60">
        <f t="shared" si="74"/>
        <v>822.20588134481159</v>
      </c>
      <c r="EO81" s="60">
        <f ca="1">AVERAGE(OFFSET($EN$3,0,0,'Données projet'!$E$15+1,1))-AVERAGE(OFFSET($H$3,0,0,'Données projet'!$E$15+1,1))</f>
        <v>428.8489304403459</v>
      </c>
      <c r="EP81" s="60">
        <f t="shared" si="100"/>
        <v>247.01165577562966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 t="e">
        <f>N82*VLOOKUP('Données projet'!$B$9,Paramètres!$A$1:$I$89,3,0)*VLOOKUP('Données projet'!$B$9,Paramètres!$A$1:$I$89,5,0)</f>
        <v>#N/A</v>
      </c>
      <c r="P82" s="14" t="e">
        <f t="shared" si="87"/>
        <v>#N/A</v>
      </c>
      <c r="Q82" s="22" t="e">
        <f t="shared" si="54"/>
        <v>#N/A</v>
      </c>
      <c r="R82" s="60" t="e">
        <f t="shared" si="55"/>
        <v>#N/A</v>
      </c>
      <c r="S82" s="60" t="e">
        <f ca="1">AVERAGE(OFFSET($R$3,0,0,'Données projet'!$E$9+1,1))-AVERAGE(OFFSET($H$3,0,0,'Données projet'!$E$9+1,1))</f>
        <v>#N/A</v>
      </c>
      <c r="T82" s="60" t="e">
        <f t="shared" si="88"/>
        <v>#N/A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 t="e">
        <f>EXP(-LN(2)/35)*Z81+(1-EXP(-LN(2)/35))/(LN(2)/35)*V82*W82*VLOOKUP('Données projet'!$B$9,Paramètres!$A$1:$I$89,3,0)*0.475*44/12</f>
        <v>#N/A</v>
      </c>
      <c r="AA82" s="23" t="e">
        <f>EXP(-LN(2)/25)*AA81+(1-EXP(-LN(2)/25))/(LN(2)/25)*Calculateur!V82*Calculateur!X82*VLOOKUP('Données projet'!$B$9,Paramètres!$A$1:$I$89,3,0)*0.475*44/12</f>
        <v>#N/A</v>
      </c>
      <c r="AB82" s="23" t="e">
        <f>EXP(-LN(2)/2)*AB81+(1-EXP(-LN(2)/2))/(LN(2)/2)*V82*Y82*VLOOKUP('Données projet'!$B$9,Paramètres!$A$1:$I$89,3,0)*0.475*44/12</f>
        <v>#N/A</v>
      </c>
      <c r="AC82" s="24" t="e">
        <f t="shared" si="57"/>
        <v>#N/A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0" t="e">
        <f t="shared" si="59"/>
        <v>#N/A</v>
      </c>
      <c r="AN82" s="60" t="e">
        <f ca="1">AVERAGE(OFFSET($AM$3,0,0,'Données projet'!$E$10+1,1))-AVERAGE(OFFSET($H$3,0,0,'Données projet'!$E$10+1,1))</f>
        <v>#N/A</v>
      </c>
      <c r="AO82" s="60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3.8461538461538511</v>
      </c>
      <c r="BD82" s="13">
        <f>IF('Données projet'!$A$88&gt;35,BD81+BC82-BL81,IF(A82&lt;'Données projet'!$A$88,$BA$205^A82,IF(A82='Données projet'!$A$88,'Données projet'!$B$88,BD81+BC82-BL81)))</f>
        <v>202.56410256410251</v>
      </c>
      <c r="BE82" s="14">
        <f>BD82*VLOOKUP('Données projet'!$B$11,Paramètres!$A$1:$I$89,3,0)*VLOOKUP('Données projet'!$B$11,Paramètres!$A$1:$I$89,5,0)</f>
        <v>192.75999999999993</v>
      </c>
      <c r="BF82" s="14">
        <f t="shared" si="91"/>
        <v>48.149636551965187</v>
      </c>
      <c r="BG82" s="22">
        <f t="shared" si="61"/>
        <v>419.58428366133921</v>
      </c>
      <c r="BH82" s="60">
        <f t="shared" si="62"/>
        <v>712.91761699467247</v>
      </c>
      <c r="BI82" s="60">
        <f ca="1">AVERAGE(OFFSET($BH$3,0,0,'Données projet'!$E$11+1,1))-AVERAGE(OFFSET($H$3,0,0,'Données projet'!$E$11+1,1))</f>
        <v>357.083670644861</v>
      </c>
      <c r="BJ82" s="60">
        <f t="shared" si="92"/>
        <v>299.88885091109654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8.9743589743589727</v>
      </c>
      <c r="BY82" s="13">
        <f>IF('Données projet'!$A$114&gt;35,BY81+BX82-CG81,IF(A82&lt;'Données projet'!$A$114,$BV$205^A82,IF(A82='Données projet'!$A$114,'Données projet'!$B$114,BY81+BX82-CG81)))</f>
        <v>311.28205128205099</v>
      </c>
      <c r="BZ82" s="14">
        <f>BY82*VLOOKUP('Données projet'!$B$12,Paramètres!$A$1:$I$89,3,0)*VLOOKUP('Données projet'!$B$12,Paramètres!$A$1:$I$89,5,0)</f>
        <v>145.67999999999986</v>
      </c>
      <c r="CA82" s="14">
        <f t="shared" si="93"/>
        <v>37.595186663644121</v>
      </c>
      <c r="CB82" s="22">
        <f t="shared" si="64"/>
        <v>319.2042834391799</v>
      </c>
      <c r="CC82" s="60">
        <f t="shared" si="65"/>
        <v>612.53761677251327</v>
      </c>
      <c r="CD82" s="60">
        <f ca="1">AVERAGE(OFFSET($CC$3,0,0,'Données projet'!$E$12+1,1))-AVERAGE(OFFSET($H$3,0,0,'Données projet'!$E$12+1,1))</f>
        <v>245.98992992759543</v>
      </c>
      <c r="CE82" s="60">
        <f t="shared" si="94"/>
        <v>145.34368562171613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266.9471999999999</v>
      </c>
      <c r="CV82" s="14">
        <f t="shared" si="95"/>
        <v>64.200959938746379</v>
      </c>
      <c r="CW82" s="22">
        <f t="shared" si="67"/>
        <v>576.74971189331643</v>
      </c>
      <c r="CX82" s="60">
        <f t="shared" si="68"/>
        <v>870.0830452266498</v>
      </c>
      <c r="CY82" s="60">
        <f ca="1">AVERAGE(OFFSET($CX$3,0,0,'Données projet'!$E$13+1,1))-AVERAGE(OFFSET($H$3,0,0,'Données projet'!$E$13+1,1))</f>
        <v>455.50822833641354</v>
      </c>
      <c r="CZ82" s="60">
        <f t="shared" si="96"/>
        <v>261.14722581688039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275.99999999999989</v>
      </c>
      <c r="DP82" s="18">
        <f>DO82*VLOOKUP('Données projet'!$B$14,Paramètres!$A$1:$I$89,3,0)*VLOOKUP('Données projet'!$B$14,Paramètres!$A$1:$I$89,5,0)</f>
        <v>297.08639999999986</v>
      </c>
      <c r="DQ82" s="14">
        <f t="shared" si="97"/>
        <v>70.565314499829583</v>
      </c>
      <c r="DR82" s="22">
        <f t="shared" si="70"/>
        <v>640.3267360872029</v>
      </c>
      <c r="DS82" s="60">
        <f t="shared" si="71"/>
        <v>933.66006942053627</v>
      </c>
      <c r="DT82" s="60">
        <f ca="1">AVERAGE(OFFSET($DS$3,0,0,'Données projet'!$E$14+1,1))-AVERAGE(OFFSET($H$3,0,0,'Données projet'!$E$14+1,1))</f>
        <v>502.07782026233912</v>
      </c>
      <c r="DU82" s="60">
        <f t="shared" si="98"/>
        <v>285.83623046025156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6</v>
      </c>
      <c r="EJ82" s="13">
        <f>IF('Données projet'!$A$192&gt;35,EJ81+EI82-ER81,IF(A82&lt;'Données projet'!$A$192,$EG$205^A82,IF(A82='Données projet'!$A$192,'Données projet'!$B$192,EJ81+EI82-ER81)))</f>
        <v>275.99999999999989</v>
      </c>
      <c r="EK82" s="18">
        <f>EJ82*VLOOKUP('Données projet'!$B$15,Paramètres!$A$1:$I$89,3,0)*VLOOKUP('Données projet'!$B$15,Paramètres!$A$1:$I$89,5,0)</f>
        <v>249.7247999999999</v>
      </c>
      <c r="EL82" s="14">
        <f t="shared" si="99"/>
        <v>60.527007137298092</v>
      </c>
      <c r="EM82" s="22">
        <f t="shared" si="73"/>
        <v>540.35523076412733</v>
      </c>
      <c r="EN82" s="60">
        <f t="shared" si="74"/>
        <v>833.68856409746058</v>
      </c>
      <c r="EO82" s="60">
        <f ca="1">AVERAGE(OFFSET($EN$3,0,0,'Données projet'!$E$15+1,1))-AVERAGE(OFFSET($H$3,0,0,'Données projet'!$E$15+1,1))</f>
        <v>428.8489304403459</v>
      </c>
      <c r="EP82" s="60">
        <f t="shared" si="100"/>
        <v>247.01165577562966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 t="e">
        <f>N83*VLOOKUP('Données projet'!$B$9,Paramètres!$A$1:$I$89,3,0)*VLOOKUP('Données projet'!$B$9,Paramètres!$A$1:$I$89,5,0)</f>
        <v>#N/A</v>
      </c>
      <c r="P83" s="14" t="e">
        <f t="shared" si="87"/>
        <v>#N/A</v>
      </c>
      <c r="Q83" s="22" t="e">
        <f t="shared" si="54"/>
        <v>#N/A</v>
      </c>
      <c r="R83" s="60" t="e">
        <f t="shared" si="55"/>
        <v>#N/A</v>
      </c>
      <c r="S83" s="60" t="e">
        <f ca="1">AVERAGE(OFFSET($R$3,0,0,'Données projet'!$E$9+1,1))-AVERAGE(OFFSET($H$3,0,0,'Données projet'!$E$9+1,1))</f>
        <v>#N/A</v>
      </c>
      <c r="T83" s="60" t="e">
        <f t="shared" si="88"/>
        <v>#N/A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 t="e">
        <f>EXP(-LN(2)/35)*Z82+(1-EXP(-LN(2)/35))/(LN(2)/35)*V83*W83*VLOOKUP('Données projet'!$B$9,Paramètres!$A$1:$I$89,3,0)*0.475*44/12</f>
        <v>#N/A</v>
      </c>
      <c r="AA83" s="23" t="e">
        <f>EXP(-LN(2)/25)*AA82+(1-EXP(-LN(2)/25))/(LN(2)/25)*Calculateur!V83*Calculateur!X83*VLOOKUP('Données projet'!$B$9,Paramètres!$A$1:$I$89,3,0)*0.475*44/12</f>
        <v>#N/A</v>
      </c>
      <c r="AB83" s="23" t="e">
        <f>EXP(-LN(2)/2)*AB82+(1-EXP(-LN(2)/2))/(LN(2)/2)*V83*Y83*VLOOKUP('Données projet'!$B$9,Paramètres!$A$1:$I$89,3,0)*0.475*44/12</f>
        <v>#N/A</v>
      </c>
      <c r="AC83" s="24" t="e">
        <f t="shared" si="57"/>
        <v>#N/A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0" t="e">
        <f t="shared" si="59"/>
        <v>#N/A</v>
      </c>
      <c r="AN83" s="60" t="e">
        <f ca="1">AVERAGE(OFFSET($AM$3,0,0,'Données projet'!$E$10+1,1))-AVERAGE(OFFSET($H$3,0,0,'Données projet'!$E$10+1,1))</f>
        <v>#N/A</v>
      </c>
      <c r="AO83" s="60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206.41025641025641</v>
      </c>
      <c r="BB83" s="13">
        <f>VLOOKUP(A83,'Données projet'!$A$87:$I$107,9,0)</f>
        <v>3.8461538461538511</v>
      </c>
      <c r="BC83" s="13">
        <f t="array" ref="BC83">INDEX(BB:BB,MIN(IF(ISNUMBER(BB83:BB279),ROW(BB83:BB279),"")))</f>
        <v>3.8461538461538511</v>
      </c>
      <c r="BD83" s="13">
        <f>IF('Données projet'!$A$88&gt;35,BD82+BC83-BL82,IF(A83&lt;'Données projet'!$A$88,$BA$205^A83,IF(A83='Données projet'!$A$88,'Données projet'!$B$88,BD82+BC83-BL82)))</f>
        <v>206.41025641025635</v>
      </c>
      <c r="BE83" s="14">
        <f>BD83*VLOOKUP('Données projet'!$B$11,Paramètres!$A$1:$I$89,3,0)*VLOOKUP('Données projet'!$B$11,Paramètres!$A$1:$I$89,5,0)</f>
        <v>196.41999999999993</v>
      </c>
      <c r="BF83" s="14">
        <f t="shared" si="91"/>
        <v>48.956566921958114</v>
      </c>
      <c r="BG83" s="22">
        <f t="shared" si="61"/>
        <v>427.36418738907696</v>
      </c>
      <c r="BH83" s="60">
        <f t="shared" si="62"/>
        <v>720.69752072241022</v>
      </c>
      <c r="BI83" s="60">
        <f ca="1">AVERAGE(OFFSET($BH$3,0,0,'Données projet'!$E$11+1,1))-AVERAGE(OFFSET($H$3,0,0,'Données projet'!$E$11+1,1))</f>
        <v>357.083670644861</v>
      </c>
      <c r="BJ83" s="60">
        <f t="shared" si="92"/>
        <v>299.88885091109654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8.9743589743589727</v>
      </c>
      <c r="BY83" s="13">
        <f>IF('Données projet'!$A$114&gt;35,BY82+BX83-CG82,IF(A83&lt;'Données projet'!$A$114,$BV$205^A83,IF(A83='Données projet'!$A$114,'Données projet'!$B$114,BY82+BX83-CG82)))</f>
        <v>320.25641025640994</v>
      </c>
      <c r="BZ83" s="14">
        <f>BY83*VLOOKUP('Données projet'!$B$12,Paramètres!$A$1:$I$89,3,0)*VLOOKUP('Données projet'!$B$12,Paramètres!$A$1:$I$89,5,0)</f>
        <v>149.87999999999985</v>
      </c>
      <c r="CA83" s="14">
        <f t="shared" si="93"/>
        <v>38.551313920160567</v>
      </c>
      <c r="CB83" s="22">
        <f t="shared" si="64"/>
        <v>328.18453841094606</v>
      </c>
      <c r="CC83" s="60">
        <f t="shared" si="65"/>
        <v>621.51787174427932</v>
      </c>
      <c r="CD83" s="60">
        <f ca="1">AVERAGE(OFFSET($CC$3,0,0,'Données projet'!$E$12+1,1))-AVERAGE(OFFSET($H$3,0,0,'Données projet'!$E$12+1,1))</f>
        <v>245.98992992759543</v>
      </c>
      <c r="CE83" s="60">
        <f t="shared" si="94"/>
        <v>145.34368562171613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272.7503999999999</v>
      </c>
      <c r="CV83" s="14">
        <f t="shared" si="95"/>
        <v>65.432628830820633</v>
      </c>
      <c r="CW83" s="22">
        <f t="shared" si="67"/>
        <v>589.00210854701243</v>
      </c>
      <c r="CX83" s="60">
        <f t="shared" si="68"/>
        <v>882.3354418803458</v>
      </c>
      <c r="CY83" s="60">
        <f ca="1">AVERAGE(OFFSET($CX$3,0,0,'Données projet'!$E$13+1,1))-AVERAGE(OFFSET($H$3,0,0,'Données projet'!$E$13+1,1))</f>
        <v>455.50822833641354</v>
      </c>
      <c r="CZ83" s="60">
        <f t="shared" si="96"/>
        <v>261.14722581688039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281.99999999999989</v>
      </c>
      <c r="DP83" s="18">
        <f>DO83*VLOOKUP('Données projet'!$B$14,Paramètres!$A$1:$I$89,3,0)*VLOOKUP('Données projet'!$B$14,Paramètres!$A$1:$I$89,5,0)</f>
        <v>303.54479999999984</v>
      </c>
      <c r="DQ83" s="14">
        <f t="shared" si="97"/>
        <v>71.919080904752505</v>
      </c>
      <c r="DR83" s="22">
        <f t="shared" si="70"/>
        <v>653.93292590911028</v>
      </c>
      <c r="DS83" s="60">
        <f t="shared" si="71"/>
        <v>947.26625924244354</v>
      </c>
      <c r="DT83" s="60">
        <f ca="1">AVERAGE(OFFSET($DS$3,0,0,'Données projet'!$E$14+1,1))-AVERAGE(OFFSET($H$3,0,0,'Données projet'!$E$14+1,1))</f>
        <v>502.07782026233912</v>
      </c>
      <c r="DU83" s="60">
        <f t="shared" si="98"/>
        <v>285.83623046025156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282</v>
      </c>
      <c r="EH83" s="13">
        <f>VLOOKUP(A83,'Données projet'!$A$191:$I$211,9,0)</f>
        <v>6</v>
      </c>
      <c r="EI83" s="13">
        <f t="array" ref="EI83">INDEX(EH:EH,MIN(IF(ISNUMBER(EH83:EH279),ROW(EH83:EH279),"")))</f>
        <v>6</v>
      </c>
      <c r="EJ83" s="13">
        <f>IF('Données projet'!$A$192&gt;35,EJ82+EI83-ER82,IF(A83&lt;'Données projet'!$A$192,$EG$205^A83,IF(A83='Données projet'!$A$192,'Données projet'!$B$192,EJ82+EI83-ER82)))</f>
        <v>281.99999999999989</v>
      </c>
      <c r="EK83" s="18">
        <f>EJ83*VLOOKUP('Données projet'!$B$15,Paramètres!$A$1:$I$89,3,0)*VLOOKUP('Données projet'!$B$15,Paramètres!$A$1:$I$89,5,0)</f>
        <v>255.15359999999987</v>
      </c>
      <c r="EL83" s="14">
        <f t="shared" si="99"/>
        <v>61.688192762754376</v>
      </c>
      <c r="EM83" s="22">
        <f t="shared" si="73"/>
        <v>551.83278906179692</v>
      </c>
      <c r="EN83" s="60">
        <f t="shared" si="74"/>
        <v>845.16612239513029</v>
      </c>
      <c r="EO83" s="60">
        <f ca="1">AVERAGE(OFFSET($EN$3,0,0,'Données projet'!$E$15+1,1))-AVERAGE(OFFSET($H$3,0,0,'Données projet'!$E$15+1,1))</f>
        <v>428.8489304403459</v>
      </c>
      <c r="EP83" s="60">
        <f t="shared" si="100"/>
        <v>247.01165577562966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42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 t="e">
        <f>N84*VLOOKUP('Données projet'!$B$9,Paramètres!$A$1:$I$89,3,0)*VLOOKUP('Données projet'!$B$9,Paramètres!$A$1:$I$89,5,0)</f>
        <v>#N/A</v>
      </c>
      <c r="P84" s="14" t="e">
        <f t="shared" si="87"/>
        <v>#N/A</v>
      </c>
      <c r="Q84" s="22" t="e">
        <f t="shared" si="54"/>
        <v>#N/A</v>
      </c>
      <c r="R84" s="60" t="e">
        <f t="shared" si="55"/>
        <v>#N/A</v>
      </c>
      <c r="S84" s="60" t="e">
        <f ca="1">AVERAGE(OFFSET($R$3,0,0,'Données projet'!$E$9+1,1))-AVERAGE(OFFSET($H$3,0,0,'Données projet'!$E$9+1,1))</f>
        <v>#N/A</v>
      </c>
      <c r="T84" s="60" t="e">
        <f t="shared" si="88"/>
        <v>#N/A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 t="e">
        <f>EXP(-LN(2)/35)*Z83+(1-EXP(-LN(2)/35))/(LN(2)/35)*V84*W84*VLOOKUP('Données projet'!$B$9,Paramètres!$A$1:$I$89,3,0)*0.475*44/12</f>
        <v>#N/A</v>
      </c>
      <c r="AA84" s="23" t="e">
        <f>EXP(-LN(2)/25)*AA83+(1-EXP(-LN(2)/25))/(LN(2)/25)*Calculateur!V84*Calculateur!X84*VLOOKUP('Données projet'!$B$9,Paramètres!$A$1:$I$89,3,0)*0.475*44/12</f>
        <v>#N/A</v>
      </c>
      <c r="AB84" s="23" t="e">
        <f>EXP(-LN(2)/2)*AB83+(1-EXP(-LN(2)/2))/(LN(2)/2)*V84*Y84*VLOOKUP('Données projet'!$B$9,Paramètres!$A$1:$I$89,3,0)*0.475*44/12</f>
        <v>#N/A</v>
      </c>
      <c r="AC84" s="24" t="e">
        <f t="shared" si="57"/>
        <v>#N/A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0" t="e">
        <f t="shared" si="59"/>
        <v>#N/A</v>
      </c>
      <c r="AN84" s="60" t="e">
        <f ca="1">AVERAGE(OFFSET($AM$3,0,0,'Données projet'!$E$10+1,1))-AVERAGE(OFFSET($H$3,0,0,'Données projet'!$E$10+1,1))</f>
        <v>#N/A</v>
      </c>
      <c r="AO84" s="60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3.7179487179487181</v>
      </c>
      <c r="BD84" s="13">
        <f>IF('Données projet'!$A$88&gt;35,BD83+BC84-BL83,IF(A84&lt;'Données projet'!$A$88,$BA$205^A84,IF(A84='Données projet'!$A$88,'Données projet'!$B$88,BD83+BC84-BL83)))</f>
        <v>210.12820512820508</v>
      </c>
      <c r="BE84" s="14">
        <f>BD84*VLOOKUP('Données projet'!$B$11,Paramètres!$A$1:$I$89,3,0)*VLOOKUP('Données projet'!$B$11,Paramètres!$A$1:$I$89,5,0)</f>
        <v>199.95799999999994</v>
      </c>
      <c r="BF84" s="14">
        <f t="shared" si="91"/>
        <v>49.734937283774826</v>
      </c>
      <c r="BG84" s="22">
        <f t="shared" si="61"/>
        <v>434.88186576924096</v>
      </c>
      <c r="BH84" s="60">
        <f t="shared" si="62"/>
        <v>728.21519910257427</v>
      </c>
      <c r="BI84" s="60">
        <f ca="1">AVERAGE(OFFSET($BH$3,0,0,'Données projet'!$E$11+1,1))-AVERAGE(OFFSET($H$3,0,0,'Données projet'!$E$11+1,1))</f>
        <v>357.083670644861</v>
      </c>
      <c r="BJ84" s="60">
        <f t="shared" si="92"/>
        <v>299.88885091109654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8.9743589743589727</v>
      </c>
      <c r="BY84" s="13">
        <f>IF('Données projet'!$A$114&gt;35,BY83+BX84-CG83,IF(A84&lt;'Données projet'!$A$114,$BV$205^A84,IF(A84='Données projet'!$A$114,'Données projet'!$B$114,BY83+BX84-CG83)))</f>
        <v>329.23076923076889</v>
      </c>
      <c r="BZ84" s="14">
        <f>BY84*VLOOKUP('Données projet'!$B$12,Paramètres!$A$1:$I$89,3,0)*VLOOKUP('Données projet'!$B$12,Paramètres!$A$1:$I$89,5,0)</f>
        <v>154.07999999999984</v>
      </c>
      <c r="CA84" s="14">
        <f t="shared" si="93"/>
        <v>39.504327121889887</v>
      </c>
      <c r="CB84" s="22">
        <f t="shared" si="64"/>
        <v>337.15936973729123</v>
      </c>
      <c r="CC84" s="60">
        <f t="shared" si="65"/>
        <v>630.49270307062454</v>
      </c>
      <c r="CD84" s="60">
        <f ca="1">AVERAGE(OFFSET($CC$3,0,0,'Données projet'!$E$12+1,1))-AVERAGE(OFFSET($H$3,0,0,'Données projet'!$E$12+1,1))</f>
        <v>245.98992992759543</v>
      </c>
      <c r="CE84" s="60">
        <f t="shared" si="94"/>
        <v>145.34368562171613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237.54431999999991</v>
      </c>
      <c r="CV84" s="14">
        <f t="shared" si="95"/>
        <v>57.910863128487989</v>
      </c>
      <c r="CW84" s="22">
        <f t="shared" si="67"/>
        <v>514.58444394878302</v>
      </c>
      <c r="CX84" s="60">
        <f t="shared" si="68"/>
        <v>807.91777728211628</v>
      </c>
      <c r="CY84" s="60">
        <f ca="1">AVERAGE(OFFSET($CX$3,0,0,'Données projet'!$E$13+1,1))-AVERAGE(OFFSET($H$3,0,0,'Données projet'!$E$13+1,1))</f>
        <v>455.50822833641354</v>
      </c>
      <c r="CZ84" s="60">
        <f t="shared" si="96"/>
        <v>261.14722581688039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245.59999999999991</v>
      </c>
      <c r="DP84" s="18">
        <f>DO84*VLOOKUP('Données projet'!$B$14,Paramètres!$A$1:$I$89,3,0)*VLOOKUP('Données projet'!$B$14,Paramètres!$A$1:$I$89,5,0)</f>
        <v>264.36383999999987</v>
      </c>
      <c r="DQ84" s="14">
        <f t="shared" si="97"/>
        <v>63.651669282160768</v>
      </c>
      <c r="DR84" s="22">
        <f t="shared" si="70"/>
        <v>571.29367866642974</v>
      </c>
      <c r="DS84" s="60">
        <f t="shared" si="71"/>
        <v>864.627011999763</v>
      </c>
      <c r="DT84" s="60">
        <f ca="1">AVERAGE(OFFSET($DS$3,0,0,'Données projet'!$E$14+1,1))-AVERAGE(OFFSET($H$3,0,0,'Données projet'!$E$14+1,1))</f>
        <v>502.07782026233912</v>
      </c>
      <c r="DU84" s="60">
        <f t="shared" si="98"/>
        <v>285.83623046025156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5.6</v>
      </c>
      <c r="EJ84" s="13">
        <f>IF('Données projet'!$A$192&gt;35,EJ83+EI84-ER83,IF(A84&lt;'Données projet'!$A$192,$EG$205^A84,IF(A84='Données projet'!$A$192,'Données projet'!$B$192,EJ83+EI84-ER83)))</f>
        <v>245.59999999999991</v>
      </c>
      <c r="EK84" s="18">
        <f>EJ84*VLOOKUP('Données projet'!$B$15,Paramètres!$A$1:$I$89,3,0)*VLOOKUP('Données projet'!$B$15,Paramètres!$A$1:$I$89,5,0)</f>
        <v>222.21887999999993</v>
      </c>
      <c r="EL84" s="14">
        <f t="shared" si="99"/>
        <v>54.596866296848852</v>
      </c>
      <c r="EM84" s="22">
        <f t="shared" si="73"/>
        <v>482.12075813367829</v>
      </c>
      <c r="EN84" s="60">
        <f t="shared" si="74"/>
        <v>775.45409146701161</v>
      </c>
      <c r="EO84" s="60">
        <f ca="1">AVERAGE(OFFSET($EN$3,0,0,'Données projet'!$E$15+1,1))-AVERAGE(OFFSET($H$3,0,0,'Données projet'!$E$15+1,1))</f>
        <v>428.8489304403459</v>
      </c>
      <c r="EP84" s="60">
        <f t="shared" si="100"/>
        <v>247.01165577562966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 t="e">
        <f>N85*VLOOKUP('Données projet'!$B$9,Paramètres!$A$1:$I$89,3,0)*VLOOKUP('Données projet'!$B$9,Paramètres!$A$1:$I$89,5,0)</f>
        <v>#N/A</v>
      </c>
      <c r="P85" s="14" t="e">
        <f t="shared" si="87"/>
        <v>#N/A</v>
      </c>
      <c r="Q85" s="22" t="e">
        <f t="shared" si="54"/>
        <v>#N/A</v>
      </c>
      <c r="R85" s="60" t="e">
        <f t="shared" si="55"/>
        <v>#N/A</v>
      </c>
      <c r="S85" s="60" t="e">
        <f ca="1">AVERAGE(OFFSET($R$3,0,0,'Données projet'!$E$9+1,1))-AVERAGE(OFFSET($H$3,0,0,'Données projet'!$E$9+1,1))</f>
        <v>#N/A</v>
      </c>
      <c r="T85" s="60" t="e">
        <f t="shared" si="88"/>
        <v>#N/A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 t="e">
        <f>EXP(-LN(2)/35)*Z84+(1-EXP(-LN(2)/35))/(LN(2)/35)*V85*W85*VLOOKUP('Données projet'!$B$9,Paramètres!$A$1:$I$89,3,0)*0.475*44/12</f>
        <v>#N/A</v>
      </c>
      <c r="AA85" s="23" t="e">
        <f>EXP(-LN(2)/25)*AA84+(1-EXP(-LN(2)/25))/(LN(2)/25)*Calculateur!V85*Calculateur!X85*VLOOKUP('Données projet'!$B$9,Paramètres!$A$1:$I$89,3,0)*0.475*44/12</f>
        <v>#N/A</v>
      </c>
      <c r="AB85" s="23" t="e">
        <f>EXP(-LN(2)/2)*AB84+(1-EXP(-LN(2)/2))/(LN(2)/2)*V85*Y85*VLOOKUP('Données projet'!$B$9,Paramètres!$A$1:$I$89,3,0)*0.475*44/12</f>
        <v>#N/A</v>
      </c>
      <c r="AC85" s="24" t="e">
        <f t="shared" si="57"/>
        <v>#N/A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0" t="e">
        <f t="shared" si="59"/>
        <v>#N/A</v>
      </c>
      <c r="AN85" s="60" t="e">
        <f ca="1">AVERAGE(OFFSET($AM$3,0,0,'Données projet'!$E$10+1,1))-AVERAGE(OFFSET($H$3,0,0,'Données projet'!$E$10+1,1))</f>
        <v>#N/A</v>
      </c>
      <c r="AO85" s="60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3.7179487179487181</v>
      </c>
      <c r="BD85" s="13">
        <f>IF('Données projet'!$A$88&gt;35,BD84+BC85-BL84,IF(A85&lt;'Données projet'!$A$88,$BA$205^A85,IF(A85='Données projet'!$A$88,'Données projet'!$B$88,BD84+BC85-BL84)))</f>
        <v>213.84615384615381</v>
      </c>
      <c r="BE85" s="14">
        <f>BD85*VLOOKUP('Données projet'!$B$11,Paramètres!$A$1:$I$89,3,0)*VLOOKUP('Données projet'!$B$11,Paramètres!$A$1:$I$89,5,0)</f>
        <v>203.49599999999998</v>
      </c>
      <c r="BF85" s="14">
        <f t="shared" si="91"/>
        <v>50.511706115422356</v>
      </c>
      <c r="BG85" s="22">
        <f t="shared" si="61"/>
        <v>442.39675481769387</v>
      </c>
      <c r="BH85" s="60">
        <f t="shared" si="62"/>
        <v>735.73008815102719</v>
      </c>
      <c r="BI85" s="60">
        <f ca="1">AVERAGE(OFFSET($BH$3,0,0,'Données projet'!$E$11+1,1))-AVERAGE(OFFSET($H$3,0,0,'Données projet'!$E$11+1,1))</f>
        <v>357.083670644861</v>
      </c>
      <c r="BJ85" s="60">
        <f t="shared" si="92"/>
        <v>299.88885091109654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8.9743589743589727</v>
      </c>
      <c r="BY85" s="13">
        <f>IF('Données projet'!$A$114&gt;35,BY84+BX85-CG84,IF(A85&lt;'Données projet'!$A$114,$BV$205^A85,IF(A85='Données projet'!$A$114,'Données projet'!$B$114,BY84+BX85-CG84)))</f>
        <v>338.20512820512783</v>
      </c>
      <c r="BZ85" s="14">
        <f>BY85*VLOOKUP('Données projet'!$B$12,Paramètres!$A$1:$I$89,3,0)*VLOOKUP('Données projet'!$B$12,Paramètres!$A$1:$I$89,5,0)</f>
        <v>158.27999999999983</v>
      </c>
      <c r="CA85" s="14">
        <f t="shared" si="93"/>
        <v>40.454320907632543</v>
      </c>
      <c r="CB85" s="22">
        <f t="shared" si="64"/>
        <v>346.12894224745969</v>
      </c>
      <c r="CC85" s="60">
        <f t="shared" si="65"/>
        <v>639.46227558079295</v>
      </c>
      <c r="CD85" s="60">
        <f ca="1">AVERAGE(OFFSET($CC$3,0,0,'Données projet'!$E$12+1,1))-AVERAGE(OFFSET($H$3,0,0,'Données projet'!$E$12+1,1))</f>
        <v>245.98992992759543</v>
      </c>
      <c r="CE85" s="60">
        <f t="shared" si="94"/>
        <v>145.34368562171613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242.96063999999993</v>
      </c>
      <c r="CV85" s="14">
        <f t="shared" si="95"/>
        <v>59.076071351835715</v>
      </c>
      <c r="CW85" s="22">
        <f t="shared" si="67"/>
        <v>526.04727227111368</v>
      </c>
      <c r="CX85" s="60">
        <f t="shared" si="68"/>
        <v>819.38060560444706</v>
      </c>
      <c r="CY85" s="60">
        <f ca="1">AVERAGE(OFFSET($CX$3,0,0,'Données projet'!$E$13+1,1))-AVERAGE(OFFSET($H$3,0,0,'Données projet'!$E$13+1,1))</f>
        <v>455.50822833641354</v>
      </c>
      <c r="CZ85" s="60">
        <f t="shared" si="96"/>
        <v>261.14722581688039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251.1999999999999</v>
      </c>
      <c r="DP85" s="18">
        <f>DO85*VLOOKUP('Données projet'!$B$14,Paramètres!$A$1:$I$89,3,0)*VLOOKUP('Données projet'!$B$14,Paramètres!$A$1:$I$89,5,0)</f>
        <v>270.39167999999989</v>
      </c>
      <c r="DQ85" s="14">
        <f t="shared" si="97"/>
        <v>64.932386654872516</v>
      </c>
      <c r="DR85" s="22">
        <f t="shared" si="70"/>
        <v>584.02274942390272</v>
      </c>
      <c r="DS85" s="60">
        <f t="shared" si="71"/>
        <v>877.35608275723598</v>
      </c>
      <c r="DT85" s="60">
        <f ca="1">AVERAGE(OFFSET($DS$3,0,0,'Données projet'!$E$14+1,1))-AVERAGE(OFFSET($H$3,0,0,'Données projet'!$E$14+1,1))</f>
        <v>502.07782026233912</v>
      </c>
      <c r="DU85" s="60">
        <f t="shared" si="98"/>
        <v>285.83623046025156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5.6</v>
      </c>
      <c r="EJ85" s="13">
        <f>IF('Données projet'!$A$192&gt;35,EJ84+EI85-ER84,IF(A85&lt;'Données projet'!$A$192,$EG$205^A85,IF(A85='Données projet'!$A$192,'Données projet'!$B$192,EJ84+EI85-ER84)))</f>
        <v>251.1999999999999</v>
      </c>
      <c r="EK85" s="18">
        <f>EJ85*VLOOKUP('Données projet'!$B$15,Paramètres!$A$1:$I$89,3,0)*VLOOKUP('Données projet'!$B$15,Paramètres!$A$1:$I$89,5,0)</f>
        <v>227.28575999999993</v>
      </c>
      <c r="EL85" s="14">
        <f t="shared" si="99"/>
        <v>55.695394520076327</v>
      </c>
      <c r="EM85" s="22">
        <f t="shared" si="73"/>
        <v>492.85884412246605</v>
      </c>
      <c r="EN85" s="60">
        <f t="shared" si="74"/>
        <v>786.19217745579931</v>
      </c>
      <c r="EO85" s="60">
        <f ca="1">AVERAGE(OFFSET($EN$3,0,0,'Données projet'!$E$15+1,1))-AVERAGE(OFFSET($H$3,0,0,'Données projet'!$E$15+1,1))</f>
        <v>428.8489304403459</v>
      </c>
      <c r="EP85" s="60">
        <f t="shared" si="100"/>
        <v>247.01165577562966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 t="e">
        <f>N86*VLOOKUP('Données projet'!$B$9,Paramètres!$A$1:$I$89,3,0)*VLOOKUP('Données projet'!$B$9,Paramètres!$A$1:$I$89,5,0)</f>
        <v>#N/A</v>
      </c>
      <c r="P86" s="14" t="e">
        <f t="shared" si="87"/>
        <v>#N/A</v>
      </c>
      <c r="Q86" s="22" t="e">
        <f t="shared" si="54"/>
        <v>#N/A</v>
      </c>
      <c r="R86" s="60" t="e">
        <f t="shared" si="55"/>
        <v>#N/A</v>
      </c>
      <c r="S86" s="60" t="e">
        <f ca="1">AVERAGE(OFFSET($R$3,0,0,'Données projet'!$E$9+1,1))-AVERAGE(OFFSET($H$3,0,0,'Données projet'!$E$9+1,1))</f>
        <v>#N/A</v>
      </c>
      <c r="T86" s="60" t="e">
        <f t="shared" si="88"/>
        <v>#N/A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 t="e">
        <f>EXP(-LN(2)/35)*Z85+(1-EXP(-LN(2)/35))/(LN(2)/35)*V86*W86*VLOOKUP('Données projet'!$B$9,Paramètres!$A$1:$I$89,3,0)*0.475*44/12</f>
        <v>#N/A</v>
      </c>
      <c r="AA86" s="23" t="e">
        <f>EXP(-LN(2)/25)*AA85+(1-EXP(-LN(2)/25))/(LN(2)/25)*Calculateur!V86*Calculateur!X86*VLOOKUP('Données projet'!$B$9,Paramètres!$A$1:$I$89,3,0)*0.475*44/12</f>
        <v>#N/A</v>
      </c>
      <c r="AB86" s="23" t="e">
        <f>EXP(-LN(2)/2)*AB85+(1-EXP(-LN(2)/2))/(LN(2)/2)*V86*Y86*VLOOKUP('Données projet'!$B$9,Paramètres!$A$1:$I$89,3,0)*0.475*44/12</f>
        <v>#N/A</v>
      </c>
      <c r="AC86" s="24" t="e">
        <f t="shared" si="57"/>
        <v>#N/A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0" t="e">
        <f t="shared" si="59"/>
        <v>#N/A</v>
      </c>
      <c r="AN86" s="60" t="e">
        <f ca="1">AVERAGE(OFFSET($AM$3,0,0,'Données projet'!$E$10+1,1))-AVERAGE(OFFSET($H$3,0,0,'Données projet'!$E$10+1,1))</f>
        <v>#N/A</v>
      </c>
      <c r="AO86" s="60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3.7179487179487181</v>
      </c>
      <c r="BD86" s="13">
        <f>IF('Données projet'!$A$88&gt;35,BD85+BC86-BL85,IF(A86&lt;'Données projet'!$A$88,$BA$205^A86,IF(A86='Données projet'!$A$88,'Données projet'!$B$88,BD85+BC86-BL85)))</f>
        <v>217.56410256410254</v>
      </c>
      <c r="BE86" s="14">
        <f>BD86*VLOOKUP('Données projet'!$B$11,Paramètres!$A$1:$I$89,3,0)*VLOOKUP('Données projet'!$B$11,Paramètres!$A$1:$I$89,5,0)</f>
        <v>207.03399999999999</v>
      </c>
      <c r="BF86" s="14">
        <f t="shared" si="91"/>
        <v>51.286904474053166</v>
      </c>
      <c r="BG86" s="22">
        <f t="shared" si="61"/>
        <v>449.9089086256426</v>
      </c>
      <c r="BH86" s="60">
        <f t="shared" si="62"/>
        <v>743.24224195897591</v>
      </c>
      <c r="BI86" s="60">
        <f ca="1">AVERAGE(OFFSET($BH$3,0,0,'Données projet'!$E$11+1,1))-AVERAGE(OFFSET($H$3,0,0,'Données projet'!$E$11+1,1))</f>
        <v>357.083670644861</v>
      </c>
      <c r="BJ86" s="60">
        <f t="shared" si="92"/>
        <v>299.88885091109654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8.9743589743589727</v>
      </c>
      <c r="BY86" s="13">
        <f>IF('Données projet'!$A$114&gt;35,BY85+BX86-CG85,IF(A86&lt;'Données projet'!$A$114,$BV$205^A86,IF(A86='Données projet'!$A$114,'Données projet'!$B$114,BY85+BX86-CG85)))</f>
        <v>347.17948717948678</v>
      </c>
      <c r="BZ86" s="14">
        <f>BY86*VLOOKUP('Données projet'!$B$12,Paramètres!$A$1:$I$89,3,0)*VLOOKUP('Données projet'!$B$12,Paramètres!$A$1:$I$89,5,0)</f>
        <v>162.47999999999982</v>
      </c>
      <c r="CA86" s="14">
        <f t="shared" si="93"/>
        <v>41.401384607667218</v>
      </c>
      <c r="CB86" s="22">
        <f t="shared" si="64"/>
        <v>355.09341152502003</v>
      </c>
      <c r="CC86" s="60">
        <f t="shared" si="65"/>
        <v>648.42674485835335</v>
      </c>
      <c r="CD86" s="60">
        <f ca="1">AVERAGE(OFFSET($CC$3,0,0,'Données projet'!$E$12+1,1))-AVERAGE(OFFSET($H$3,0,0,'Données projet'!$E$12+1,1))</f>
        <v>245.98992992759543</v>
      </c>
      <c r="CE86" s="60">
        <f t="shared" si="94"/>
        <v>145.34368562171613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248.37695999999988</v>
      </c>
      <c r="CV86" s="14">
        <f t="shared" si="95"/>
        <v>60.238259626372319</v>
      </c>
      <c r="CW86" s="22">
        <f t="shared" si="67"/>
        <v>537.50484084926495</v>
      </c>
      <c r="CX86" s="60">
        <f t="shared" si="68"/>
        <v>830.83817418259832</v>
      </c>
      <c r="CY86" s="60">
        <f ca="1">AVERAGE(OFFSET($CX$3,0,0,'Données projet'!$E$13+1,1))-AVERAGE(OFFSET($H$3,0,0,'Données projet'!$E$13+1,1))</f>
        <v>455.50822833641354</v>
      </c>
      <c r="CZ86" s="60">
        <f t="shared" si="96"/>
        <v>261.14722581688039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256.7999999999999</v>
      </c>
      <c r="DP86" s="18">
        <f>DO86*VLOOKUP('Données projet'!$B$14,Paramètres!$A$1:$I$89,3,0)*VLOOKUP('Données projet'!$B$14,Paramètres!$A$1:$I$89,5,0)</f>
        <v>276.41951999999986</v>
      </c>
      <c r="DQ86" s="14">
        <f t="shared" si="97"/>
        <v>66.209784705913108</v>
      </c>
      <c r="DR86" s="22">
        <f t="shared" si="70"/>
        <v>596.74603902946512</v>
      </c>
      <c r="DS86" s="60">
        <f t="shared" si="71"/>
        <v>890.07937236279849</v>
      </c>
      <c r="DT86" s="60">
        <f ca="1">AVERAGE(OFFSET($DS$3,0,0,'Données projet'!$E$14+1,1))-AVERAGE(OFFSET($H$3,0,0,'Données projet'!$E$14+1,1))</f>
        <v>502.07782026233912</v>
      </c>
      <c r="DU86" s="60">
        <f t="shared" si="98"/>
        <v>285.83623046025156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5.6</v>
      </c>
      <c r="EJ86" s="13">
        <f>IF('Données projet'!$A$192&gt;35,EJ85+EI86-ER85,IF(A86&lt;'Données projet'!$A$192,$EG$205^A86,IF(A86='Données projet'!$A$192,'Données projet'!$B$192,EJ85+EI86-ER85)))</f>
        <v>256.7999999999999</v>
      </c>
      <c r="EK86" s="18">
        <f>EJ86*VLOOKUP('Données projet'!$B$15,Paramètres!$A$1:$I$89,3,0)*VLOOKUP('Données projet'!$B$15,Paramètres!$A$1:$I$89,5,0)</f>
        <v>232.35263999999989</v>
      </c>
      <c r="EL86" s="14">
        <f t="shared" si="99"/>
        <v>56.791075613550255</v>
      </c>
      <c r="EM86" s="22">
        <f t="shared" si="73"/>
        <v>503.59197136026643</v>
      </c>
      <c r="EN86" s="60">
        <f t="shared" si="74"/>
        <v>796.92530469359974</v>
      </c>
      <c r="EO86" s="60">
        <f ca="1">AVERAGE(OFFSET($EN$3,0,0,'Données projet'!$E$15+1,1))-AVERAGE(OFFSET($H$3,0,0,'Données projet'!$E$15+1,1))</f>
        <v>428.8489304403459</v>
      </c>
      <c r="EP86" s="60">
        <f t="shared" si="100"/>
        <v>247.01165577562966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 t="e">
        <f>N87*VLOOKUP('Données projet'!$B$9,Paramètres!$A$1:$I$89,3,0)*VLOOKUP('Données projet'!$B$9,Paramètres!$A$1:$I$89,5,0)</f>
        <v>#N/A</v>
      </c>
      <c r="P87" s="14" t="e">
        <f t="shared" si="87"/>
        <v>#N/A</v>
      </c>
      <c r="Q87" s="22" t="e">
        <f t="shared" si="54"/>
        <v>#N/A</v>
      </c>
      <c r="R87" s="60" t="e">
        <f t="shared" si="55"/>
        <v>#N/A</v>
      </c>
      <c r="S87" s="60" t="e">
        <f ca="1">AVERAGE(OFFSET($R$3,0,0,'Données projet'!$E$9+1,1))-AVERAGE(OFFSET($H$3,0,0,'Données projet'!$E$9+1,1))</f>
        <v>#N/A</v>
      </c>
      <c r="T87" s="60" t="e">
        <f t="shared" si="88"/>
        <v>#N/A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 t="e">
        <f>EXP(-LN(2)/35)*Z86+(1-EXP(-LN(2)/35))/(LN(2)/35)*V87*W87*VLOOKUP('Données projet'!$B$9,Paramètres!$A$1:$I$89,3,0)*0.475*44/12</f>
        <v>#N/A</v>
      </c>
      <c r="AA87" s="23" t="e">
        <f>EXP(-LN(2)/25)*AA86+(1-EXP(-LN(2)/25))/(LN(2)/25)*Calculateur!V87*Calculateur!X87*VLOOKUP('Données projet'!$B$9,Paramètres!$A$1:$I$89,3,0)*0.475*44/12</f>
        <v>#N/A</v>
      </c>
      <c r="AB87" s="23" t="e">
        <f>EXP(-LN(2)/2)*AB86+(1-EXP(-LN(2)/2))/(LN(2)/2)*V87*Y87*VLOOKUP('Données projet'!$B$9,Paramètres!$A$1:$I$89,3,0)*0.475*44/12</f>
        <v>#N/A</v>
      </c>
      <c r="AC87" s="24" t="e">
        <f t="shared" si="57"/>
        <v>#N/A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0" t="e">
        <f t="shared" si="59"/>
        <v>#N/A</v>
      </c>
      <c r="AN87" s="60" t="e">
        <f ca="1">AVERAGE(OFFSET($AM$3,0,0,'Données projet'!$E$10+1,1))-AVERAGE(OFFSET($H$3,0,0,'Données projet'!$E$10+1,1))</f>
        <v>#N/A</v>
      </c>
      <c r="AO87" s="60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3.7179487179487181</v>
      </c>
      <c r="BD87" s="13">
        <f>IF('Données projet'!$A$88&gt;35,BD86+BC87-BL86,IF(A87&lt;'Données projet'!$A$88,$BA$205^A87,IF(A87='Données projet'!$A$88,'Données projet'!$B$88,BD86+BC87-BL86)))</f>
        <v>221.28205128205127</v>
      </c>
      <c r="BE87" s="14">
        <f>BD87*VLOOKUP('Données projet'!$B$11,Paramètres!$A$1:$I$89,3,0)*VLOOKUP('Données projet'!$B$11,Paramètres!$A$1:$I$89,5,0)</f>
        <v>210.57199999999997</v>
      </c>
      <c r="BF87" s="14">
        <f t="shared" si="91"/>
        <v>52.060562294525177</v>
      </c>
      <c r="BG87" s="22">
        <f t="shared" si="61"/>
        <v>457.41837932963125</v>
      </c>
      <c r="BH87" s="60">
        <f t="shared" si="62"/>
        <v>750.75171266296456</v>
      </c>
      <c r="BI87" s="60">
        <f ca="1">AVERAGE(OFFSET($BH$3,0,0,'Données projet'!$E$11+1,1))-AVERAGE(OFFSET($H$3,0,0,'Données projet'!$E$11+1,1))</f>
        <v>357.083670644861</v>
      </c>
      <c r="BJ87" s="60">
        <f t="shared" si="92"/>
        <v>299.88885091109654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8.9743589743589727</v>
      </c>
      <c r="BY87" s="13">
        <f>IF('Données projet'!$A$114&gt;35,BY86+BX87-CG86,IF(A87&lt;'Données projet'!$A$114,$BV$205^A87,IF(A87='Données projet'!$A$114,'Données projet'!$B$114,BY86+BX87-CG86)))</f>
        <v>356.15384615384573</v>
      </c>
      <c r="BZ87" s="14">
        <f>BY87*VLOOKUP('Données projet'!$B$12,Paramètres!$A$1:$I$89,3,0)*VLOOKUP('Données projet'!$B$12,Paramètres!$A$1:$I$89,5,0)</f>
        <v>166.67999999999981</v>
      </c>
      <c r="CA87" s="14">
        <f t="shared" si="93"/>
        <v>42.345602670937915</v>
      </c>
      <c r="CB87" s="22">
        <f t="shared" si="64"/>
        <v>364.05292465188319</v>
      </c>
      <c r="CC87" s="60">
        <f t="shared" si="65"/>
        <v>657.3862579852165</v>
      </c>
      <c r="CD87" s="60">
        <f ca="1">AVERAGE(OFFSET($CC$3,0,0,'Données projet'!$E$12+1,1))-AVERAGE(OFFSET($H$3,0,0,'Données projet'!$E$12+1,1))</f>
        <v>245.98992992759543</v>
      </c>
      <c r="CE87" s="60">
        <f t="shared" si="94"/>
        <v>145.34368562171613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253.79327999999995</v>
      </c>
      <c r="CV87" s="14">
        <f t="shared" si="95"/>
        <v>61.39750139179521</v>
      </c>
      <c r="CW87" s="22">
        <f t="shared" si="67"/>
        <v>548.95727759070985</v>
      </c>
      <c r="CX87" s="60">
        <f t="shared" si="68"/>
        <v>842.29061092404322</v>
      </c>
      <c r="CY87" s="60">
        <f ca="1">AVERAGE(OFFSET($CX$3,0,0,'Données projet'!$E$13+1,1))-AVERAGE(OFFSET($H$3,0,0,'Données projet'!$E$13+1,1))</f>
        <v>455.50822833641354</v>
      </c>
      <c r="CZ87" s="60">
        <f t="shared" si="96"/>
        <v>261.14722581688039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262.39999999999992</v>
      </c>
      <c r="DP87" s="18">
        <f>DO87*VLOOKUP('Données projet'!$B$14,Paramètres!$A$1:$I$89,3,0)*VLOOKUP('Données projet'!$B$14,Paramètres!$A$1:$I$89,5,0)</f>
        <v>282.44735999999989</v>
      </c>
      <c r="DQ87" s="14">
        <f t="shared" si="97"/>
        <v>67.48394415518699</v>
      </c>
      <c r="DR87" s="22">
        <f t="shared" si="70"/>
        <v>609.46368807028375</v>
      </c>
      <c r="DS87" s="60">
        <f t="shared" si="71"/>
        <v>902.79702140361701</v>
      </c>
      <c r="DT87" s="60">
        <f ca="1">AVERAGE(OFFSET($DS$3,0,0,'Données projet'!$E$14+1,1))-AVERAGE(OFFSET($H$3,0,0,'Données projet'!$E$14+1,1))</f>
        <v>502.07782026233912</v>
      </c>
      <c r="DU87" s="60">
        <f t="shared" si="98"/>
        <v>285.83623046025156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5.6</v>
      </c>
      <c r="EJ87" s="13">
        <f>IF('Données projet'!$A$192&gt;35,EJ86+EI87-ER86,IF(A87&lt;'Données projet'!$A$192,$EG$205^A87,IF(A87='Données projet'!$A$192,'Données projet'!$B$192,EJ86+EI87-ER86)))</f>
        <v>262.39999999999992</v>
      </c>
      <c r="EK87" s="18">
        <f>EJ87*VLOOKUP('Données projet'!$B$15,Paramètres!$A$1:$I$89,3,0)*VLOOKUP('Données projet'!$B$15,Paramètres!$A$1:$I$89,5,0)</f>
        <v>237.41951999999992</v>
      </c>
      <c r="EL87" s="14">
        <f t="shared" si="99"/>
        <v>57.883978814320919</v>
      </c>
      <c r="EM87" s="22">
        <f t="shared" si="73"/>
        <v>514.32026043494204</v>
      </c>
      <c r="EN87" s="60">
        <f t="shared" si="74"/>
        <v>807.65359376827541</v>
      </c>
      <c r="EO87" s="60">
        <f ca="1">AVERAGE(OFFSET($EN$3,0,0,'Données projet'!$E$15+1,1))-AVERAGE(OFFSET($H$3,0,0,'Données projet'!$E$15+1,1))</f>
        <v>428.8489304403459</v>
      </c>
      <c r="EP87" s="60">
        <f t="shared" si="100"/>
        <v>247.01165577562966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 t="e">
        <f>N88*VLOOKUP('Données projet'!$B$9,Paramètres!$A$1:$I$89,3,0)*VLOOKUP('Données projet'!$B$9,Paramètres!$A$1:$I$89,5,0)</f>
        <v>#N/A</v>
      </c>
      <c r="P88" s="14" t="e">
        <f t="shared" si="87"/>
        <v>#N/A</v>
      </c>
      <c r="Q88" s="22" t="e">
        <f t="shared" si="54"/>
        <v>#N/A</v>
      </c>
      <c r="R88" s="60" t="e">
        <f t="shared" si="55"/>
        <v>#N/A</v>
      </c>
      <c r="S88" s="60" t="e">
        <f ca="1">AVERAGE(OFFSET($R$3,0,0,'Données projet'!$E$9+1,1))-AVERAGE(OFFSET($H$3,0,0,'Données projet'!$E$9+1,1))</f>
        <v>#N/A</v>
      </c>
      <c r="T88" s="60" t="e">
        <f t="shared" si="88"/>
        <v>#N/A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 t="e">
        <f>EXP(-LN(2)/35)*Z87+(1-EXP(-LN(2)/35))/(LN(2)/35)*V88*W88*VLOOKUP('Données projet'!$B$9,Paramètres!$A$1:$I$89,3,0)*0.475*44/12</f>
        <v>#N/A</v>
      </c>
      <c r="AA88" s="23" t="e">
        <f>EXP(-LN(2)/25)*AA87+(1-EXP(-LN(2)/25))/(LN(2)/25)*Calculateur!V88*Calculateur!X88*VLOOKUP('Données projet'!$B$9,Paramètres!$A$1:$I$89,3,0)*0.475*44/12</f>
        <v>#N/A</v>
      </c>
      <c r="AB88" s="23" t="e">
        <f>EXP(-LN(2)/2)*AB87+(1-EXP(-LN(2)/2))/(LN(2)/2)*V88*Y88*VLOOKUP('Données projet'!$B$9,Paramètres!$A$1:$I$89,3,0)*0.475*44/12</f>
        <v>#N/A</v>
      </c>
      <c r="AC88" s="24" t="e">
        <f t="shared" si="57"/>
        <v>#N/A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0" t="e">
        <f t="shared" si="59"/>
        <v>#N/A</v>
      </c>
      <c r="AN88" s="60" t="e">
        <f ca="1">AVERAGE(OFFSET($AM$3,0,0,'Données projet'!$E$10+1,1))-AVERAGE(OFFSET($H$3,0,0,'Données projet'!$E$10+1,1))</f>
        <v>#N/A</v>
      </c>
      <c r="AO88" s="60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225</v>
      </c>
      <c r="BB88" s="13">
        <f>VLOOKUP(A88,'Données projet'!$A$87:$I$107,9,0)</f>
        <v>3.7179487179487181</v>
      </c>
      <c r="BC88" s="13">
        <f t="array" ref="BC88">INDEX(BB:BB,MIN(IF(ISNUMBER(BB88:BB284),ROW(BB88:BB284),"")))</f>
        <v>3.7179487179487181</v>
      </c>
      <c r="BD88" s="13">
        <f>IF('Données projet'!$A$88&gt;35,BD87+BC88-BL87,IF(A88&lt;'Données projet'!$A$88,$BA$205^A88,IF(A88='Données projet'!$A$88,'Données projet'!$B$88,BD87+BC88-BL87)))</f>
        <v>225</v>
      </c>
      <c r="BE88" s="14">
        <f>BD88*VLOOKUP('Données projet'!$B$11,Paramètres!$A$1:$I$89,3,0)*VLOOKUP('Données projet'!$B$11,Paramètres!$A$1:$I$89,5,0)</f>
        <v>214.11</v>
      </c>
      <c r="BF88" s="14">
        <f t="shared" si="91"/>
        <v>52.832708448119902</v>
      </c>
      <c r="BG88" s="22">
        <f t="shared" si="61"/>
        <v>464.92521721380876</v>
      </c>
      <c r="BH88" s="60">
        <f t="shared" si="62"/>
        <v>758.25855054714202</v>
      </c>
      <c r="BI88" s="60">
        <f ca="1">AVERAGE(OFFSET($BH$3,0,0,'Données projet'!$E$11+1,1))-AVERAGE(OFFSET($H$3,0,0,'Données projet'!$E$11+1,1))</f>
        <v>357.083670644861</v>
      </c>
      <c r="BJ88" s="60">
        <f t="shared" si="92"/>
        <v>299.88885091109654</v>
      </c>
      <c r="BK88" s="16">
        <f>IF(ISNA(VLOOKUP(A88,'Données projet'!$A$87:$I$107,3,0)),0,VLOOKUP(A88,'Données projet'!$A$87:$I$107,3,0))</f>
        <v>6</v>
      </c>
      <c r="BL88" s="16">
        <f>IF(ISNA(VLOOKUP(A88,'Données projet'!$A$87:$I$107,4,0)),0,VLOOKUP(A88,'Données projet'!$A$87:$I$107,4,0))</f>
        <v>25.641025641025639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8.9743589743589727</v>
      </c>
      <c r="BY88" s="13">
        <f>IF('Données projet'!$A$114&gt;35,BY87+BX88-CG87,IF(A88&lt;'Données projet'!$A$114,$BV$205^A88,IF(A88='Données projet'!$A$114,'Données projet'!$B$114,BY87+BX88-CG87)))</f>
        <v>365.12820512820468</v>
      </c>
      <c r="BZ88" s="14">
        <f>BY88*VLOOKUP('Données projet'!$B$12,Paramètres!$A$1:$I$89,3,0)*VLOOKUP('Données projet'!$B$12,Paramètres!$A$1:$I$89,5,0)</f>
        <v>170.8799999999998</v>
      </c>
      <c r="CA88" s="14">
        <f t="shared" si="93"/>
        <v>43.287055047972629</v>
      </c>
      <c r="CB88" s="22">
        <f t="shared" si="64"/>
        <v>373.00762087521866</v>
      </c>
      <c r="CC88" s="60">
        <f t="shared" si="65"/>
        <v>666.34095420855192</v>
      </c>
      <c r="CD88" s="60">
        <f ca="1">AVERAGE(OFFSET($CC$3,0,0,'Données projet'!$E$12+1,1))-AVERAGE(OFFSET($H$3,0,0,'Données projet'!$E$12+1,1))</f>
        <v>245.98992992759543</v>
      </c>
      <c r="CE88" s="60">
        <f t="shared" si="94"/>
        <v>145.34368562171613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259.20959999999997</v>
      </c>
      <c r="CV88" s="14">
        <f t="shared" si="95"/>
        <v>62.553866774106702</v>
      </c>
      <c r="CW88" s="22">
        <f t="shared" si="67"/>
        <v>560.40470463156907</v>
      </c>
      <c r="CX88" s="60">
        <f t="shared" si="68"/>
        <v>853.73803796490233</v>
      </c>
      <c r="CY88" s="60">
        <f ca="1">AVERAGE(OFFSET($CX$3,0,0,'Données projet'!$E$13+1,1))-AVERAGE(OFFSET($H$3,0,0,'Données projet'!$E$13+1,1))</f>
        <v>455.50822833641354</v>
      </c>
      <c r="CZ88" s="60">
        <f t="shared" si="96"/>
        <v>261.14722581688039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267.99999999999994</v>
      </c>
      <c r="DP88" s="18">
        <f>DO88*VLOOKUP('Données projet'!$B$14,Paramètres!$A$1:$I$89,3,0)*VLOOKUP('Données projet'!$B$14,Paramètres!$A$1:$I$89,5,0)</f>
        <v>288.47519999999997</v>
      </c>
      <c r="DQ88" s="14">
        <f t="shared" si="97"/>
        <v>68.754942080410842</v>
      </c>
      <c r="DR88" s="22">
        <f t="shared" si="70"/>
        <v>622.17583079004874</v>
      </c>
      <c r="DS88" s="60">
        <f t="shared" si="71"/>
        <v>915.50916412338211</v>
      </c>
      <c r="DT88" s="60">
        <f ca="1">AVERAGE(OFFSET($DS$3,0,0,'Données projet'!$E$14+1,1))-AVERAGE(OFFSET($H$3,0,0,'Données projet'!$E$14+1,1))</f>
        <v>502.07782026233912</v>
      </c>
      <c r="DU88" s="60">
        <f t="shared" si="98"/>
        <v>285.83623046025156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5.6</v>
      </c>
      <c r="EJ88" s="13">
        <f>IF('Données projet'!$A$192&gt;35,EJ87+EI88-ER87,IF(A88&lt;'Données projet'!$A$192,$EG$205^A88,IF(A88='Données projet'!$A$192,'Données projet'!$B$192,EJ87+EI88-ER87)))</f>
        <v>267.99999999999994</v>
      </c>
      <c r="EK88" s="18">
        <f>EJ88*VLOOKUP('Données projet'!$B$15,Paramètres!$A$1:$I$89,3,0)*VLOOKUP('Données projet'!$B$15,Paramètres!$A$1:$I$89,5,0)</f>
        <v>242.48639999999995</v>
      </c>
      <c r="EL88" s="14">
        <f t="shared" si="99"/>
        <v>58.974170235372419</v>
      </c>
      <c r="EM88" s="22">
        <f t="shared" si="73"/>
        <v>525.04382649327351</v>
      </c>
      <c r="EN88" s="60">
        <f t="shared" si="74"/>
        <v>818.37715982660688</v>
      </c>
      <c r="EO88" s="60">
        <f ca="1">AVERAGE(OFFSET($EN$3,0,0,'Données projet'!$E$15+1,1))-AVERAGE(OFFSET($H$3,0,0,'Données projet'!$E$15+1,1))</f>
        <v>428.8489304403459</v>
      </c>
      <c r="EP88" s="60">
        <f t="shared" si="100"/>
        <v>247.01165577562966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 t="e">
        <f>N89*VLOOKUP('Données projet'!$B$9,Paramètres!$A$1:$I$89,3,0)*VLOOKUP('Données projet'!$B$9,Paramètres!$A$1:$I$89,5,0)</f>
        <v>#N/A</v>
      </c>
      <c r="P89" s="14" t="e">
        <f t="shared" si="87"/>
        <v>#N/A</v>
      </c>
      <c r="Q89" s="22" t="e">
        <f t="shared" si="54"/>
        <v>#N/A</v>
      </c>
      <c r="R89" s="60" t="e">
        <f t="shared" si="55"/>
        <v>#N/A</v>
      </c>
      <c r="S89" s="60" t="e">
        <f ca="1">AVERAGE(OFFSET($R$3,0,0,'Données projet'!$E$9+1,1))-AVERAGE(OFFSET($H$3,0,0,'Données projet'!$E$9+1,1))</f>
        <v>#N/A</v>
      </c>
      <c r="T89" s="60" t="e">
        <f t="shared" si="88"/>
        <v>#N/A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 t="e">
        <f>EXP(-LN(2)/35)*Z88+(1-EXP(-LN(2)/35))/(LN(2)/35)*V89*W89*VLOOKUP('Données projet'!$B$9,Paramètres!$A$1:$I$89,3,0)*0.475*44/12</f>
        <v>#N/A</v>
      </c>
      <c r="AA89" s="23" t="e">
        <f>EXP(-LN(2)/25)*AA88+(1-EXP(-LN(2)/25))/(LN(2)/25)*Calculateur!V89*Calculateur!X89*VLOOKUP('Données projet'!$B$9,Paramètres!$A$1:$I$89,3,0)*0.475*44/12</f>
        <v>#N/A</v>
      </c>
      <c r="AB89" s="23" t="e">
        <f>EXP(-LN(2)/2)*AB88+(1-EXP(-LN(2)/2))/(LN(2)/2)*V89*Y89*VLOOKUP('Données projet'!$B$9,Paramètres!$A$1:$I$89,3,0)*0.475*44/12</f>
        <v>#N/A</v>
      </c>
      <c r="AC89" s="24" t="e">
        <f t="shared" si="57"/>
        <v>#N/A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0" t="e">
        <f t="shared" si="59"/>
        <v>#N/A</v>
      </c>
      <c r="AN89" s="60" t="e">
        <f ca="1">AVERAGE(OFFSET($AM$3,0,0,'Données projet'!$E$10+1,1))-AVERAGE(OFFSET($H$3,0,0,'Données projet'!$E$10+1,1))</f>
        <v>#N/A</v>
      </c>
      <c r="AO89" s="60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3.5897435897435854</v>
      </c>
      <c r="BD89" s="13">
        <f>IF('Données projet'!$A$88&gt;35,BD88+BC89-BL88,IF(A89&lt;'Données projet'!$A$88,$BA$205^A89,IF(A89='Données projet'!$A$88,'Données projet'!$B$88,BD88+BC89-BL88)))</f>
        <v>202.94871794871796</v>
      </c>
      <c r="BE89" s="14">
        <f>BD89*VLOOKUP('Données projet'!$B$11,Paramètres!$A$1:$I$89,3,0)*VLOOKUP('Données projet'!$B$11,Paramètres!$A$1:$I$89,5,0)</f>
        <v>193.126</v>
      </c>
      <c r="BF89" s="14">
        <f t="shared" si="91"/>
        <v>48.230409312753999</v>
      </c>
      <c r="BG89" s="22">
        <f t="shared" si="61"/>
        <v>420.3624128863799</v>
      </c>
      <c r="BH89" s="60">
        <f t="shared" si="62"/>
        <v>713.69574621971321</v>
      </c>
      <c r="BI89" s="60">
        <f ca="1">AVERAGE(OFFSET($BH$3,0,0,'Données projet'!$E$11+1,1))-AVERAGE(OFFSET($H$3,0,0,'Données projet'!$E$11+1,1))</f>
        <v>357.083670644861</v>
      </c>
      <c r="BJ89" s="60">
        <f t="shared" si="92"/>
        <v>299.88885091109654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8.9743589743589727</v>
      </c>
      <c r="BY89" s="13">
        <f>IF('Données projet'!$A$114&gt;35,BY88+BX89-CG88,IF(A89&lt;'Données projet'!$A$114,$BV$205^A89,IF(A89='Données projet'!$A$114,'Données projet'!$B$114,BY88+BX89-CG88)))</f>
        <v>374.10256410256363</v>
      </c>
      <c r="BZ89" s="14">
        <f>BY89*VLOOKUP('Données projet'!$B$12,Paramètres!$A$1:$I$89,3,0)*VLOOKUP('Données projet'!$B$12,Paramètres!$A$1:$I$89,5,0)</f>
        <v>175.07999999999976</v>
      </c>
      <c r="CA89" s="14">
        <f t="shared" si="93"/>
        <v>44.225817535095111</v>
      </c>
      <c r="CB89" s="22">
        <f t="shared" si="64"/>
        <v>381.95763220695682</v>
      </c>
      <c r="CC89" s="60">
        <f t="shared" si="65"/>
        <v>675.29096554029013</v>
      </c>
      <c r="CD89" s="60">
        <f ca="1">AVERAGE(OFFSET($CC$3,0,0,'Données projet'!$E$12+1,1))-AVERAGE(OFFSET($H$3,0,0,'Données projet'!$E$12+1,1))</f>
        <v>245.98992992759543</v>
      </c>
      <c r="CE89" s="60">
        <f t="shared" si="94"/>
        <v>145.34368562171613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264.62591999999995</v>
      </c>
      <c r="CV89" s="14">
        <f t="shared" si="95"/>
        <v>63.707422801198604</v>
      </c>
      <c r="CW89" s="22">
        <f t="shared" si="67"/>
        <v>571.84723871208746</v>
      </c>
      <c r="CX89" s="60">
        <f t="shared" si="68"/>
        <v>865.18057204542083</v>
      </c>
      <c r="CY89" s="60">
        <f ca="1">AVERAGE(OFFSET($CX$3,0,0,'Données projet'!$E$13+1,1))-AVERAGE(OFFSET($H$3,0,0,'Données projet'!$E$13+1,1))</f>
        <v>455.50822833641354</v>
      </c>
      <c r="CZ89" s="60">
        <f t="shared" si="96"/>
        <v>261.14722581688039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273.59999999999997</v>
      </c>
      <c r="DP89" s="18">
        <f>DO89*VLOOKUP('Données projet'!$B$14,Paramètres!$A$1:$I$89,3,0)*VLOOKUP('Données projet'!$B$14,Paramètres!$A$1:$I$89,5,0)</f>
        <v>294.50303999999994</v>
      </c>
      <c r="DQ89" s="14">
        <f t="shared" si="97"/>
        <v>70.022852154069838</v>
      </c>
      <c r="DR89" s="22">
        <f t="shared" si="70"/>
        <v>634.88259550167152</v>
      </c>
      <c r="DS89" s="60">
        <f t="shared" si="71"/>
        <v>928.21592883500489</v>
      </c>
      <c r="DT89" s="60">
        <f ca="1">AVERAGE(OFFSET($DS$3,0,0,'Données projet'!$E$14+1,1))-AVERAGE(OFFSET($H$3,0,0,'Données projet'!$E$14+1,1))</f>
        <v>502.07782026233912</v>
      </c>
      <c r="DU89" s="60">
        <f t="shared" si="98"/>
        <v>285.83623046025156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5.6</v>
      </c>
      <c r="EJ89" s="13">
        <f>IF('Données projet'!$A$192&gt;35,EJ88+EI89-ER88,IF(A89&lt;'Données projet'!$A$192,$EG$205^A89,IF(A89='Données projet'!$A$192,'Données projet'!$B$192,EJ88+EI89-ER88)))</f>
        <v>273.59999999999997</v>
      </c>
      <c r="EK89" s="18">
        <f>EJ89*VLOOKUP('Données projet'!$B$15,Paramètres!$A$1:$I$89,3,0)*VLOOKUP('Données projet'!$B$15,Paramètres!$A$1:$I$89,5,0)</f>
        <v>247.55327999999994</v>
      </c>
      <c r="EL89" s="14">
        <f t="shared" si="99"/>
        <v>60.061713068870255</v>
      </c>
      <c r="EM89" s="22">
        <f t="shared" si="73"/>
        <v>535.76277959494894</v>
      </c>
      <c r="EN89" s="60">
        <f t="shared" si="74"/>
        <v>829.09611292828231</v>
      </c>
      <c r="EO89" s="60">
        <f ca="1">AVERAGE(OFFSET($EN$3,0,0,'Données projet'!$E$15+1,1))-AVERAGE(OFFSET($H$3,0,0,'Données projet'!$E$15+1,1))</f>
        <v>428.8489304403459</v>
      </c>
      <c r="EP89" s="60">
        <f t="shared" si="100"/>
        <v>247.01165577562966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 t="e">
        <f>N90*VLOOKUP('Données projet'!$B$9,Paramètres!$A$1:$I$89,3,0)*VLOOKUP('Données projet'!$B$9,Paramètres!$A$1:$I$89,5,0)</f>
        <v>#N/A</v>
      </c>
      <c r="P90" s="14" t="e">
        <f t="shared" si="87"/>
        <v>#N/A</v>
      </c>
      <c r="Q90" s="22" t="e">
        <f t="shared" si="54"/>
        <v>#N/A</v>
      </c>
      <c r="R90" s="60" t="e">
        <f t="shared" si="55"/>
        <v>#N/A</v>
      </c>
      <c r="S90" s="60" t="e">
        <f ca="1">AVERAGE(OFFSET($R$3,0,0,'Données projet'!$E$9+1,1))-AVERAGE(OFFSET($H$3,0,0,'Données projet'!$E$9+1,1))</f>
        <v>#N/A</v>
      </c>
      <c r="T90" s="60" t="e">
        <f t="shared" si="88"/>
        <v>#N/A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 t="e">
        <f>EXP(-LN(2)/35)*Z89+(1-EXP(-LN(2)/35))/(LN(2)/35)*V90*W90*VLOOKUP('Données projet'!$B$9,Paramètres!$A$1:$I$89,3,0)*0.475*44/12</f>
        <v>#N/A</v>
      </c>
      <c r="AA90" s="23" t="e">
        <f>EXP(-LN(2)/25)*AA89+(1-EXP(-LN(2)/25))/(LN(2)/25)*Calculateur!V90*Calculateur!X90*VLOOKUP('Données projet'!$B$9,Paramètres!$A$1:$I$89,3,0)*0.475*44/12</f>
        <v>#N/A</v>
      </c>
      <c r="AB90" s="23" t="e">
        <f>EXP(-LN(2)/2)*AB89+(1-EXP(-LN(2)/2))/(LN(2)/2)*V90*Y90*VLOOKUP('Données projet'!$B$9,Paramètres!$A$1:$I$89,3,0)*0.475*44/12</f>
        <v>#N/A</v>
      </c>
      <c r="AC90" s="24" t="e">
        <f t="shared" si="57"/>
        <v>#N/A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0" t="e">
        <f t="shared" si="59"/>
        <v>#N/A</v>
      </c>
      <c r="AN90" s="60" t="e">
        <f ca="1">AVERAGE(OFFSET($AM$3,0,0,'Données projet'!$E$10+1,1))-AVERAGE(OFFSET($H$3,0,0,'Données projet'!$E$10+1,1))</f>
        <v>#N/A</v>
      </c>
      <c r="AO90" s="60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3.5897435897435854</v>
      </c>
      <c r="BD90" s="13">
        <f>IF('Données projet'!$A$88&gt;35,BD89+BC90-BL89,IF(A90&lt;'Données projet'!$A$88,$BA$205^A90,IF(A90='Données projet'!$A$88,'Données projet'!$B$88,BD89+BC90-BL89)))</f>
        <v>206.53846153846155</v>
      </c>
      <c r="BE90" s="14">
        <f>BD90*VLOOKUP('Données projet'!$B$11,Paramètres!$A$1:$I$89,3,0)*VLOOKUP('Données projet'!$B$11,Paramètres!$A$1:$I$89,5,0)</f>
        <v>196.542</v>
      </c>
      <c r="BF90" s="14">
        <f t="shared" si="91"/>
        <v>48.983434287893736</v>
      </c>
      <c r="BG90" s="22">
        <f t="shared" si="61"/>
        <v>427.62346471808155</v>
      </c>
      <c r="BH90" s="60">
        <f t="shared" si="62"/>
        <v>720.95679805141481</v>
      </c>
      <c r="BI90" s="60">
        <f ca="1">AVERAGE(OFFSET($BH$3,0,0,'Données projet'!$E$11+1,1))-AVERAGE(OFFSET($H$3,0,0,'Données projet'!$E$11+1,1))</f>
        <v>357.083670644861</v>
      </c>
      <c r="BJ90" s="60">
        <f t="shared" si="92"/>
        <v>299.88885091109654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>
        <f>VLOOKUP(A90,'Données projet'!$A$113:$I$133,2,0)</f>
        <v>383.07692307692304</v>
      </c>
      <c r="BW90" s="13">
        <f>VLOOKUP(A90,'Données projet'!$A$113:$I$133,9,0)</f>
        <v>8.9743589743589727</v>
      </c>
      <c r="BX90" s="13">
        <f t="array" ref="BX90">INDEX(BW:BW,MIN(IF(ISNUMBER(BW90:BW286),ROW(BW90:BW286),"")))</f>
        <v>8.9743589743589727</v>
      </c>
      <c r="BY90" s="13">
        <f>IF('Données projet'!$A$114&gt;35,BY89+BX90-CG89,IF(A90&lt;'Données projet'!$A$114,$BV$205^A90,IF(A90='Données projet'!$A$114,'Données projet'!$B$114,BY89+BX90-CG89)))</f>
        <v>383.07692307692258</v>
      </c>
      <c r="BZ90" s="14">
        <f>BY90*VLOOKUP('Données projet'!$B$12,Paramètres!$A$1:$I$89,3,0)*VLOOKUP('Données projet'!$B$12,Paramètres!$A$1:$I$89,5,0)</f>
        <v>179.27999999999975</v>
      </c>
      <c r="CA90" s="14">
        <f t="shared" si="93"/>
        <v>45.161962084677604</v>
      </c>
      <c r="CB90" s="22">
        <f t="shared" si="64"/>
        <v>390.90308396414639</v>
      </c>
      <c r="CC90" s="60">
        <f t="shared" si="65"/>
        <v>684.23641729747965</v>
      </c>
      <c r="CD90" s="60">
        <f ca="1">AVERAGE(OFFSET($CC$3,0,0,'Données projet'!$E$12+1,1))-AVERAGE(OFFSET($H$3,0,0,'Données projet'!$E$12+1,1))</f>
        <v>245.98992992759543</v>
      </c>
      <c r="CE90" s="60">
        <f t="shared" si="94"/>
        <v>145.34368562171613</v>
      </c>
      <c r="CF90" s="16">
        <f>IF(ISNA(VLOOKUP(A90,'Données projet'!$A$113:$I$133,3,0)),0,VLOOKUP(A90,'Données projet'!$A$113:$I$133,3,0))</f>
        <v>4</v>
      </c>
      <c r="CG90" s="16">
        <f>IF(ISNA(VLOOKUP(A90,'Données projet'!$A$113:$I$133,4,0)),0,VLOOKUP(A90,'Données projet'!$A$113:$I$133,4,0))</f>
        <v>83.076923076923038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270.04223999999999</v>
      </c>
      <c r="CV90" s="14">
        <f t="shared" si="95"/>
        <v>64.858233600288145</v>
      </c>
      <c r="CW90" s="22">
        <f t="shared" si="67"/>
        <v>583.28499152050188</v>
      </c>
      <c r="CX90" s="60">
        <f t="shared" si="68"/>
        <v>876.61832485383525</v>
      </c>
      <c r="CY90" s="60">
        <f ca="1">AVERAGE(OFFSET($CX$3,0,0,'Données projet'!$E$13+1,1))-AVERAGE(OFFSET($H$3,0,0,'Données projet'!$E$13+1,1))</f>
        <v>455.50822833641354</v>
      </c>
      <c r="CZ90" s="60">
        <f t="shared" si="96"/>
        <v>261.14722581688039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279.2</v>
      </c>
      <c r="DP90" s="18">
        <f>DO90*VLOOKUP('Données projet'!$B$14,Paramètres!$A$1:$I$89,3,0)*VLOOKUP('Données projet'!$B$14,Paramètres!$A$1:$I$89,5,0)</f>
        <v>300.53087999999997</v>
      </c>
      <c r="DQ90" s="14">
        <f t="shared" si="97"/>
        <v>71.287744860425462</v>
      </c>
      <c r="DR90" s="22">
        <f t="shared" si="70"/>
        <v>647.58410496524095</v>
      </c>
      <c r="DS90" s="60">
        <f t="shared" si="71"/>
        <v>940.91743829857433</v>
      </c>
      <c r="DT90" s="60">
        <f ca="1">AVERAGE(OFFSET($DS$3,0,0,'Données projet'!$E$14+1,1))-AVERAGE(OFFSET($H$3,0,0,'Données projet'!$E$14+1,1))</f>
        <v>502.07782026233912</v>
      </c>
      <c r="DU90" s="60">
        <f t="shared" si="98"/>
        <v>285.83623046025156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5.6</v>
      </c>
      <c r="EJ90" s="13">
        <f>IF('Données projet'!$A$192&gt;35,EJ89+EI90-ER89,IF(A90&lt;'Données projet'!$A$192,$EG$205^A90,IF(A90='Données projet'!$A$192,'Données projet'!$B$192,EJ89+EI90-ER89)))</f>
        <v>279.2</v>
      </c>
      <c r="EK90" s="18">
        <f>EJ90*VLOOKUP('Données projet'!$B$15,Paramètres!$A$1:$I$89,3,0)*VLOOKUP('Données projet'!$B$15,Paramètres!$A$1:$I$89,5,0)</f>
        <v>252.62015999999997</v>
      </c>
      <c r="EL90" s="14">
        <f t="shared" si="99"/>
        <v>61.14666777229877</v>
      </c>
      <c r="EM90" s="22">
        <f t="shared" si="73"/>
        <v>546.47722503675357</v>
      </c>
      <c r="EN90" s="60">
        <f t="shared" si="74"/>
        <v>839.81055837008694</v>
      </c>
      <c r="EO90" s="60">
        <f ca="1">AVERAGE(OFFSET($EN$3,0,0,'Données projet'!$E$15+1,1))-AVERAGE(OFFSET($H$3,0,0,'Données projet'!$E$15+1,1))</f>
        <v>428.8489304403459</v>
      </c>
      <c r="EP90" s="60">
        <f t="shared" si="100"/>
        <v>247.01165577562966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 t="e">
        <f>N91*VLOOKUP('Données projet'!$B$9,Paramètres!$A$1:$I$89,3,0)*VLOOKUP('Données projet'!$B$9,Paramètres!$A$1:$I$89,5,0)</f>
        <v>#N/A</v>
      </c>
      <c r="P91" s="14" t="e">
        <f t="shared" si="87"/>
        <v>#N/A</v>
      </c>
      <c r="Q91" s="22" t="e">
        <f t="shared" si="54"/>
        <v>#N/A</v>
      </c>
      <c r="R91" s="60" t="e">
        <f t="shared" si="55"/>
        <v>#N/A</v>
      </c>
      <c r="S91" s="60" t="e">
        <f ca="1">AVERAGE(OFFSET($R$3,0,0,'Données projet'!$E$9+1,1))-AVERAGE(OFFSET($H$3,0,0,'Données projet'!$E$9+1,1))</f>
        <v>#N/A</v>
      </c>
      <c r="T91" s="60" t="e">
        <f t="shared" si="88"/>
        <v>#N/A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 t="e">
        <f>EXP(-LN(2)/35)*Z90+(1-EXP(-LN(2)/35))/(LN(2)/35)*V91*W91*VLOOKUP('Données projet'!$B$9,Paramètres!$A$1:$I$89,3,0)*0.475*44/12</f>
        <v>#N/A</v>
      </c>
      <c r="AA91" s="23" t="e">
        <f>EXP(-LN(2)/25)*AA90+(1-EXP(-LN(2)/25))/(LN(2)/25)*Calculateur!V91*Calculateur!X91*VLOOKUP('Données projet'!$B$9,Paramètres!$A$1:$I$89,3,0)*0.475*44/12</f>
        <v>#N/A</v>
      </c>
      <c r="AB91" s="23" t="e">
        <f>EXP(-LN(2)/2)*AB90+(1-EXP(-LN(2)/2))/(LN(2)/2)*V91*Y91*VLOOKUP('Données projet'!$B$9,Paramètres!$A$1:$I$89,3,0)*0.475*44/12</f>
        <v>#N/A</v>
      </c>
      <c r="AC91" s="24" t="e">
        <f t="shared" si="57"/>
        <v>#N/A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0" t="e">
        <f t="shared" si="59"/>
        <v>#N/A</v>
      </c>
      <c r="AN91" s="60" t="e">
        <f ca="1">AVERAGE(OFFSET($AM$3,0,0,'Données projet'!$E$10+1,1))-AVERAGE(OFFSET($H$3,0,0,'Données projet'!$E$10+1,1))</f>
        <v>#N/A</v>
      </c>
      <c r="AO91" s="60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3.5897435897435854</v>
      </c>
      <c r="BD91" s="13">
        <f>IF('Données projet'!$A$88&gt;35,BD90+BC91-BL90,IF(A91&lt;'Données projet'!$A$88,$BA$205^A91,IF(A91='Données projet'!$A$88,'Données projet'!$B$88,BD90+BC91-BL90)))</f>
        <v>210.12820512820514</v>
      </c>
      <c r="BE91" s="14">
        <f>BD91*VLOOKUP('Données projet'!$B$11,Paramètres!$A$1:$I$89,3,0)*VLOOKUP('Données projet'!$B$11,Paramètres!$A$1:$I$89,5,0)</f>
        <v>199.958</v>
      </c>
      <c r="BF91" s="14">
        <f t="shared" si="91"/>
        <v>49.734937283774826</v>
      </c>
      <c r="BG91" s="22">
        <f t="shared" si="61"/>
        <v>434.88186576924113</v>
      </c>
      <c r="BH91" s="60">
        <f t="shared" si="62"/>
        <v>728.21519910257439</v>
      </c>
      <c r="BI91" s="60">
        <f ca="1">AVERAGE(OFFSET($BH$3,0,0,'Données projet'!$E$11+1,1))-AVERAGE(OFFSET($H$3,0,0,'Données projet'!$E$11+1,1))</f>
        <v>357.083670644861</v>
      </c>
      <c r="BJ91" s="60">
        <f t="shared" si="92"/>
        <v>299.88885091109654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8.1410256410256405</v>
      </c>
      <c r="BY91" s="13">
        <f>IF('Données projet'!$A$114&gt;35,BY90+BX91-CG90,IF(A91&lt;'Données projet'!$A$114,$BV$205^A91,IF(A91='Données projet'!$A$114,'Données projet'!$B$114,BY90+BX91-CG90)))</f>
        <v>308.14102564102518</v>
      </c>
      <c r="BZ91" s="14">
        <f>BY91*VLOOKUP('Données projet'!$B$12,Paramètres!$A$1:$I$89,3,0)*VLOOKUP('Données projet'!$B$12,Paramètres!$A$1:$I$89,5,0)</f>
        <v>144.20999999999978</v>
      </c>
      <c r="CA91" s="14">
        <f t="shared" si="93"/>
        <v>37.259788027931044</v>
      </c>
      <c r="CB91" s="22">
        <f t="shared" si="64"/>
        <v>316.05988081531285</v>
      </c>
      <c r="CC91" s="60">
        <f t="shared" si="65"/>
        <v>609.39321414864617</v>
      </c>
      <c r="CD91" s="60">
        <f ca="1">AVERAGE(OFFSET($CC$3,0,0,'Données projet'!$E$12+1,1))-AVERAGE(OFFSET($H$3,0,0,'Données projet'!$E$12+1,1))</f>
        <v>245.98992992759543</v>
      </c>
      <c r="CE91" s="60">
        <f t="shared" si="94"/>
        <v>145.34368562171613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275.45855999999998</v>
      </c>
      <c r="CV91" s="14">
        <f t="shared" si="95"/>
        <v>66.006360579066197</v>
      </c>
      <c r="CW91" s="22">
        <f t="shared" si="67"/>
        <v>594.71807000854017</v>
      </c>
      <c r="CX91" s="60">
        <f t="shared" si="68"/>
        <v>888.05140334187354</v>
      </c>
      <c r="CY91" s="60">
        <f ca="1">AVERAGE(OFFSET($CX$3,0,0,'Données projet'!$E$13+1,1))-AVERAGE(OFFSET($H$3,0,0,'Données projet'!$E$13+1,1))</f>
        <v>455.50822833641354</v>
      </c>
      <c r="CZ91" s="60">
        <f t="shared" si="96"/>
        <v>261.14722581688039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284.8</v>
      </c>
      <c r="DP91" s="18">
        <f>DO91*VLOOKUP('Données projet'!$B$14,Paramètres!$A$1:$I$89,3,0)*VLOOKUP('Données projet'!$B$14,Paramètres!$A$1:$I$89,5,0)</f>
        <v>306.55871999999999</v>
      </c>
      <c r="DQ91" s="14">
        <f t="shared" si="97"/>
        <v>72.549687694621639</v>
      </c>
      <c r="DR91" s="22">
        <f t="shared" si="70"/>
        <v>660.28047673479932</v>
      </c>
      <c r="DS91" s="60">
        <f t="shared" si="71"/>
        <v>953.61381006813258</v>
      </c>
      <c r="DT91" s="60">
        <f ca="1">AVERAGE(OFFSET($DS$3,0,0,'Données projet'!$E$14+1,1))-AVERAGE(OFFSET($H$3,0,0,'Données projet'!$E$14+1,1))</f>
        <v>502.07782026233912</v>
      </c>
      <c r="DU91" s="60">
        <f t="shared" si="98"/>
        <v>285.83623046025156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5.6</v>
      </c>
      <c r="EJ91" s="13">
        <f>IF('Données projet'!$A$192&gt;35,EJ90+EI91-ER90,IF(A91&lt;'Données projet'!$A$192,$EG$205^A91,IF(A91='Données projet'!$A$192,'Données projet'!$B$192,EJ90+EI91-ER90)))</f>
        <v>284.8</v>
      </c>
      <c r="EK91" s="18">
        <f>EJ91*VLOOKUP('Données projet'!$B$15,Paramètres!$A$1:$I$89,3,0)*VLOOKUP('Données projet'!$B$15,Paramètres!$A$1:$I$89,5,0)</f>
        <v>257.68704000000002</v>
      </c>
      <c r="EL91" s="14">
        <f t="shared" si="99"/>
        <v>62.229092239243343</v>
      </c>
      <c r="EM91" s="22">
        <f t="shared" si="73"/>
        <v>557.18726365001555</v>
      </c>
      <c r="EN91" s="60">
        <f t="shared" si="74"/>
        <v>850.52059698334892</v>
      </c>
      <c r="EO91" s="60">
        <f ca="1">AVERAGE(OFFSET($EN$3,0,0,'Données projet'!$E$15+1,1))-AVERAGE(OFFSET($H$3,0,0,'Données projet'!$E$15+1,1))</f>
        <v>428.8489304403459</v>
      </c>
      <c r="EP91" s="60">
        <f t="shared" si="100"/>
        <v>247.01165577562966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 t="e">
        <f>N92*VLOOKUP('Données projet'!$B$9,Paramètres!$A$1:$I$89,3,0)*VLOOKUP('Données projet'!$B$9,Paramètres!$A$1:$I$89,5,0)</f>
        <v>#N/A</v>
      </c>
      <c r="P92" s="14" t="e">
        <f t="shared" si="87"/>
        <v>#N/A</v>
      </c>
      <c r="Q92" s="22" t="e">
        <f t="shared" si="54"/>
        <v>#N/A</v>
      </c>
      <c r="R92" s="60" t="e">
        <f t="shared" si="55"/>
        <v>#N/A</v>
      </c>
      <c r="S92" s="60" t="e">
        <f ca="1">AVERAGE(OFFSET($R$3,0,0,'Données projet'!$E$9+1,1))-AVERAGE(OFFSET($H$3,0,0,'Données projet'!$E$9+1,1))</f>
        <v>#N/A</v>
      </c>
      <c r="T92" s="60" t="e">
        <f t="shared" si="88"/>
        <v>#N/A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 t="e">
        <f>EXP(-LN(2)/35)*Z91+(1-EXP(-LN(2)/35))/(LN(2)/35)*V92*W92*VLOOKUP('Données projet'!$B$9,Paramètres!$A$1:$I$89,3,0)*0.475*44/12</f>
        <v>#N/A</v>
      </c>
      <c r="AA92" s="23" t="e">
        <f>EXP(-LN(2)/25)*AA91+(1-EXP(-LN(2)/25))/(LN(2)/25)*Calculateur!V92*Calculateur!X92*VLOOKUP('Données projet'!$B$9,Paramètres!$A$1:$I$89,3,0)*0.475*44/12</f>
        <v>#N/A</v>
      </c>
      <c r="AB92" s="23" t="e">
        <f>EXP(-LN(2)/2)*AB91+(1-EXP(-LN(2)/2))/(LN(2)/2)*V92*Y92*VLOOKUP('Données projet'!$B$9,Paramètres!$A$1:$I$89,3,0)*0.475*44/12</f>
        <v>#N/A</v>
      </c>
      <c r="AC92" s="24" t="e">
        <f t="shared" si="57"/>
        <v>#N/A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0" t="e">
        <f t="shared" si="59"/>
        <v>#N/A</v>
      </c>
      <c r="AN92" s="60" t="e">
        <f ca="1">AVERAGE(OFFSET($AM$3,0,0,'Données projet'!$E$10+1,1))-AVERAGE(OFFSET($H$3,0,0,'Données projet'!$E$10+1,1))</f>
        <v>#N/A</v>
      </c>
      <c r="AO92" s="60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3.5897435897435854</v>
      </c>
      <c r="BD92" s="13">
        <f>IF('Données projet'!$A$88&gt;35,BD91+BC92-BL91,IF(A92&lt;'Données projet'!$A$88,$BA$205^A92,IF(A92='Données projet'!$A$88,'Données projet'!$B$88,BD91+BC92-BL91)))</f>
        <v>213.71794871794873</v>
      </c>
      <c r="BE92" s="14">
        <f>BD92*VLOOKUP('Données projet'!$B$11,Paramètres!$A$1:$I$89,3,0)*VLOOKUP('Données projet'!$B$11,Paramètres!$A$1:$I$89,5,0)</f>
        <v>203.37400000000002</v>
      </c>
      <c r="BF92" s="14">
        <f t="shared" si="91"/>
        <v>50.48494730176543</v>
      </c>
      <c r="BG92" s="22">
        <f t="shared" si="61"/>
        <v>442.13766655057481</v>
      </c>
      <c r="BH92" s="60">
        <f t="shared" si="62"/>
        <v>735.47099988390812</v>
      </c>
      <c r="BI92" s="60">
        <f ca="1">AVERAGE(OFFSET($BH$3,0,0,'Données projet'!$E$11+1,1))-AVERAGE(OFFSET($H$3,0,0,'Données projet'!$E$11+1,1))</f>
        <v>357.083670644861</v>
      </c>
      <c r="BJ92" s="60">
        <f t="shared" si="92"/>
        <v>299.88885091109654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8.1410256410256405</v>
      </c>
      <c r="BY92" s="13">
        <f>IF('Données projet'!$A$114&gt;35,BY91+BX92-CG91,IF(A92&lt;'Données projet'!$A$114,$BV$205^A92,IF(A92='Données projet'!$A$114,'Données projet'!$B$114,BY91+BX92-CG91)))</f>
        <v>316.28205128205082</v>
      </c>
      <c r="BZ92" s="14">
        <f>BY92*VLOOKUP('Données projet'!$B$12,Paramètres!$A$1:$I$89,3,0)*VLOOKUP('Données projet'!$B$12,Paramètres!$A$1:$I$89,5,0)</f>
        <v>148.01999999999978</v>
      </c>
      <c r="CA92" s="14">
        <f t="shared" si="93"/>
        <v>38.12827612701787</v>
      </c>
      <c r="CB92" s="22">
        <f t="shared" si="64"/>
        <v>324.20824758788905</v>
      </c>
      <c r="CC92" s="60">
        <f t="shared" si="65"/>
        <v>617.54158092122236</v>
      </c>
      <c r="CD92" s="60">
        <f ca="1">AVERAGE(OFFSET($CC$3,0,0,'Données projet'!$E$12+1,1))-AVERAGE(OFFSET($H$3,0,0,'Données projet'!$E$12+1,1))</f>
        <v>245.98992992759543</v>
      </c>
      <c r="CE92" s="60">
        <f t="shared" si="94"/>
        <v>145.34368562171613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280.87488000000008</v>
      </c>
      <c r="CV92" s="14">
        <f t="shared" si="95"/>
        <v>67.151862592195855</v>
      </c>
      <c r="CW92" s="22">
        <f t="shared" si="67"/>
        <v>606.14657668140785</v>
      </c>
      <c r="CX92" s="60">
        <f t="shared" si="68"/>
        <v>899.47991001474111</v>
      </c>
      <c r="CY92" s="60">
        <f ca="1">AVERAGE(OFFSET($CX$3,0,0,'Données projet'!$E$13+1,1))-AVERAGE(OFFSET($H$3,0,0,'Données projet'!$E$13+1,1))</f>
        <v>455.50822833641354</v>
      </c>
      <c r="CZ92" s="60">
        <f t="shared" si="96"/>
        <v>261.14722581688039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290.40000000000003</v>
      </c>
      <c r="DP92" s="18">
        <f>DO92*VLOOKUP('Données projet'!$B$14,Paramètres!$A$1:$I$89,3,0)*VLOOKUP('Données projet'!$B$14,Paramètres!$A$1:$I$89,5,0)</f>
        <v>312.58656000000002</v>
      </c>
      <c r="DQ92" s="14">
        <f t="shared" si="97"/>
        <v>73.808745345687967</v>
      </c>
      <c r="DR92" s="22">
        <f t="shared" si="70"/>
        <v>672.97182347707314</v>
      </c>
      <c r="DS92" s="60">
        <f t="shared" si="71"/>
        <v>966.30515681040652</v>
      </c>
      <c r="DT92" s="60">
        <f ca="1">AVERAGE(OFFSET($DS$3,0,0,'Données projet'!$E$14+1,1))-AVERAGE(OFFSET($H$3,0,0,'Données projet'!$E$14+1,1))</f>
        <v>502.07782026233912</v>
      </c>
      <c r="DU92" s="60">
        <f t="shared" si="98"/>
        <v>285.83623046025156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5.6</v>
      </c>
      <c r="EJ92" s="13">
        <f>IF('Données projet'!$A$192&gt;35,EJ91+EI92-ER91,IF(A92&lt;'Données projet'!$A$192,$EG$205^A92,IF(A92='Données projet'!$A$192,'Données projet'!$B$192,EJ91+EI92-ER91)))</f>
        <v>290.40000000000003</v>
      </c>
      <c r="EK92" s="18">
        <f>EJ92*VLOOKUP('Données projet'!$B$15,Paramètres!$A$1:$I$89,3,0)*VLOOKUP('Données projet'!$B$15,Paramètres!$A$1:$I$89,5,0)</f>
        <v>262.75392000000005</v>
      </c>
      <c r="EL92" s="14">
        <f t="shared" si="99"/>
        <v>63.309041956360382</v>
      </c>
      <c r="EM92" s="22">
        <f t="shared" si="73"/>
        <v>567.89299207399438</v>
      </c>
      <c r="EN92" s="60">
        <f t="shared" si="74"/>
        <v>861.22632540732775</v>
      </c>
      <c r="EO92" s="60">
        <f ca="1">AVERAGE(OFFSET($EN$3,0,0,'Données projet'!$E$15+1,1))-AVERAGE(OFFSET($H$3,0,0,'Données projet'!$E$15+1,1))</f>
        <v>428.8489304403459</v>
      </c>
      <c r="EP92" s="60">
        <f t="shared" si="100"/>
        <v>247.01165577562966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 t="e">
        <f>N93*VLOOKUP('Données projet'!$B$9,Paramètres!$A$1:$I$89,3,0)*VLOOKUP('Données projet'!$B$9,Paramètres!$A$1:$I$89,5,0)</f>
        <v>#N/A</v>
      </c>
      <c r="P93" s="14" t="e">
        <f t="shared" si="87"/>
        <v>#N/A</v>
      </c>
      <c r="Q93" s="22" t="e">
        <f t="shared" si="54"/>
        <v>#N/A</v>
      </c>
      <c r="R93" s="60" t="e">
        <f t="shared" si="55"/>
        <v>#N/A</v>
      </c>
      <c r="S93" s="60" t="e">
        <f ca="1">AVERAGE(OFFSET($R$3,0,0,'Données projet'!$E$9+1,1))-AVERAGE(OFFSET($H$3,0,0,'Données projet'!$E$9+1,1))</f>
        <v>#N/A</v>
      </c>
      <c r="T93" s="60" t="e">
        <f t="shared" si="88"/>
        <v>#N/A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 t="e">
        <f>EXP(-LN(2)/35)*Z92+(1-EXP(-LN(2)/35))/(LN(2)/35)*V93*W93*VLOOKUP('Données projet'!$B$9,Paramètres!$A$1:$I$89,3,0)*0.475*44/12</f>
        <v>#N/A</v>
      </c>
      <c r="AA93" s="23" t="e">
        <f>EXP(-LN(2)/25)*AA92+(1-EXP(-LN(2)/25))/(LN(2)/25)*Calculateur!V93*Calculateur!X93*VLOOKUP('Données projet'!$B$9,Paramètres!$A$1:$I$89,3,0)*0.475*44/12</f>
        <v>#N/A</v>
      </c>
      <c r="AB93" s="23" t="e">
        <f>EXP(-LN(2)/2)*AB92+(1-EXP(-LN(2)/2))/(LN(2)/2)*V93*Y93*VLOOKUP('Données projet'!$B$9,Paramètres!$A$1:$I$89,3,0)*0.475*44/12</f>
        <v>#N/A</v>
      </c>
      <c r="AC93" s="24" t="e">
        <f t="shared" si="57"/>
        <v>#N/A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0" t="e">
        <f t="shared" si="59"/>
        <v>#N/A</v>
      </c>
      <c r="AN93" s="60" t="e">
        <f ca="1">AVERAGE(OFFSET($AM$3,0,0,'Données projet'!$E$10+1,1))-AVERAGE(OFFSET($H$3,0,0,'Données projet'!$E$10+1,1))</f>
        <v>#N/A</v>
      </c>
      <c r="AO93" s="60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217.30769230769229</v>
      </c>
      <c r="BB93" s="13">
        <f>VLOOKUP(A93,'Données projet'!$A$87:$I$107,9,0)</f>
        <v>3.5897435897435854</v>
      </c>
      <c r="BC93" s="13">
        <f t="array" ref="BC93">INDEX(BB:BB,MIN(IF(ISNUMBER(BB93:BB289),ROW(BB93:BB289),"")))</f>
        <v>3.5897435897435854</v>
      </c>
      <c r="BD93" s="13">
        <f>IF('Données projet'!$A$88&gt;35,BD92+BC93-BL92,IF(A93&lt;'Données projet'!$A$88,$BA$205^A93,IF(A93='Données projet'!$A$88,'Données projet'!$B$88,BD92+BC93-BL92)))</f>
        <v>217.30769230769232</v>
      </c>
      <c r="BE93" s="14">
        <f>BD93*VLOOKUP('Données projet'!$B$11,Paramètres!$A$1:$I$89,3,0)*VLOOKUP('Données projet'!$B$11,Paramètres!$A$1:$I$89,5,0)</f>
        <v>206.79000000000002</v>
      </c>
      <c r="BF93" s="14">
        <f t="shared" si="91"/>
        <v>51.233492313143536</v>
      </c>
      <c r="BG93" s="22">
        <f t="shared" si="61"/>
        <v>449.390915778725</v>
      </c>
      <c r="BH93" s="60">
        <f t="shared" si="62"/>
        <v>742.72424911205826</v>
      </c>
      <c r="BI93" s="60">
        <f ca="1">AVERAGE(OFFSET($BH$3,0,0,'Données projet'!$E$11+1,1))-AVERAGE(OFFSET($H$3,0,0,'Données projet'!$E$11+1,1))</f>
        <v>357.083670644861</v>
      </c>
      <c r="BJ93" s="60">
        <f t="shared" si="92"/>
        <v>299.88885091109654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8.1410256410256405</v>
      </c>
      <c r="BY93" s="13">
        <f>IF('Données projet'!$A$114&gt;35,BY92+BX93-CG92,IF(A93&lt;'Données projet'!$A$114,$BV$205^A93,IF(A93='Données projet'!$A$114,'Données projet'!$B$114,BY92+BX93-CG92)))</f>
        <v>324.42307692307645</v>
      </c>
      <c r="BZ93" s="14">
        <f>BY93*VLOOKUP('Données projet'!$B$12,Paramètres!$A$1:$I$89,3,0)*VLOOKUP('Données projet'!$B$12,Paramètres!$A$1:$I$89,5,0)</f>
        <v>151.82999999999979</v>
      </c>
      <c r="CA93" s="14">
        <f t="shared" si="93"/>
        <v>38.994165732360706</v>
      </c>
      <c r="CB93" s="22">
        <f t="shared" si="64"/>
        <v>332.35208865052783</v>
      </c>
      <c r="CC93" s="60">
        <f t="shared" si="65"/>
        <v>625.68542198386115</v>
      </c>
      <c r="CD93" s="60">
        <f ca="1">AVERAGE(OFFSET($CC$3,0,0,'Données projet'!$E$12+1,1))-AVERAGE(OFFSET($H$3,0,0,'Données projet'!$E$12+1,1))</f>
        <v>245.98992992759543</v>
      </c>
      <c r="CE93" s="60">
        <f t="shared" si="94"/>
        <v>145.34368562171613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286.29120000000006</v>
      </c>
      <c r="CV93" s="14">
        <f t="shared" si="95"/>
        <v>68.294796094604408</v>
      </c>
      <c r="CW93" s="22">
        <f t="shared" si="67"/>
        <v>617.57060986476938</v>
      </c>
      <c r="CX93" s="60">
        <f t="shared" si="68"/>
        <v>910.90394319810275</v>
      </c>
      <c r="CY93" s="60">
        <f ca="1">AVERAGE(OFFSET($CX$3,0,0,'Données projet'!$E$13+1,1))-AVERAGE(OFFSET($H$3,0,0,'Données projet'!$E$13+1,1))</f>
        <v>455.50822833641354</v>
      </c>
      <c r="CZ93" s="60">
        <f t="shared" si="96"/>
        <v>261.14722581688039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318.61440000000005</v>
      </c>
      <c r="DQ93" s="14">
        <f t="shared" si="97"/>
        <v>75.06497986502842</v>
      </c>
      <c r="DR93" s="22">
        <f t="shared" si="70"/>
        <v>685.6582532649245</v>
      </c>
      <c r="DS93" s="60">
        <f t="shared" si="71"/>
        <v>978.99158659825775</v>
      </c>
      <c r="DT93" s="60">
        <f ca="1">AVERAGE(OFFSET($DS$3,0,0,'Données projet'!$E$14+1,1))-AVERAGE(OFFSET($H$3,0,0,'Données projet'!$E$14+1,1))</f>
        <v>502.07782026233912</v>
      </c>
      <c r="DU93" s="60">
        <f t="shared" si="98"/>
        <v>285.83623046025156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42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296</v>
      </c>
      <c r="EH93" s="13">
        <f>VLOOKUP(A93,'Données projet'!$A$191:$I$211,9,0)</f>
        <v>5.6</v>
      </c>
      <c r="EI93" s="13">
        <f t="array" ref="EI93">INDEX(EH:EH,MIN(IF(ISNUMBER(EH93:EH289),ROW(EH93:EH289),"")))</f>
        <v>5.6</v>
      </c>
      <c r="EJ93" s="13">
        <f>IF('Données projet'!$A$192&gt;35,EJ92+EI93-ER92,IF(A93&lt;'Données projet'!$A$192,$EG$205^A93,IF(A93='Données projet'!$A$192,'Données projet'!$B$192,EJ92+EI93-ER92)))</f>
        <v>296.00000000000006</v>
      </c>
      <c r="EK93" s="18">
        <f>EJ93*VLOOKUP('Données projet'!$B$15,Paramètres!$A$1:$I$89,3,0)*VLOOKUP('Données projet'!$B$15,Paramètres!$A$1:$I$89,5,0)</f>
        <v>267.82080000000008</v>
      </c>
      <c r="EL93" s="14">
        <f t="shared" si="99"/>
        <v>64.386570147897373</v>
      </c>
      <c r="EM93" s="22">
        <f t="shared" si="73"/>
        <v>578.59450300758806</v>
      </c>
      <c r="EN93" s="60">
        <f t="shared" si="74"/>
        <v>871.92783634092143</v>
      </c>
      <c r="EO93" s="60">
        <f ca="1">AVERAGE(OFFSET($EN$3,0,0,'Données projet'!$E$15+1,1))-AVERAGE(OFFSET($H$3,0,0,'Données projet'!$E$15+1,1))</f>
        <v>428.8489304403459</v>
      </c>
      <c r="EP93" s="60">
        <f t="shared" si="100"/>
        <v>247.01165577562966</v>
      </c>
      <c r="EQ93" s="16">
        <f>IF(ISNA(VLOOKUP(A93,'Données projet'!$A$191:$I$211,3,0)),0,VLOOKUP(A93,'Données projet'!$A$191:$I$211,3,0))</f>
        <v>7</v>
      </c>
      <c r="ER93" s="16">
        <f>IF(ISNA(VLOOKUP(A93,'Données projet'!$A$191:$I$211,4,0)),0,VLOOKUP(A93,'Données projet'!$A$191:$I$211,4,0))</f>
        <v>42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 t="e">
        <f>N94*VLOOKUP('Données projet'!$B$9,Paramètres!$A$1:$I$89,3,0)*VLOOKUP('Données projet'!$B$9,Paramètres!$A$1:$I$89,5,0)</f>
        <v>#N/A</v>
      </c>
      <c r="P94" s="14" t="e">
        <f t="shared" si="87"/>
        <v>#N/A</v>
      </c>
      <c r="Q94" s="22" t="e">
        <f t="shared" si="54"/>
        <v>#N/A</v>
      </c>
      <c r="R94" s="60" t="e">
        <f t="shared" si="55"/>
        <v>#N/A</v>
      </c>
      <c r="S94" s="60" t="e">
        <f ca="1">AVERAGE(OFFSET($R$3,0,0,'Données projet'!$E$9+1,1))-AVERAGE(OFFSET($H$3,0,0,'Données projet'!$E$9+1,1))</f>
        <v>#N/A</v>
      </c>
      <c r="T94" s="60" t="e">
        <f t="shared" si="88"/>
        <v>#N/A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 t="e">
        <f>EXP(-LN(2)/35)*Z93+(1-EXP(-LN(2)/35))/(LN(2)/35)*V94*W94*VLOOKUP('Données projet'!$B$9,Paramètres!$A$1:$I$89,3,0)*0.475*44/12</f>
        <v>#N/A</v>
      </c>
      <c r="AA94" s="23" t="e">
        <f>EXP(-LN(2)/25)*AA93+(1-EXP(-LN(2)/25))/(LN(2)/25)*Calculateur!V94*Calculateur!X94*VLOOKUP('Données projet'!$B$9,Paramètres!$A$1:$I$89,3,0)*0.475*44/12</f>
        <v>#N/A</v>
      </c>
      <c r="AB94" s="23" t="e">
        <f>EXP(-LN(2)/2)*AB93+(1-EXP(-LN(2)/2))/(LN(2)/2)*V94*Y94*VLOOKUP('Données projet'!$B$9,Paramètres!$A$1:$I$89,3,0)*0.475*44/12</f>
        <v>#N/A</v>
      </c>
      <c r="AC94" s="24" t="e">
        <f t="shared" si="57"/>
        <v>#N/A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0" t="e">
        <f t="shared" si="59"/>
        <v>#N/A</v>
      </c>
      <c r="AN94" s="60" t="e">
        <f ca="1">AVERAGE(OFFSET($AM$3,0,0,'Données projet'!$E$10+1,1))-AVERAGE(OFFSET($H$3,0,0,'Données projet'!$E$10+1,1))</f>
        <v>#N/A</v>
      </c>
      <c r="AO94" s="60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3.333333333333337</v>
      </c>
      <c r="BD94" s="13">
        <f>IF('Données projet'!$A$88&gt;35,BD93+BC94-BL93,IF(A94&lt;'Données projet'!$A$88,$BA$205^A94,IF(A94='Données projet'!$A$88,'Données projet'!$B$88,BD93+BC94-BL93)))</f>
        <v>220.64102564102566</v>
      </c>
      <c r="BE94" s="14">
        <f>BD94*VLOOKUP('Données projet'!$B$11,Paramètres!$A$1:$I$89,3,0)*VLOOKUP('Données projet'!$B$11,Paramètres!$A$1:$I$89,5,0)</f>
        <v>209.96200000000002</v>
      </c>
      <c r="BF94" s="14">
        <f t="shared" si="91"/>
        <v>51.927281654776472</v>
      </c>
      <c r="BG94" s="22">
        <f t="shared" si="61"/>
        <v>456.12383221540239</v>
      </c>
      <c r="BH94" s="60">
        <f t="shared" si="62"/>
        <v>749.4571655487357</v>
      </c>
      <c r="BI94" s="60">
        <f ca="1">AVERAGE(OFFSET($BH$3,0,0,'Données projet'!$E$11+1,1))-AVERAGE(OFFSET($H$3,0,0,'Données projet'!$E$11+1,1))</f>
        <v>357.083670644861</v>
      </c>
      <c r="BJ94" s="60">
        <f t="shared" si="92"/>
        <v>299.88885091109654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8.1410256410256405</v>
      </c>
      <c r="BY94" s="13">
        <f>IF('Données projet'!$A$114&gt;35,BY93+BX94-CG93,IF(A94&lt;'Données projet'!$A$114,$BV$205^A94,IF(A94='Données projet'!$A$114,'Données projet'!$B$114,BY93+BX94-CG93)))</f>
        <v>332.56410256410209</v>
      </c>
      <c r="BZ94" s="14">
        <f>BY94*VLOOKUP('Données projet'!$B$12,Paramètres!$A$1:$I$89,3,0)*VLOOKUP('Données projet'!$B$12,Paramètres!$A$1:$I$89,5,0)</f>
        <v>155.63999999999979</v>
      </c>
      <c r="CA94" s="14">
        <f t="shared" si="93"/>
        <v>39.857529549413819</v>
      </c>
      <c r="CB94" s="22">
        <f t="shared" si="64"/>
        <v>340.49153063189533</v>
      </c>
      <c r="CC94" s="60">
        <f t="shared" si="65"/>
        <v>633.82486396522859</v>
      </c>
      <c r="CD94" s="60">
        <f ca="1">AVERAGE(OFFSET($CC$3,0,0,'Données projet'!$E$12+1,1))-AVERAGE(OFFSET($H$3,0,0,'Données projet'!$E$12+1,1))</f>
        <v>245.98992992759543</v>
      </c>
      <c r="CE94" s="60">
        <f t="shared" si="94"/>
        <v>145.34368562171613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250.40808000000004</v>
      </c>
      <c r="CV94" s="14">
        <f t="shared" si="95"/>
        <v>60.67331674592576</v>
      </c>
      <c r="CW94" s="22">
        <f t="shared" si="67"/>
        <v>541.80009933248743</v>
      </c>
      <c r="CX94" s="60">
        <f t="shared" si="68"/>
        <v>835.13343266582069</v>
      </c>
      <c r="CY94" s="60">
        <f ca="1">AVERAGE(OFFSET($CX$3,0,0,'Données projet'!$E$13+1,1))-AVERAGE(OFFSET($H$3,0,0,'Données projet'!$E$13+1,1))</f>
        <v>455.50822833641354</v>
      </c>
      <c r="CZ94" s="60">
        <f t="shared" si="96"/>
        <v>261.14722581688039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4.9000000000000004</v>
      </c>
      <c r="DO94" s="13">
        <f>IF('Données projet'!$A$166&gt;35,DO93+DN94-DW93,IF(A94&lt;'Données projet'!$A$166,$DL$205^A94,IF(A94='Données projet'!$A$166,'Données projet'!$B$166,DO93+DN94-DW93)))</f>
        <v>258.90000000000003</v>
      </c>
      <c r="DP94" s="18">
        <f>DO94*VLOOKUP('Données projet'!$B$14,Paramètres!$A$1:$I$89,3,0)*VLOOKUP('Données projet'!$B$14,Paramètres!$A$1:$I$89,5,0)</f>
        <v>278.67996000000005</v>
      </c>
      <c r="DQ94" s="14">
        <f t="shared" si="97"/>
        <v>66.687969806197728</v>
      </c>
      <c r="DR94" s="22">
        <f t="shared" si="70"/>
        <v>601.51581107912773</v>
      </c>
      <c r="DS94" s="60">
        <f t="shared" si="71"/>
        <v>894.8491444124611</v>
      </c>
      <c r="DT94" s="60">
        <f ca="1">AVERAGE(OFFSET($DS$3,0,0,'Données projet'!$E$14+1,1))-AVERAGE(OFFSET($H$3,0,0,'Données projet'!$E$14+1,1))</f>
        <v>502.07782026233912</v>
      </c>
      <c r="DU94" s="60">
        <f t="shared" si="98"/>
        <v>285.83623046025156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4.9000000000000004</v>
      </c>
      <c r="EJ94" s="13">
        <f>IF('Données projet'!$A$192&gt;35,EJ93+EI94-ER93,IF(A94&lt;'Données projet'!$A$192,$EG$205^A94,IF(A94='Données projet'!$A$192,'Données projet'!$B$192,EJ93+EI94-ER93)))</f>
        <v>258.90000000000003</v>
      </c>
      <c r="EK94" s="18">
        <f>EJ94*VLOOKUP('Données projet'!$B$15,Paramètres!$A$1:$I$89,3,0)*VLOOKUP('Données projet'!$B$15,Paramètres!$A$1:$I$89,5,0)</f>
        <v>234.25272000000001</v>
      </c>
      <c r="EL94" s="14">
        <f t="shared" si="99"/>
        <v>57.201236231171301</v>
      </c>
      <c r="EM94" s="22">
        <f t="shared" si="73"/>
        <v>507.61564043595672</v>
      </c>
      <c r="EN94" s="60">
        <f t="shared" si="74"/>
        <v>800.94897376928998</v>
      </c>
      <c r="EO94" s="60">
        <f ca="1">AVERAGE(OFFSET($EN$3,0,0,'Données projet'!$E$15+1,1))-AVERAGE(OFFSET($H$3,0,0,'Données projet'!$E$15+1,1))</f>
        <v>428.8489304403459</v>
      </c>
      <c r="EP94" s="60">
        <f t="shared" si="100"/>
        <v>247.01165577562966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 t="e">
        <f>N95*VLOOKUP('Données projet'!$B$9,Paramètres!$A$1:$I$89,3,0)*VLOOKUP('Données projet'!$B$9,Paramètres!$A$1:$I$89,5,0)</f>
        <v>#N/A</v>
      </c>
      <c r="P95" s="14" t="e">
        <f t="shared" si="87"/>
        <v>#N/A</v>
      </c>
      <c r="Q95" s="22" t="e">
        <f t="shared" si="54"/>
        <v>#N/A</v>
      </c>
      <c r="R95" s="60" t="e">
        <f t="shared" si="55"/>
        <v>#N/A</v>
      </c>
      <c r="S95" s="60" t="e">
        <f ca="1">AVERAGE(OFFSET($R$3,0,0,'Données projet'!$E$9+1,1))-AVERAGE(OFFSET($H$3,0,0,'Données projet'!$E$9+1,1))</f>
        <v>#N/A</v>
      </c>
      <c r="T95" s="60" t="e">
        <f t="shared" si="88"/>
        <v>#N/A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 t="e">
        <f>EXP(-LN(2)/35)*Z94+(1-EXP(-LN(2)/35))/(LN(2)/35)*V95*W95*VLOOKUP('Données projet'!$B$9,Paramètres!$A$1:$I$89,3,0)*0.475*44/12</f>
        <v>#N/A</v>
      </c>
      <c r="AA95" s="23" t="e">
        <f>EXP(-LN(2)/25)*AA94+(1-EXP(-LN(2)/25))/(LN(2)/25)*Calculateur!V95*Calculateur!X95*VLOOKUP('Données projet'!$B$9,Paramètres!$A$1:$I$89,3,0)*0.475*44/12</f>
        <v>#N/A</v>
      </c>
      <c r="AB95" s="23" t="e">
        <f>EXP(-LN(2)/2)*AB94+(1-EXP(-LN(2)/2))/(LN(2)/2)*V95*Y95*VLOOKUP('Données projet'!$B$9,Paramètres!$A$1:$I$89,3,0)*0.475*44/12</f>
        <v>#N/A</v>
      </c>
      <c r="AC95" s="24" t="e">
        <f t="shared" si="57"/>
        <v>#N/A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0" t="e">
        <f t="shared" si="59"/>
        <v>#N/A</v>
      </c>
      <c r="AN95" s="60" t="e">
        <f ca="1">AVERAGE(OFFSET($AM$3,0,0,'Données projet'!$E$10+1,1))-AVERAGE(OFFSET($H$3,0,0,'Données projet'!$E$10+1,1))</f>
        <v>#N/A</v>
      </c>
      <c r="AO95" s="60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3.333333333333337</v>
      </c>
      <c r="BD95" s="13">
        <f>IF('Données projet'!$A$88&gt;35,BD94+BC95-BL94,IF(A95&lt;'Données projet'!$A$88,$BA$205^A95,IF(A95='Données projet'!$A$88,'Données projet'!$B$88,BD94+BC95-BL94)))</f>
        <v>223.97435897435901</v>
      </c>
      <c r="BE95" s="14">
        <f>BD95*VLOOKUP('Données projet'!$B$11,Paramètres!$A$1:$I$89,3,0)*VLOOKUP('Données projet'!$B$11,Paramètres!$A$1:$I$89,5,0)</f>
        <v>213.13400000000001</v>
      </c>
      <c r="BF95" s="14">
        <f t="shared" si="91"/>
        <v>52.619851982252747</v>
      </c>
      <c r="BG95" s="22">
        <f t="shared" si="61"/>
        <v>462.85462553575684</v>
      </c>
      <c r="BH95" s="60">
        <f t="shared" si="62"/>
        <v>756.18795886909015</v>
      </c>
      <c r="BI95" s="60">
        <f ca="1">AVERAGE(OFFSET($BH$3,0,0,'Données projet'!$E$11+1,1))-AVERAGE(OFFSET($H$3,0,0,'Données projet'!$E$11+1,1))</f>
        <v>357.083670644861</v>
      </c>
      <c r="BJ95" s="60">
        <f t="shared" si="92"/>
        <v>299.88885091109654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8.1410256410256405</v>
      </c>
      <c r="BY95" s="13">
        <f>IF('Données projet'!$A$114&gt;35,BY94+BX95-CG94,IF(A95&lt;'Données projet'!$A$114,$BV$205^A95,IF(A95='Données projet'!$A$114,'Données projet'!$B$114,BY94+BX95-CG94)))</f>
        <v>340.70512820512772</v>
      </c>
      <c r="BZ95" s="14">
        <f>BY95*VLOOKUP('Données projet'!$B$12,Paramètres!$A$1:$I$89,3,0)*VLOOKUP('Données projet'!$B$12,Paramètres!$A$1:$I$89,5,0)</f>
        <v>159.44999999999976</v>
      </c>
      <c r="CA95" s="14">
        <f t="shared" si="93"/>
        <v>40.718436521095953</v>
      </c>
      <c r="CB95" s="22">
        <f t="shared" si="64"/>
        <v>348.62669360757508</v>
      </c>
      <c r="CC95" s="60">
        <f t="shared" si="65"/>
        <v>641.96002694090839</v>
      </c>
      <c r="CD95" s="60">
        <f ca="1">AVERAGE(OFFSET($CC$3,0,0,'Données projet'!$E$12+1,1))-AVERAGE(OFFSET($H$3,0,0,'Données projet'!$E$12+1,1))</f>
        <v>245.98992992759543</v>
      </c>
      <c r="CE95" s="60">
        <f t="shared" si="94"/>
        <v>145.34368562171613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255.14736000000002</v>
      </c>
      <c r="CV95" s="14">
        <f t="shared" si="95"/>
        <v>61.686859728645651</v>
      </c>
      <c r="CW95" s="22">
        <f t="shared" si="67"/>
        <v>551.81959936072451</v>
      </c>
      <c r="CX95" s="60">
        <f t="shared" si="68"/>
        <v>845.15293269405788</v>
      </c>
      <c r="CY95" s="60">
        <f ca="1">AVERAGE(OFFSET($CX$3,0,0,'Données projet'!$E$13+1,1))-AVERAGE(OFFSET($H$3,0,0,'Données projet'!$E$13+1,1))</f>
        <v>455.50822833641354</v>
      </c>
      <c r="CZ95" s="60">
        <f t="shared" si="96"/>
        <v>261.14722581688039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4.9000000000000004</v>
      </c>
      <c r="DO95" s="13">
        <f>IF('Données projet'!$A$166&gt;35,DO94+DN95-DW94,IF(A95&lt;'Données projet'!$A$166,$DL$205^A95,IF(A95='Données projet'!$A$166,'Données projet'!$B$166,DO94+DN95-DW94)))</f>
        <v>263.8</v>
      </c>
      <c r="DP95" s="18">
        <f>DO95*VLOOKUP('Données projet'!$B$14,Paramètres!$A$1:$I$89,3,0)*VLOOKUP('Données projet'!$B$14,Paramètres!$A$1:$I$89,5,0)</f>
        <v>283.95432</v>
      </c>
      <c r="DQ95" s="14">
        <f t="shared" si="97"/>
        <v>67.801987095081913</v>
      </c>
      <c r="DR95" s="22">
        <f t="shared" si="70"/>
        <v>612.64223485726768</v>
      </c>
      <c r="DS95" s="60">
        <f t="shared" si="71"/>
        <v>905.97556819060105</v>
      </c>
      <c r="DT95" s="60">
        <f ca="1">AVERAGE(OFFSET($DS$3,0,0,'Données projet'!$E$14+1,1))-AVERAGE(OFFSET($H$3,0,0,'Données projet'!$E$14+1,1))</f>
        <v>502.07782026233912</v>
      </c>
      <c r="DU95" s="60">
        <f t="shared" si="98"/>
        <v>285.83623046025156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4.9000000000000004</v>
      </c>
      <c r="EJ95" s="13">
        <f>IF('Données projet'!$A$192&gt;35,EJ94+EI95-ER94,IF(A95&lt;'Données projet'!$A$192,$EG$205^A95,IF(A95='Données projet'!$A$192,'Données projet'!$B$192,EJ94+EI95-ER94)))</f>
        <v>263.8</v>
      </c>
      <c r="EK95" s="18">
        <f>EJ95*VLOOKUP('Données projet'!$B$15,Paramètres!$A$1:$I$89,3,0)*VLOOKUP('Données projet'!$B$15,Paramètres!$A$1:$I$89,5,0)</f>
        <v>238.68624</v>
      </c>
      <c r="EL95" s="14">
        <f t="shared" si="99"/>
        <v>58.156778382060871</v>
      </c>
      <c r="EM95" s="22">
        <f t="shared" si="73"/>
        <v>517.00159034875594</v>
      </c>
      <c r="EN95" s="60">
        <f t="shared" si="74"/>
        <v>810.33492368208931</v>
      </c>
      <c r="EO95" s="60">
        <f ca="1">AVERAGE(OFFSET($EN$3,0,0,'Données projet'!$E$15+1,1))-AVERAGE(OFFSET($H$3,0,0,'Données projet'!$E$15+1,1))</f>
        <v>428.8489304403459</v>
      </c>
      <c r="EP95" s="60">
        <f t="shared" si="100"/>
        <v>247.01165577562966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 t="e">
        <f>N96*VLOOKUP('Données projet'!$B$9,Paramètres!$A$1:$I$89,3,0)*VLOOKUP('Données projet'!$B$9,Paramètres!$A$1:$I$89,5,0)</f>
        <v>#N/A</v>
      </c>
      <c r="P96" s="14" t="e">
        <f t="shared" si="87"/>
        <v>#N/A</v>
      </c>
      <c r="Q96" s="22" t="e">
        <f t="shared" si="54"/>
        <v>#N/A</v>
      </c>
      <c r="R96" s="60" t="e">
        <f t="shared" si="55"/>
        <v>#N/A</v>
      </c>
      <c r="S96" s="60" t="e">
        <f ca="1">AVERAGE(OFFSET($R$3,0,0,'Données projet'!$E$9+1,1))-AVERAGE(OFFSET($H$3,0,0,'Données projet'!$E$9+1,1))</f>
        <v>#N/A</v>
      </c>
      <c r="T96" s="60" t="e">
        <f t="shared" si="88"/>
        <v>#N/A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 t="e">
        <f>EXP(-LN(2)/35)*Z95+(1-EXP(-LN(2)/35))/(LN(2)/35)*V96*W96*VLOOKUP('Données projet'!$B$9,Paramètres!$A$1:$I$89,3,0)*0.475*44/12</f>
        <v>#N/A</v>
      </c>
      <c r="AA96" s="23" t="e">
        <f>EXP(-LN(2)/25)*AA95+(1-EXP(-LN(2)/25))/(LN(2)/25)*Calculateur!V96*Calculateur!X96*VLOOKUP('Données projet'!$B$9,Paramètres!$A$1:$I$89,3,0)*0.475*44/12</f>
        <v>#N/A</v>
      </c>
      <c r="AB96" s="23" t="e">
        <f>EXP(-LN(2)/2)*AB95+(1-EXP(-LN(2)/2))/(LN(2)/2)*V96*Y96*VLOOKUP('Données projet'!$B$9,Paramètres!$A$1:$I$89,3,0)*0.475*44/12</f>
        <v>#N/A</v>
      </c>
      <c r="AC96" s="24" t="e">
        <f t="shared" si="57"/>
        <v>#N/A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0" t="e">
        <f t="shared" si="59"/>
        <v>#N/A</v>
      </c>
      <c r="AN96" s="60" t="e">
        <f ca="1">AVERAGE(OFFSET($AM$3,0,0,'Données projet'!$E$10+1,1))-AVERAGE(OFFSET($H$3,0,0,'Données projet'!$E$10+1,1))</f>
        <v>#N/A</v>
      </c>
      <c r="AO96" s="60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3.333333333333337</v>
      </c>
      <c r="BD96" s="13">
        <f>IF('Données projet'!$A$88&gt;35,BD95+BC96-BL95,IF(A96&lt;'Données projet'!$A$88,$BA$205^A96,IF(A96='Données projet'!$A$88,'Données projet'!$B$88,BD95+BC96-BL95)))</f>
        <v>227.30769230769235</v>
      </c>
      <c r="BE96" s="14">
        <f>BD96*VLOOKUP('Données projet'!$B$11,Paramètres!$A$1:$I$89,3,0)*VLOOKUP('Données projet'!$B$11,Paramètres!$A$1:$I$89,5,0)</f>
        <v>216.30600000000007</v>
      </c>
      <c r="BF96" s="14">
        <f t="shared" si="91"/>
        <v>53.311223533460037</v>
      </c>
      <c r="BG96" s="22">
        <f t="shared" si="61"/>
        <v>469.58333098744293</v>
      </c>
      <c r="BH96" s="60">
        <f t="shared" si="62"/>
        <v>762.91666432077625</v>
      </c>
      <c r="BI96" s="60">
        <f ca="1">AVERAGE(OFFSET($BH$3,0,0,'Données projet'!$E$11+1,1))-AVERAGE(OFFSET($H$3,0,0,'Données projet'!$E$11+1,1))</f>
        <v>357.083670644861</v>
      </c>
      <c r="BJ96" s="60">
        <f t="shared" si="92"/>
        <v>299.88885091109654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8.1410256410256405</v>
      </c>
      <c r="BY96" s="13">
        <f>IF('Données projet'!$A$114&gt;35,BY95+BX96-CG95,IF(A96&lt;'Données projet'!$A$114,$BV$205^A96,IF(A96='Données projet'!$A$114,'Données projet'!$B$114,BY95+BX96-CG95)))</f>
        <v>348.84615384615336</v>
      </c>
      <c r="BZ96" s="14">
        <f>BY96*VLOOKUP('Données projet'!$B$12,Paramètres!$A$1:$I$89,3,0)*VLOOKUP('Données projet'!$B$12,Paramètres!$A$1:$I$89,5,0)</f>
        <v>163.25999999999976</v>
      </c>
      <c r="CA96" s="14">
        <f t="shared" si="93"/>
        <v>41.576952107686338</v>
      </c>
      <c r="CB96" s="22">
        <f t="shared" si="64"/>
        <v>356.75769158755321</v>
      </c>
      <c r="CC96" s="60">
        <f t="shared" si="65"/>
        <v>650.09102492088653</v>
      </c>
      <c r="CD96" s="60">
        <f ca="1">AVERAGE(OFFSET($CC$3,0,0,'Données projet'!$E$12+1,1))-AVERAGE(OFFSET($H$3,0,0,'Données projet'!$E$12+1,1))</f>
        <v>245.98992992759543</v>
      </c>
      <c r="CE96" s="60">
        <f t="shared" si="94"/>
        <v>145.34368562171613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259.88664</v>
      </c>
      <c r="CV96" s="14">
        <f t="shared" si="95"/>
        <v>62.698213571884004</v>
      </c>
      <c r="CW96" s="22">
        <f t="shared" si="67"/>
        <v>561.835286637698</v>
      </c>
      <c r="CX96" s="60">
        <f t="shared" si="68"/>
        <v>855.16861997103138</v>
      </c>
      <c r="CY96" s="60">
        <f ca="1">AVERAGE(OFFSET($CX$3,0,0,'Données projet'!$E$13+1,1))-AVERAGE(OFFSET($H$3,0,0,'Données projet'!$E$13+1,1))</f>
        <v>455.50822833641354</v>
      </c>
      <c r="CZ96" s="60">
        <f t="shared" si="96"/>
        <v>261.14722581688039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4.9000000000000004</v>
      </c>
      <c r="DO96" s="13">
        <f>IF('Données projet'!$A$166&gt;35,DO95+DN96-DW95,IF(A96&lt;'Données projet'!$A$166,$DL$205^A96,IF(A96='Données projet'!$A$166,'Données projet'!$B$166,DO95+DN96-DW95)))</f>
        <v>268.7</v>
      </c>
      <c r="DP96" s="18">
        <f>DO96*VLOOKUP('Données projet'!$B$14,Paramètres!$A$1:$I$89,3,0)*VLOOKUP('Données projet'!$B$14,Paramètres!$A$1:$I$89,5,0)</f>
        <v>289.22868</v>
      </c>
      <c r="DQ96" s="14">
        <f t="shared" si="97"/>
        <v>68.913598231220931</v>
      </c>
      <c r="DR96" s="22">
        <f t="shared" si="70"/>
        <v>623.76446791937644</v>
      </c>
      <c r="DS96" s="60">
        <f t="shared" si="71"/>
        <v>917.09780125270981</v>
      </c>
      <c r="DT96" s="60">
        <f ca="1">AVERAGE(OFFSET($DS$3,0,0,'Données projet'!$E$14+1,1))-AVERAGE(OFFSET($H$3,0,0,'Données projet'!$E$14+1,1))</f>
        <v>502.07782026233912</v>
      </c>
      <c r="DU96" s="60">
        <f t="shared" si="98"/>
        <v>285.83623046025156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4.9000000000000004</v>
      </c>
      <c r="EJ96" s="13">
        <f>IF('Données projet'!$A$192&gt;35,EJ95+EI96-ER95,IF(A96&lt;'Données projet'!$A$192,$EG$205^A96,IF(A96='Données projet'!$A$192,'Données projet'!$B$192,EJ95+EI96-ER95)))</f>
        <v>268.7</v>
      </c>
      <c r="EK96" s="18">
        <f>EJ96*VLOOKUP('Données projet'!$B$15,Paramètres!$A$1:$I$89,3,0)*VLOOKUP('Données projet'!$B$15,Paramètres!$A$1:$I$89,5,0)</f>
        <v>243.11975999999996</v>
      </c>
      <c r="EL96" s="14">
        <f t="shared" si="99"/>
        <v>59.110256668778533</v>
      </c>
      <c r="EM96" s="22">
        <f t="shared" si="73"/>
        <v>526.3839456981226</v>
      </c>
      <c r="EN96" s="60">
        <f t="shared" si="74"/>
        <v>819.71727903145597</v>
      </c>
      <c r="EO96" s="60">
        <f ca="1">AVERAGE(OFFSET($EN$3,0,0,'Données projet'!$E$15+1,1))-AVERAGE(OFFSET($H$3,0,0,'Données projet'!$E$15+1,1))</f>
        <v>428.8489304403459</v>
      </c>
      <c r="EP96" s="60">
        <f t="shared" si="100"/>
        <v>247.01165577562966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 t="e">
        <f>N97*VLOOKUP('Données projet'!$B$9,Paramètres!$A$1:$I$89,3,0)*VLOOKUP('Données projet'!$B$9,Paramètres!$A$1:$I$89,5,0)</f>
        <v>#N/A</v>
      </c>
      <c r="P97" s="14" t="e">
        <f t="shared" si="87"/>
        <v>#N/A</v>
      </c>
      <c r="Q97" s="22" t="e">
        <f t="shared" si="54"/>
        <v>#N/A</v>
      </c>
      <c r="R97" s="60" t="e">
        <f t="shared" si="55"/>
        <v>#N/A</v>
      </c>
      <c r="S97" s="60" t="e">
        <f ca="1">AVERAGE(OFFSET($R$3,0,0,'Données projet'!$E$9+1,1))-AVERAGE(OFFSET($H$3,0,0,'Données projet'!$E$9+1,1))</f>
        <v>#N/A</v>
      </c>
      <c r="T97" s="60" t="e">
        <f t="shared" si="88"/>
        <v>#N/A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 t="e">
        <f>EXP(-LN(2)/35)*Z96+(1-EXP(-LN(2)/35))/(LN(2)/35)*V97*W97*VLOOKUP('Données projet'!$B$9,Paramètres!$A$1:$I$89,3,0)*0.475*44/12</f>
        <v>#N/A</v>
      </c>
      <c r="AA97" s="23" t="e">
        <f>EXP(-LN(2)/25)*AA96+(1-EXP(-LN(2)/25))/(LN(2)/25)*Calculateur!V97*Calculateur!X97*VLOOKUP('Données projet'!$B$9,Paramètres!$A$1:$I$89,3,0)*0.475*44/12</f>
        <v>#N/A</v>
      </c>
      <c r="AB97" s="23" t="e">
        <f>EXP(-LN(2)/2)*AB96+(1-EXP(-LN(2)/2))/(LN(2)/2)*V97*Y97*VLOOKUP('Données projet'!$B$9,Paramètres!$A$1:$I$89,3,0)*0.475*44/12</f>
        <v>#N/A</v>
      </c>
      <c r="AC97" s="24" t="e">
        <f t="shared" si="57"/>
        <v>#N/A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0" t="e">
        <f t="shared" si="59"/>
        <v>#N/A</v>
      </c>
      <c r="AN97" s="60" t="e">
        <f ca="1">AVERAGE(OFFSET($AM$3,0,0,'Données projet'!$E$10+1,1))-AVERAGE(OFFSET($H$3,0,0,'Données projet'!$E$10+1,1))</f>
        <v>#N/A</v>
      </c>
      <c r="AO97" s="60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3.333333333333337</v>
      </c>
      <c r="BD97" s="13">
        <f>IF('Données projet'!$A$88&gt;35,BD96+BC97-BL96,IF(A97&lt;'Données projet'!$A$88,$BA$205^A97,IF(A97='Données projet'!$A$88,'Données projet'!$B$88,BD96+BC97-BL96)))</f>
        <v>230.64102564102569</v>
      </c>
      <c r="BE97" s="14">
        <f>BD97*VLOOKUP('Données projet'!$B$11,Paramètres!$A$1:$I$89,3,0)*VLOOKUP('Données projet'!$B$11,Paramètres!$A$1:$I$89,5,0)</f>
        <v>219.47800000000007</v>
      </c>
      <c r="BF97" s="14">
        <f t="shared" si="91"/>
        <v>54.001415918656583</v>
      </c>
      <c r="BG97" s="22">
        <f t="shared" si="61"/>
        <v>476.30998272499363</v>
      </c>
      <c r="BH97" s="60">
        <f t="shared" si="62"/>
        <v>769.64331605832695</v>
      </c>
      <c r="BI97" s="60">
        <f ca="1">AVERAGE(OFFSET($BH$3,0,0,'Données projet'!$E$11+1,1))-AVERAGE(OFFSET($H$3,0,0,'Données projet'!$E$11+1,1))</f>
        <v>357.083670644861</v>
      </c>
      <c r="BJ97" s="60">
        <f t="shared" si="92"/>
        <v>299.88885091109654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8.1410256410256405</v>
      </c>
      <c r="BY97" s="13">
        <f>IF('Données projet'!$A$114&gt;35,BY96+BX97-CG96,IF(A97&lt;'Données projet'!$A$114,$BV$205^A97,IF(A97='Données projet'!$A$114,'Données projet'!$B$114,BY96+BX97-CG96)))</f>
        <v>356.98717948717899</v>
      </c>
      <c r="BZ97" s="14">
        <f>BY97*VLOOKUP('Données projet'!$B$12,Paramètres!$A$1:$I$89,3,0)*VLOOKUP('Données projet'!$B$12,Paramètres!$A$1:$I$89,5,0)</f>
        <v>167.06999999999977</v>
      </c>
      <c r="CA97" s="14">
        <f t="shared" si="93"/>
        <v>42.433138539856941</v>
      </c>
      <c r="CB97" s="22">
        <f t="shared" si="64"/>
        <v>364.88463295691707</v>
      </c>
      <c r="CC97" s="60">
        <f t="shared" si="65"/>
        <v>658.21796629025039</v>
      </c>
      <c r="CD97" s="60">
        <f ca="1">AVERAGE(OFFSET($CC$3,0,0,'Données projet'!$E$12+1,1))-AVERAGE(OFFSET($H$3,0,0,'Données projet'!$E$12+1,1))</f>
        <v>245.98992992759543</v>
      </c>
      <c r="CE97" s="60">
        <f t="shared" si="94"/>
        <v>145.34368562171613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264.62591999999995</v>
      </c>
      <c r="CV97" s="14">
        <f t="shared" si="95"/>
        <v>63.707422801198604</v>
      </c>
      <c r="CW97" s="22">
        <f t="shared" si="67"/>
        <v>571.84723871208746</v>
      </c>
      <c r="CX97" s="60">
        <f t="shared" si="68"/>
        <v>865.18057204542083</v>
      </c>
      <c r="CY97" s="60">
        <f ca="1">AVERAGE(OFFSET($CX$3,0,0,'Données projet'!$E$13+1,1))-AVERAGE(OFFSET($H$3,0,0,'Données projet'!$E$13+1,1))</f>
        <v>455.50822833641354</v>
      </c>
      <c r="CZ97" s="60">
        <f t="shared" si="96"/>
        <v>261.14722581688039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4.9000000000000004</v>
      </c>
      <c r="DO97" s="13">
        <f>IF('Données projet'!$A$166&gt;35,DO96+DN97-DW96,IF(A97&lt;'Données projet'!$A$166,$DL$205^A97,IF(A97='Données projet'!$A$166,'Données projet'!$B$166,DO96+DN97-DW96)))</f>
        <v>273.59999999999997</v>
      </c>
      <c r="DP97" s="18">
        <f>DO97*VLOOKUP('Données projet'!$B$14,Paramètres!$A$1:$I$89,3,0)*VLOOKUP('Données projet'!$B$14,Paramètres!$A$1:$I$89,5,0)</f>
        <v>294.50303999999994</v>
      </c>
      <c r="DQ97" s="14">
        <f t="shared" si="97"/>
        <v>70.022852154069838</v>
      </c>
      <c r="DR97" s="22">
        <f t="shared" si="70"/>
        <v>634.88259550167152</v>
      </c>
      <c r="DS97" s="60">
        <f t="shared" si="71"/>
        <v>928.21592883500489</v>
      </c>
      <c r="DT97" s="60">
        <f ca="1">AVERAGE(OFFSET($DS$3,0,0,'Données projet'!$E$14+1,1))-AVERAGE(OFFSET($H$3,0,0,'Données projet'!$E$14+1,1))</f>
        <v>502.07782026233912</v>
      </c>
      <c r="DU97" s="60">
        <f t="shared" si="98"/>
        <v>285.83623046025156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4.9000000000000004</v>
      </c>
      <c r="EJ97" s="13">
        <f>IF('Données projet'!$A$192&gt;35,EJ96+EI97-ER96,IF(A97&lt;'Données projet'!$A$192,$EG$205^A97,IF(A97='Données projet'!$A$192,'Données projet'!$B$192,EJ96+EI97-ER96)))</f>
        <v>273.59999999999997</v>
      </c>
      <c r="EK97" s="18">
        <f>EJ97*VLOOKUP('Données projet'!$B$15,Paramètres!$A$1:$I$89,3,0)*VLOOKUP('Données projet'!$B$15,Paramètres!$A$1:$I$89,5,0)</f>
        <v>247.55327999999994</v>
      </c>
      <c r="EL97" s="14">
        <f t="shared" si="99"/>
        <v>60.061713068870255</v>
      </c>
      <c r="EM97" s="22">
        <f t="shared" si="73"/>
        <v>535.76277959494894</v>
      </c>
      <c r="EN97" s="60">
        <f t="shared" si="74"/>
        <v>829.09611292828231</v>
      </c>
      <c r="EO97" s="60">
        <f ca="1">AVERAGE(OFFSET($EN$3,0,0,'Données projet'!$E$15+1,1))-AVERAGE(OFFSET($H$3,0,0,'Données projet'!$E$15+1,1))</f>
        <v>428.8489304403459</v>
      </c>
      <c r="EP97" s="60">
        <f t="shared" si="100"/>
        <v>247.01165577562966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 t="e">
        <f>N98*VLOOKUP('Données projet'!$B$9,Paramètres!$A$1:$I$89,3,0)*VLOOKUP('Données projet'!$B$9,Paramètres!$A$1:$I$89,5,0)</f>
        <v>#N/A</v>
      </c>
      <c r="P98" s="14" t="e">
        <f t="shared" si="87"/>
        <v>#N/A</v>
      </c>
      <c r="Q98" s="22" t="e">
        <f t="shared" si="54"/>
        <v>#N/A</v>
      </c>
      <c r="R98" s="60" t="e">
        <f t="shared" si="55"/>
        <v>#N/A</v>
      </c>
      <c r="S98" s="60" t="e">
        <f ca="1">AVERAGE(OFFSET($R$3,0,0,'Données projet'!$E$9+1,1))-AVERAGE(OFFSET($H$3,0,0,'Données projet'!$E$9+1,1))</f>
        <v>#N/A</v>
      </c>
      <c r="T98" s="60" t="e">
        <f t="shared" si="88"/>
        <v>#N/A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 t="e">
        <f>EXP(-LN(2)/35)*Z97+(1-EXP(-LN(2)/35))/(LN(2)/35)*V98*W98*VLOOKUP('Données projet'!$B$9,Paramètres!$A$1:$I$89,3,0)*0.475*44/12</f>
        <v>#N/A</v>
      </c>
      <c r="AA98" s="23" t="e">
        <f>EXP(-LN(2)/25)*AA97+(1-EXP(-LN(2)/25))/(LN(2)/25)*Calculateur!V98*Calculateur!X98*VLOOKUP('Données projet'!$B$9,Paramètres!$A$1:$I$89,3,0)*0.475*44/12</f>
        <v>#N/A</v>
      </c>
      <c r="AB98" s="23" t="e">
        <f>EXP(-LN(2)/2)*AB97+(1-EXP(-LN(2)/2))/(LN(2)/2)*V98*Y98*VLOOKUP('Données projet'!$B$9,Paramètres!$A$1:$I$89,3,0)*0.475*44/12</f>
        <v>#N/A</v>
      </c>
      <c r="AC98" s="24" t="e">
        <f t="shared" si="57"/>
        <v>#N/A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0" t="e">
        <f t="shared" si="59"/>
        <v>#N/A</v>
      </c>
      <c r="AN98" s="60" t="e">
        <f ca="1">AVERAGE(OFFSET($AM$3,0,0,'Données projet'!$E$10+1,1))-AVERAGE(OFFSET($H$3,0,0,'Données projet'!$E$10+1,1))</f>
        <v>#N/A</v>
      </c>
      <c r="AO98" s="60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233.97435897435898</v>
      </c>
      <c r="BB98" s="13">
        <f>VLOOKUP(A98,'Données projet'!$A$87:$I$107,9,0)</f>
        <v>3.333333333333337</v>
      </c>
      <c r="BC98" s="13">
        <f t="array" ref="BC98">INDEX(BB:BB,MIN(IF(ISNUMBER(BB98:BB294),ROW(BB98:BB294),"")))</f>
        <v>3.333333333333337</v>
      </c>
      <c r="BD98" s="13">
        <f>IF('Données projet'!$A$88&gt;35,BD97+BC98-BL97,IF(A98&lt;'Données projet'!$A$88,$BA$205^A98,IF(A98='Données projet'!$A$88,'Données projet'!$B$88,BD97+BC98-BL97)))</f>
        <v>233.97435897435903</v>
      </c>
      <c r="BE98" s="14">
        <f>BD98*VLOOKUP('Données projet'!$B$11,Paramètres!$A$1:$I$89,3,0)*VLOOKUP('Données projet'!$B$11,Paramètres!$A$1:$I$89,5,0)</f>
        <v>222.65000000000006</v>
      </c>
      <c r="BF98" s="14">
        <f t="shared" si="91"/>
        <v>54.690448148719454</v>
      </c>
      <c r="BG98" s="22">
        <f t="shared" si="61"/>
        <v>483.03461385901983</v>
      </c>
      <c r="BH98" s="60">
        <f t="shared" si="62"/>
        <v>776.36794719235309</v>
      </c>
      <c r="BI98" s="60">
        <f ca="1">AVERAGE(OFFSET($BH$3,0,0,'Données projet'!$E$11+1,1))-AVERAGE(OFFSET($H$3,0,0,'Données projet'!$E$11+1,1))</f>
        <v>357.083670644861</v>
      </c>
      <c r="BJ98" s="60">
        <f t="shared" si="92"/>
        <v>299.88885091109654</v>
      </c>
      <c r="BK98" s="16">
        <f>IF(ISNA(VLOOKUP(A98,'Données projet'!$A$87:$I$107,3,0)),0,VLOOKUP(A98,'Données projet'!$A$87:$I$107,3,0))</f>
        <v>7</v>
      </c>
      <c r="BL98" s="16">
        <f>IF(ISNA(VLOOKUP(A98,'Données projet'!$A$87:$I$107,4,0)),0,VLOOKUP(A98,'Données projet'!$A$87:$I$107,4,0))</f>
        <v>23.717948717948715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8.1410256410256405</v>
      </c>
      <c r="BY98" s="13">
        <f>IF('Données projet'!$A$114&gt;35,BY97+BX98-CG97,IF(A98&lt;'Données projet'!$A$114,$BV$205^A98,IF(A98='Données projet'!$A$114,'Données projet'!$B$114,BY97+BX98-CG97)))</f>
        <v>365.12820512820463</v>
      </c>
      <c r="BZ98" s="14">
        <f>BY98*VLOOKUP('Données projet'!$B$12,Paramètres!$A$1:$I$89,3,0)*VLOOKUP('Données projet'!$B$12,Paramètres!$A$1:$I$89,5,0)</f>
        <v>170.87999999999977</v>
      </c>
      <c r="CA98" s="14">
        <f t="shared" si="93"/>
        <v>43.287055047972629</v>
      </c>
      <c r="CB98" s="22">
        <f t="shared" si="64"/>
        <v>373.00762087521849</v>
      </c>
      <c r="CC98" s="60">
        <f t="shared" si="65"/>
        <v>666.34095420855181</v>
      </c>
      <c r="CD98" s="60">
        <f ca="1">AVERAGE(OFFSET($CC$3,0,0,'Données projet'!$E$12+1,1))-AVERAGE(OFFSET($H$3,0,0,'Données projet'!$E$12+1,1))</f>
        <v>245.98992992759543</v>
      </c>
      <c r="CE98" s="60">
        <f t="shared" si="94"/>
        <v>145.34368562171613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269.36519999999996</v>
      </c>
      <c r="CV98" s="14">
        <f t="shared" si="95"/>
        <v>64.714530255967034</v>
      </c>
      <c r="CW98" s="22">
        <f t="shared" si="67"/>
        <v>581.85553019580914</v>
      </c>
      <c r="CX98" s="60">
        <f t="shared" si="68"/>
        <v>875.18886352914251</v>
      </c>
      <c r="CY98" s="60">
        <f ca="1">AVERAGE(OFFSET($CX$3,0,0,'Données projet'!$E$13+1,1))-AVERAGE(OFFSET($H$3,0,0,'Données projet'!$E$13+1,1))</f>
        <v>455.50822833641354</v>
      </c>
      <c r="CZ98" s="60">
        <f t="shared" si="96"/>
        <v>261.14722581688039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4.9000000000000004</v>
      </c>
      <c r="DO98" s="13">
        <f>IF('Données projet'!$A$166&gt;35,DO97+DN98-DW97,IF(A98&lt;'Données projet'!$A$166,$DL$205^A98,IF(A98='Données projet'!$A$166,'Données projet'!$B$166,DO97+DN98-DW97)))</f>
        <v>278.49999999999994</v>
      </c>
      <c r="DP98" s="18">
        <f>DO98*VLOOKUP('Données projet'!$B$14,Paramètres!$A$1:$I$89,3,0)*VLOOKUP('Données projet'!$B$14,Paramètres!$A$1:$I$89,5,0)</f>
        <v>299.77739999999989</v>
      </c>
      <c r="DQ98" s="14">
        <f t="shared" si="97"/>
        <v>71.129795949749251</v>
      </c>
      <c r="DR98" s="22">
        <f t="shared" si="70"/>
        <v>645.9966996124798</v>
      </c>
      <c r="DS98" s="60">
        <f t="shared" si="71"/>
        <v>939.33003294581317</v>
      </c>
      <c r="DT98" s="60">
        <f ca="1">AVERAGE(OFFSET($DS$3,0,0,'Données projet'!$E$14+1,1))-AVERAGE(OFFSET($H$3,0,0,'Données projet'!$E$14+1,1))</f>
        <v>502.07782026233912</v>
      </c>
      <c r="DU98" s="60">
        <f t="shared" si="98"/>
        <v>285.83623046025156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4.9000000000000004</v>
      </c>
      <c r="EJ98" s="13">
        <f>IF('Données projet'!$A$192&gt;35,EJ97+EI98-ER97,IF(A98&lt;'Données projet'!$A$192,$EG$205^A98,IF(A98='Données projet'!$A$192,'Données projet'!$B$192,EJ97+EI98-ER97)))</f>
        <v>278.49999999999994</v>
      </c>
      <c r="EK98" s="18">
        <f>EJ98*VLOOKUP('Données projet'!$B$15,Paramètres!$A$1:$I$89,3,0)*VLOOKUP('Données projet'!$B$15,Paramètres!$A$1:$I$89,5,0)</f>
        <v>251.98679999999993</v>
      </c>
      <c r="EL98" s="14">
        <f t="shared" si="99"/>
        <v>61.011187970195053</v>
      </c>
      <c r="EM98" s="22">
        <f t="shared" si="73"/>
        <v>545.13816238142283</v>
      </c>
      <c r="EN98" s="60">
        <f t="shared" si="74"/>
        <v>838.4714957147562</v>
      </c>
      <c r="EO98" s="60">
        <f ca="1">AVERAGE(OFFSET($EN$3,0,0,'Données projet'!$E$15+1,1))-AVERAGE(OFFSET($H$3,0,0,'Données projet'!$E$15+1,1))</f>
        <v>428.8489304403459</v>
      </c>
      <c r="EP98" s="60">
        <f t="shared" si="100"/>
        <v>247.01165577562966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 t="e">
        <f>N99*VLOOKUP('Données projet'!$B$9,Paramètres!$A$1:$I$89,3,0)*VLOOKUP('Données projet'!$B$9,Paramètres!$A$1:$I$89,5,0)</f>
        <v>#N/A</v>
      </c>
      <c r="P99" s="14" t="e">
        <f t="shared" si="87"/>
        <v>#N/A</v>
      </c>
      <c r="Q99" s="22" t="e">
        <f t="shared" ref="Q99:Q130" si="107">(O99+P99)*0.475*44/12</f>
        <v>#N/A</v>
      </c>
      <c r="R99" s="60" t="e">
        <f t="shared" si="55"/>
        <v>#N/A</v>
      </c>
      <c r="S99" s="60" t="e">
        <f ca="1">AVERAGE(OFFSET($R$3,0,0,'Données projet'!$E$9+1,1))-AVERAGE(OFFSET($H$3,0,0,'Données projet'!$E$9+1,1))</f>
        <v>#N/A</v>
      </c>
      <c r="T99" s="60" t="e">
        <f t="shared" si="88"/>
        <v>#N/A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 t="e">
        <f>EXP(-LN(2)/35)*Z98+(1-EXP(-LN(2)/35))/(LN(2)/35)*V99*W99*VLOOKUP('Données projet'!$B$9,Paramètres!$A$1:$I$89,3,0)*0.475*44/12</f>
        <v>#N/A</v>
      </c>
      <c r="AA99" s="23" t="e">
        <f>EXP(-LN(2)/25)*AA98+(1-EXP(-LN(2)/25))/(LN(2)/25)*Calculateur!V99*Calculateur!X99*VLOOKUP('Données projet'!$B$9,Paramètres!$A$1:$I$89,3,0)*0.475*44/12</f>
        <v>#N/A</v>
      </c>
      <c r="AB99" s="23" t="e">
        <f>EXP(-LN(2)/2)*AB98+(1-EXP(-LN(2)/2))/(LN(2)/2)*V99*Y99*VLOOKUP('Données projet'!$B$9,Paramètres!$A$1:$I$89,3,0)*0.475*44/12</f>
        <v>#N/A</v>
      </c>
      <c r="AC99" s="24" t="e">
        <f t="shared" si="57"/>
        <v>#N/A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0" t="e">
        <f t="shared" si="59"/>
        <v>#N/A</v>
      </c>
      <c r="AN99" s="60" t="e">
        <f ca="1">AVERAGE(OFFSET($AM$3,0,0,'Données projet'!$E$10+1,1))-AVERAGE(OFFSET($H$3,0,0,'Données projet'!$E$10+1,1))</f>
        <v>#N/A</v>
      </c>
      <c r="AO99" s="60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3.2051282051281986</v>
      </c>
      <c r="BD99" s="13">
        <f>IF('Données projet'!$A$88&gt;35,BD98+BC99-BL98,IF(A99&lt;'Données projet'!$A$88,$BA$205^A99,IF(A99='Données projet'!$A$88,'Données projet'!$B$88,BD98+BC99-BL98)))</f>
        <v>213.46153846153851</v>
      </c>
      <c r="BE99" s="14">
        <f>BD99*VLOOKUP('Données projet'!$B$11,Paramètres!$A$1:$I$89,3,0)*VLOOKUP('Données projet'!$B$11,Paramètres!$A$1:$I$89,5,0)</f>
        <v>203.13000000000002</v>
      </c>
      <c r="BF99" s="14">
        <f t="shared" si="91"/>
        <v>50.431424067617797</v>
      </c>
      <c r="BG99" s="22">
        <f t="shared" si="61"/>
        <v>441.61948025110104</v>
      </c>
      <c r="BH99" s="60">
        <f t="shared" si="62"/>
        <v>734.95281358443435</v>
      </c>
      <c r="BI99" s="60">
        <f ca="1">AVERAGE(OFFSET($BH$3,0,0,'Données projet'!$E$11+1,1))-AVERAGE(OFFSET($H$3,0,0,'Données projet'!$E$11+1,1))</f>
        <v>357.083670644861</v>
      </c>
      <c r="BJ99" s="60">
        <f t="shared" si="92"/>
        <v>299.88885091109654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8.1410256410256405</v>
      </c>
      <c r="BY99" s="13">
        <f>IF('Données projet'!$A$114&gt;35,BY98+BX99-CG98,IF(A99&lt;'Données projet'!$A$114,$BV$205^A99,IF(A99='Données projet'!$A$114,'Données projet'!$B$114,BY98+BX99-CG98)))</f>
        <v>373.26923076923026</v>
      </c>
      <c r="BZ99" s="14">
        <f>BY99*VLOOKUP('Données projet'!$B$12,Paramètres!$A$1:$I$89,3,0)*VLOOKUP('Données projet'!$B$12,Paramètres!$A$1:$I$89,5,0)</f>
        <v>174.68999999999974</v>
      </c>
      <c r="CA99" s="14">
        <f t="shared" si="93"/>
        <v>44.138758070364624</v>
      </c>
      <c r="CB99" s="22">
        <f t="shared" si="64"/>
        <v>381.1267536392179</v>
      </c>
      <c r="CC99" s="60">
        <f t="shared" si="65"/>
        <v>674.46008697255115</v>
      </c>
      <c r="CD99" s="60">
        <f ca="1">AVERAGE(OFFSET($CC$3,0,0,'Données projet'!$E$12+1,1))-AVERAGE(OFFSET($H$3,0,0,'Données projet'!$E$12+1,1))</f>
        <v>245.98992992759543</v>
      </c>
      <c r="CE99" s="60">
        <f t="shared" si="94"/>
        <v>145.34368562171613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274.10447999999991</v>
      </c>
      <c r="CV99" s="14">
        <f t="shared" si="95"/>
        <v>65.719577181765516</v>
      </c>
      <c r="CW99" s="22">
        <f t="shared" si="67"/>
        <v>591.86023292490802</v>
      </c>
      <c r="CX99" s="60">
        <f t="shared" si="68"/>
        <v>885.19356625824139</v>
      </c>
      <c r="CY99" s="60">
        <f ca="1">AVERAGE(OFFSET($CX$3,0,0,'Données projet'!$E$13+1,1))-AVERAGE(OFFSET($H$3,0,0,'Données projet'!$E$13+1,1))</f>
        <v>455.50822833641354</v>
      </c>
      <c r="CZ99" s="60">
        <f t="shared" si="96"/>
        <v>261.14722581688039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4.9000000000000004</v>
      </c>
      <c r="DO99" s="13">
        <f>IF('Données projet'!$A$166&gt;35,DO98+DN99-DW98,IF(A99&lt;'Données projet'!$A$166,$DL$205^A99,IF(A99='Données projet'!$A$166,'Données projet'!$B$166,DO98+DN99-DW98)))</f>
        <v>283.39999999999992</v>
      </c>
      <c r="DP99" s="18">
        <f>DO99*VLOOKUP('Données projet'!$B$14,Paramètres!$A$1:$I$89,3,0)*VLOOKUP('Données projet'!$B$14,Paramètres!$A$1:$I$89,5,0)</f>
        <v>305.05175999999989</v>
      </c>
      <c r="DQ99" s="14">
        <f t="shared" si="97"/>
        <v>72.23447495258219</v>
      </c>
      <c r="DR99" s="22">
        <f t="shared" si="70"/>
        <v>657.10685920908043</v>
      </c>
      <c r="DS99" s="60">
        <f t="shared" si="71"/>
        <v>950.4401925424138</v>
      </c>
      <c r="DT99" s="60">
        <f ca="1">AVERAGE(OFFSET($DS$3,0,0,'Données projet'!$E$14+1,1))-AVERAGE(OFFSET($H$3,0,0,'Données projet'!$E$14+1,1))</f>
        <v>502.07782026233912</v>
      </c>
      <c r="DU99" s="60">
        <f t="shared" si="98"/>
        <v>285.83623046025156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4.9000000000000004</v>
      </c>
      <c r="EJ99" s="13">
        <f>IF('Données projet'!$A$192&gt;35,EJ98+EI99-ER98,IF(A99&lt;'Données projet'!$A$192,$EG$205^A99,IF(A99='Données projet'!$A$192,'Données projet'!$B$192,EJ98+EI99-ER98)))</f>
        <v>283.39999999999992</v>
      </c>
      <c r="EK99" s="18">
        <f>EJ99*VLOOKUP('Données projet'!$B$15,Paramètres!$A$1:$I$89,3,0)*VLOOKUP('Données projet'!$B$15,Paramètres!$A$1:$I$89,5,0)</f>
        <v>256.42031999999989</v>
      </c>
      <c r="EL99" s="14">
        <f t="shared" si="99"/>
        <v>61.958720258016918</v>
      </c>
      <c r="EM99" s="22">
        <f t="shared" si="73"/>
        <v>554.51016178271254</v>
      </c>
      <c r="EN99" s="60">
        <f t="shared" si="74"/>
        <v>847.84349511604591</v>
      </c>
      <c r="EO99" s="60">
        <f ca="1">AVERAGE(OFFSET($EN$3,0,0,'Données projet'!$E$15+1,1))-AVERAGE(OFFSET($H$3,0,0,'Données projet'!$E$15+1,1))</f>
        <v>428.8489304403459</v>
      </c>
      <c r="EP99" s="60">
        <f t="shared" si="100"/>
        <v>247.01165577562966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 t="e">
        <f>N100*VLOOKUP('Données projet'!$B$9,Paramètres!$A$1:$I$89,3,0)*VLOOKUP('Données projet'!$B$9,Paramètres!$A$1:$I$89,5,0)</f>
        <v>#N/A</v>
      </c>
      <c r="P100" s="14" t="e">
        <f t="shared" si="87"/>
        <v>#N/A</v>
      </c>
      <c r="Q100" s="22" t="e">
        <f t="shared" si="107"/>
        <v>#N/A</v>
      </c>
      <c r="R100" s="60" t="e">
        <f t="shared" si="55"/>
        <v>#N/A</v>
      </c>
      <c r="S100" s="60" t="e">
        <f ca="1">AVERAGE(OFFSET($R$3,0,0,'Données projet'!$E$9+1,1))-AVERAGE(OFFSET($H$3,0,0,'Données projet'!$E$9+1,1))</f>
        <v>#N/A</v>
      </c>
      <c r="T100" s="60" t="e">
        <f t="shared" si="88"/>
        <v>#N/A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 t="e">
        <f>EXP(-LN(2)/35)*Z99+(1-EXP(-LN(2)/35))/(LN(2)/35)*V100*W100*VLOOKUP('Données projet'!$B$9,Paramètres!$A$1:$I$89,3,0)*0.475*44/12</f>
        <v>#N/A</v>
      </c>
      <c r="AA100" s="23" t="e">
        <f>EXP(-LN(2)/25)*AA99+(1-EXP(-LN(2)/25))/(LN(2)/25)*Calculateur!V100*Calculateur!X100*VLOOKUP('Données projet'!$B$9,Paramètres!$A$1:$I$89,3,0)*0.475*44/12</f>
        <v>#N/A</v>
      </c>
      <c r="AB100" s="23" t="e">
        <f>EXP(-LN(2)/2)*AB99+(1-EXP(-LN(2)/2))/(LN(2)/2)*V100*Y100*VLOOKUP('Données projet'!$B$9,Paramètres!$A$1:$I$89,3,0)*0.475*44/12</f>
        <v>#N/A</v>
      </c>
      <c r="AC100" s="24" t="e">
        <f t="shared" si="57"/>
        <v>#N/A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0" t="e">
        <f t="shared" si="59"/>
        <v>#N/A</v>
      </c>
      <c r="AN100" s="60" t="e">
        <f ca="1">AVERAGE(OFFSET($AM$3,0,0,'Données projet'!$E$10+1,1))-AVERAGE(OFFSET($H$3,0,0,'Données projet'!$E$10+1,1))</f>
        <v>#N/A</v>
      </c>
      <c r="AO100" s="60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3.2051282051281986</v>
      </c>
      <c r="BD100" s="13">
        <f>IF('Données projet'!$A$88&gt;35,BD99+BC100-BL99,IF(A100&lt;'Données projet'!$A$88,$BA$205^A100,IF(A100='Données projet'!$A$88,'Données projet'!$B$88,BD99+BC100-BL99)))</f>
        <v>216.66666666666671</v>
      </c>
      <c r="BE100" s="14">
        <f>BD100*VLOOKUP('Données projet'!$B$11,Paramètres!$A$1:$I$89,3,0)*VLOOKUP('Données projet'!$B$11,Paramètres!$A$1:$I$89,5,0)</f>
        <v>206.18000000000004</v>
      </c>
      <c r="BF100" s="14">
        <f t="shared" si="91"/>
        <v>51.09992979292003</v>
      </c>
      <c r="BG100" s="22">
        <f t="shared" si="61"/>
        <v>448.09587772266917</v>
      </c>
      <c r="BH100" s="60">
        <f t="shared" si="62"/>
        <v>741.42921105600249</v>
      </c>
      <c r="BI100" s="60">
        <f ca="1">AVERAGE(OFFSET($BH$3,0,0,'Données projet'!$E$11+1,1))-AVERAGE(OFFSET($H$3,0,0,'Données projet'!$E$11+1,1))</f>
        <v>357.083670644861</v>
      </c>
      <c r="BJ100" s="60">
        <f t="shared" si="92"/>
        <v>299.88885091109654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8.1410256410256405</v>
      </c>
      <c r="BY100" s="13">
        <f>IF('Données projet'!$A$114&gt;35,BY99+BX100-CG99,IF(A100&lt;'Données projet'!$A$114,$BV$205^A100,IF(A100='Données projet'!$A$114,'Données projet'!$B$114,BY99+BX100-CG99)))</f>
        <v>381.4102564102559</v>
      </c>
      <c r="BZ100" s="14">
        <f>BY100*VLOOKUP('Données projet'!$B$12,Paramètres!$A$1:$I$89,3,0)*VLOOKUP('Données projet'!$B$12,Paramètres!$A$1:$I$89,5,0)</f>
        <v>178.49999999999977</v>
      </c>
      <c r="CA100" s="14">
        <f t="shared" si="93"/>
        <v>44.988301442921504</v>
      </c>
      <c r="CB100" s="22">
        <f t="shared" si="64"/>
        <v>389.24212501308784</v>
      </c>
      <c r="CC100" s="60">
        <f t="shared" si="65"/>
        <v>682.5754583464211</v>
      </c>
      <c r="CD100" s="60">
        <f ca="1">AVERAGE(OFFSET($CC$3,0,0,'Données projet'!$E$12+1,1))-AVERAGE(OFFSET($H$3,0,0,'Données projet'!$E$12+1,1))</f>
        <v>245.98992992759543</v>
      </c>
      <c r="CE100" s="60">
        <f t="shared" si="94"/>
        <v>145.34368562171613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278.84375999999992</v>
      </c>
      <c r="CV100" s="14">
        <f t="shared" si="95"/>
        <v>66.722603316177725</v>
      </c>
      <c r="CW100" s="22">
        <f t="shared" si="67"/>
        <v>601.86141610900938</v>
      </c>
      <c r="CX100" s="60">
        <f t="shared" si="68"/>
        <v>895.19474944234275</v>
      </c>
      <c r="CY100" s="60">
        <f ca="1">AVERAGE(OFFSET($CX$3,0,0,'Données projet'!$E$13+1,1))-AVERAGE(OFFSET($H$3,0,0,'Données projet'!$E$13+1,1))</f>
        <v>455.50822833641354</v>
      </c>
      <c r="CZ100" s="60">
        <f t="shared" si="96"/>
        <v>261.14722581688039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4.9000000000000004</v>
      </c>
      <c r="DO100" s="13">
        <f>IF('Données projet'!$A$166&gt;35,DO99+DN100-DW99,IF(A100&lt;'Données projet'!$A$166,$DL$205^A100,IF(A100='Données projet'!$A$166,'Données projet'!$B$166,DO99+DN100-DW99)))</f>
        <v>288.2999999999999</v>
      </c>
      <c r="DP100" s="18">
        <f>DO100*VLOOKUP('Données projet'!$B$14,Paramètres!$A$1:$I$89,3,0)*VLOOKUP('Données projet'!$B$14,Paramètres!$A$1:$I$89,5,0)</f>
        <v>310.32611999999989</v>
      </c>
      <c r="DQ100" s="14">
        <f t="shared" si="97"/>
        <v>73.336932839409357</v>
      </c>
      <c r="DR100" s="22">
        <f t="shared" si="70"/>
        <v>668.21315036197109</v>
      </c>
      <c r="DS100" s="60">
        <f t="shared" si="71"/>
        <v>961.54648369530446</v>
      </c>
      <c r="DT100" s="60">
        <f ca="1">AVERAGE(OFFSET($DS$3,0,0,'Données projet'!$E$14+1,1))-AVERAGE(OFFSET($H$3,0,0,'Données projet'!$E$14+1,1))</f>
        <v>502.07782026233912</v>
      </c>
      <c r="DU100" s="60">
        <f t="shared" si="98"/>
        <v>285.83623046025156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4.9000000000000004</v>
      </c>
      <c r="EJ100" s="13">
        <f>IF('Données projet'!$A$192&gt;35,EJ99+EI100-ER99,IF(A100&lt;'Données projet'!$A$192,$EG$205^A100,IF(A100='Données projet'!$A$192,'Données projet'!$B$192,EJ99+EI100-ER99)))</f>
        <v>288.2999999999999</v>
      </c>
      <c r="EK100" s="18">
        <f>EJ100*VLOOKUP('Données projet'!$B$15,Paramètres!$A$1:$I$89,3,0)*VLOOKUP('Données projet'!$B$15,Paramètres!$A$1:$I$89,5,0)</f>
        <v>260.85383999999993</v>
      </c>
      <c r="EL100" s="14">
        <f t="shared" si="99"/>
        <v>62.904347395903763</v>
      </c>
      <c r="EM100" s="22">
        <f t="shared" si="73"/>
        <v>563.87884304786564</v>
      </c>
      <c r="EN100" s="60">
        <f t="shared" si="74"/>
        <v>857.21217638119901</v>
      </c>
      <c r="EO100" s="60">
        <f ca="1">AVERAGE(OFFSET($EN$3,0,0,'Données projet'!$E$15+1,1))-AVERAGE(OFFSET($H$3,0,0,'Données projet'!$E$15+1,1))</f>
        <v>428.8489304403459</v>
      </c>
      <c r="EP100" s="60">
        <f t="shared" si="100"/>
        <v>247.01165577562966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 t="e">
        <f>N101*VLOOKUP('Données projet'!$B$9,Paramètres!$A$1:$I$89,3,0)*VLOOKUP('Données projet'!$B$9,Paramètres!$A$1:$I$89,5,0)</f>
        <v>#N/A</v>
      </c>
      <c r="P101" s="14" t="e">
        <f t="shared" si="87"/>
        <v>#N/A</v>
      </c>
      <c r="Q101" s="22" t="e">
        <f t="shared" si="107"/>
        <v>#N/A</v>
      </c>
      <c r="R101" s="60" t="e">
        <f t="shared" si="55"/>
        <v>#N/A</v>
      </c>
      <c r="S101" s="60" t="e">
        <f ca="1">AVERAGE(OFFSET($R$3,0,0,'Données projet'!$E$9+1,1))-AVERAGE(OFFSET($H$3,0,0,'Données projet'!$E$9+1,1))</f>
        <v>#N/A</v>
      </c>
      <c r="T101" s="60" t="e">
        <f t="shared" si="88"/>
        <v>#N/A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 t="e">
        <f>EXP(-LN(2)/35)*Z100+(1-EXP(-LN(2)/35))/(LN(2)/35)*V101*W101*VLOOKUP('Données projet'!$B$9,Paramètres!$A$1:$I$89,3,0)*0.475*44/12</f>
        <v>#N/A</v>
      </c>
      <c r="AA101" s="23" t="e">
        <f>EXP(-LN(2)/25)*AA100+(1-EXP(-LN(2)/25))/(LN(2)/25)*Calculateur!V101*Calculateur!X101*VLOOKUP('Données projet'!$B$9,Paramètres!$A$1:$I$89,3,0)*0.475*44/12</f>
        <v>#N/A</v>
      </c>
      <c r="AB101" s="23" t="e">
        <f>EXP(-LN(2)/2)*AB100+(1-EXP(-LN(2)/2))/(LN(2)/2)*V101*Y101*VLOOKUP('Données projet'!$B$9,Paramètres!$A$1:$I$89,3,0)*0.475*44/12</f>
        <v>#N/A</v>
      </c>
      <c r="AC101" s="24" t="e">
        <f t="shared" si="57"/>
        <v>#N/A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0" t="e">
        <f t="shared" si="59"/>
        <v>#N/A</v>
      </c>
      <c r="AN101" s="60" t="e">
        <f ca="1">AVERAGE(OFFSET($AM$3,0,0,'Données projet'!$E$10+1,1))-AVERAGE(OFFSET($H$3,0,0,'Données projet'!$E$10+1,1))</f>
        <v>#N/A</v>
      </c>
      <c r="AO101" s="60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3.2051282051281986</v>
      </c>
      <c r="BD101" s="13">
        <f>IF('Données projet'!$A$88&gt;35,BD100+BC101-BL100,IF(A101&lt;'Données projet'!$A$88,$BA$205^A101,IF(A101='Données projet'!$A$88,'Données projet'!$B$88,BD100+BC101-BL100)))</f>
        <v>219.87179487179492</v>
      </c>
      <c r="BE101" s="14">
        <f>BD101*VLOOKUP('Données projet'!$B$11,Paramètres!$A$1:$I$89,3,0)*VLOOKUP('Données projet'!$B$11,Paramètres!$A$1:$I$89,5,0)</f>
        <v>209.23000000000005</v>
      </c>
      <c r="BF101" s="14">
        <f t="shared" si="91"/>
        <v>51.767285368675203</v>
      </c>
      <c r="BG101" s="22">
        <f t="shared" si="61"/>
        <v>454.5702720171094</v>
      </c>
      <c r="BH101" s="60">
        <f t="shared" si="62"/>
        <v>747.90360535044272</v>
      </c>
      <c r="BI101" s="60">
        <f ca="1">AVERAGE(OFFSET($BH$3,0,0,'Données projet'!$E$11+1,1))-AVERAGE(OFFSET($H$3,0,0,'Données projet'!$E$11+1,1))</f>
        <v>357.083670644861</v>
      </c>
      <c r="BJ101" s="60">
        <f t="shared" si="92"/>
        <v>299.88885091109654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8.1410256410256405</v>
      </c>
      <c r="BY101" s="13">
        <f>IF('Données projet'!$A$114&gt;35,BY100+BX101-CG100,IF(A101&lt;'Données projet'!$A$114,$BV$205^A101,IF(A101='Données projet'!$A$114,'Données projet'!$B$114,BY100+BX101-CG100)))</f>
        <v>389.55128205128153</v>
      </c>
      <c r="BZ101" s="14">
        <f>BY101*VLOOKUP('Données projet'!$B$12,Paramètres!$A$1:$I$89,3,0)*VLOOKUP('Données projet'!$B$12,Paramètres!$A$1:$I$89,5,0)</f>
        <v>182.30999999999975</v>
      </c>
      <c r="CA101" s="14">
        <f t="shared" si="93"/>
        <v>45.835736572036403</v>
      </c>
      <c r="CB101" s="22">
        <f t="shared" si="64"/>
        <v>397.35382452962966</v>
      </c>
      <c r="CC101" s="60">
        <f t="shared" si="65"/>
        <v>690.68715786296298</v>
      </c>
      <c r="CD101" s="60">
        <f ca="1">AVERAGE(OFFSET($CC$3,0,0,'Données projet'!$E$12+1,1))-AVERAGE(OFFSET($H$3,0,0,'Données projet'!$E$12+1,1))</f>
        <v>245.98992992759543</v>
      </c>
      <c r="CE101" s="60">
        <f t="shared" si="94"/>
        <v>145.34368562171613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283.58303999999993</v>
      </c>
      <c r="CV101" s="14">
        <f t="shared" si="95"/>
        <v>67.723646968605209</v>
      </c>
      <c r="CW101" s="22">
        <f t="shared" si="67"/>
        <v>611.85914647032064</v>
      </c>
      <c r="CX101" s="60">
        <f t="shared" si="68"/>
        <v>905.1924798036539</v>
      </c>
      <c r="CY101" s="60">
        <f ca="1">AVERAGE(OFFSET($CX$3,0,0,'Données projet'!$E$13+1,1))-AVERAGE(OFFSET($H$3,0,0,'Données projet'!$E$13+1,1))</f>
        <v>455.50822833641354</v>
      </c>
      <c r="CZ101" s="60">
        <f t="shared" si="96"/>
        <v>261.14722581688039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4.9000000000000004</v>
      </c>
      <c r="DO101" s="13">
        <f>IF('Données projet'!$A$166&gt;35,DO100+DN101-DW100,IF(A101&lt;'Données projet'!$A$166,$DL$205^A101,IF(A101='Données projet'!$A$166,'Données projet'!$B$166,DO100+DN101-DW100)))</f>
        <v>293.19999999999987</v>
      </c>
      <c r="DP101" s="18">
        <f>DO101*VLOOKUP('Données projet'!$B$14,Paramètres!$A$1:$I$89,3,0)*VLOOKUP('Données projet'!$B$14,Paramètres!$A$1:$I$89,5,0)</f>
        <v>315.60047999999989</v>
      </c>
      <c r="DQ101" s="14">
        <f t="shared" si="97"/>
        <v>74.437211717310802</v>
      </c>
      <c r="DR101" s="22">
        <f t="shared" si="70"/>
        <v>679.31564640764952</v>
      </c>
      <c r="DS101" s="60">
        <f t="shared" si="71"/>
        <v>972.6489797409829</v>
      </c>
      <c r="DT101" s="60">
        <f ca="1">AVERAGE(OFFSET($DS$3,0,0,'Données projet'!$E$14+1,1))-AVERAGE(OFFSET($H$3,0,0,'Données projet'!$E$14+1,1))</f>
        <v>502.07782026233912</v>
      </c>
      <c r="DU101" s="60">
        <f t="shared" si="98"/>
        <v>285.83623046025156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4.9000000000000004</v>
      </c>
      <c r="EJ101" s="13">
        <f>IF('Données projet'!$A$192&gt;35,EJ100+EI101-ER100,IF(A101&lt;'Données projet'!$A$192,$EG$205^A101,IF(A101='Données projet'!$A$192,'Données projet'!$B$192,EJ100+EI101-ER100)))</f>
        <v>293.19999999999987</v>
      </c>
      <c r="EK101" s="18">
        <f>EJ101*VLOOKUP('Données projet'!$B$15,Paramètres!$A$1:$I$89,3,0)*VLOOKUP('Données projet'!$B$15,Paramètres!$A$1:$I$89,5,0)</f>
        <v>265.28735999999992</v>
      </c>
      <c r="EL101" s="14">
        <f t="shared" si="99"/>
        <v>63.84810550096995</v>
      </c>
      <c r="EM101" s="22">
        <f t="shared" si="73"/>
        <v>573.24426908085582</v>
      </c>
      <c r="EN101" s="60">
        <f t="shared" si="74"/>
        <v>866.57760241418919</v>
      </c>
      <c r="EO101" s="60">
        <f ca="1">AVERAGE(OFFSET($EN$3,0,0,'Données projet'!$E$15+1,1))-AVERAGE(OFFSET($H$3,0,0,'Données projet'!$E$15+1,1))</f>
        <v>428.8489304403459</v>
      </c>
      <c r="EP101" s="60">
        <f t="shared" si="100"/>
        <v>247.01165577562966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 t="e">
        <f>N102*VLOOKUP('Données projet'!$B$9,Paramètres!$A$1:$I$89,3,0)*VLOOKUP('Données projet'!$B$9,Paramètres!$A$1:$I$89,5,0)</f>
        <v>#N/A</v>
      </c>
      <c r="P102" s="14" t="e">
        <f t="shared" si="87"/>
        <v>#N/A</v>
      </c>
      <c r="Q102" s="22" t="e">
        <f t="shared" si="107"/>
        <v>#N/A</v>
      </c>
      <c r="R102" s="60" t="e">
        <f t="shared" si="55"/>
        <v>#N/A</v>
      </c>
      <c r="S102" s="60" t="e">
        <f ca="1">AVERAGE(OFFSET($R$3,0,0,'Données projet'!$E$9+1,1))-AVERAGE(OFFSET($H$3,0,0,'Données projet'!$E$9+1,1))</f>
        <v>#N/A</v>
      </c>
      <c r="T102" s="60" t="e">
        <f t="shared" si="88"/>
        <v>#N/A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 t="e">
        <f>EXP(-LN(2)/35)*Z101+(1-EXP(-LN(2)/35))/(LN(2)/35)*V102*W102*VLOOKUP('Données projet'!$B$9,Paramètres!$A$1:$I$89,3,0)*0.475*44/12</f>
        <v>#N/A</v>
      </c>
      <c r="AA102" s="23" t="e">
        <f>EXP(-LN(2)/25)*AA101+(1-EXP(-LN(2)/25))/(LN(2)/25)*Calculateur!V102*Calculateur!X102*VLOOKUP('Données projet'!$B$9,Paramètres!$A$1:$I$89,3,0)*0.475*44/12</f>
        <v>#N/A</v>
      </c>
      <c r="AB102" s="23" t="e">
        <f>EXP(-LN(2)/2)*AB101+(1-EXP(-LN(2)/2))/(LN(2)/2)*V102*Y102*VLOOKUP('Données projet'!$B$9,Paramètres!$A$1:$I$89,3,0)*0.475*44/12</f>
        <v>#N/A</v>
      </c>
      <c r="AC102" s="24" t="e">
        <f t="shared" si="57"/>
        <v>#N/A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0" t="e">
        <f t="shared" si="59"/>
        <v>#N/A</v>
      </c>
      <c r="AN102" s="60" t="e">
        <f ca="1">AVERAGE(OFFSET($AM$3,0,0,'Données projet'!$E$10+1,1))-AVERAGE(OFFSET($H$3,0,0,'Données projet'!$E$10+1,1))</f>
        <v>#N/A</v>
      </c>
      <c r="AO102" s="60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3.2051282051281986</v>
      </c>
      <c r="BD102" s="13">
        <f>IF('Données projet'!$A$88&gt;35,BD101+BC102-BL101,IF(A102&lt;'Données projet'!$A$88,$BA$205^A102,IF(A102='Données projet'!$A$88,'Données projet'!$B$88,BD101+BC102-BL101)))</f>
        <v>223.07692307692312</v>
      </c>
      <c r="BE102" s="14">
        <f>BD102*VLOOKUP('Données projet'!$B$11,Paramètres!$A$1:$I$89,3,0)*VLOOKUP('Données projet'!$B$11,Paramètres!$A$1:$I$89,5,0)</f>
        <v>212.28000000000003</v>
      </c>
      <c r="BF102" s="14">
        <f t="shared" si="91"/>
        <v>52.433509497939937</v>
      </c>
      <c r="BG102" s="22">
        <f t="shared" si="61"/>
        <v>461.04269570891211</v>
      </c>
      <c r="BH102" s="60">
        <f t="shared" si="62"/>
        <v>754.37602904224536</v>
      </c>
      <c r="BI102" s="60">
        <f ca="1">AVERAGE(OFFSET($BH$3,0,0,'Données projet'!$E$11+1,1))-AVERAGE(OFFSET($H$3,0,0,'Données projet'!$E$11+1,1))</f>
        <v>357.083670644861</v>
      </c>
      <c r="BJ102" s="60">
        <f t="shared" si="92"/>
        <v>299.88885091109654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>
        <f>VLOOKUP(A102,'Données projet'!$A$113:$I$133,2,0)</f>
        <v>397.69230769230768</v>
      </c>
      <c r="BW102" s="13">
        <f>VLOOKUP(A102,'Données projet'!$A$113:$I$133,9,0)</f>
        <v>8.1410256410256405</v>
      </c>
      <c r="BX102" s="13">
        <f t="array" ref="BX102">INDEX(BW:BW,MIN(IF(ISNUMBER(BW102:BW298),ROW(BW102:BW298),"")))</f>
        <v>8.1410256410256405</v>
      </c>
      <c r="BY102" s="13">
        <f>IF('Données projet'!$A$114&gt;35,BY101+BX102-CG101,IF(A102&lt;'Données projet'!$A$114,$BV$205^A102,IF(A102='Données projet'!$A$114,'Données projet'!$B$114,BY101+BX102-CG101)))</f>
        <v>397.69230769230717</v>
      </c>
      <c r="BZ102" s="14">
        <f>BY102*VLOOKUP('Données projet'!$B$12,Paramètres!$A$1:$I$89,3,0)*VLOOKUP('Données projet'!$B$12,Paramètres!$A$1:$I$89,5,0)</f>
        <v>186.11999999999975</v>
      </c>
      <c r="CA102" s="14">
        <f t="shared" si="93"/>
        <v>46.681112592689374</v>
      </c>
      <c r="CB102" s="22">
        <f t="shared" si="64"/>
        <v>405.46193776560017</v>
      </c>
      <c r="CC102" s="60">
        <f t="shared" si="65"/>
        <v>698.79527109893343</v>
      </c>
      <c r="CD102" s="60">
        <f ca="1">AVERAGE(OFFSET($CC$3,0,0,'Données projet'!$E$12+1,1))-AVERAGE(OFFSET($H$3,0,0,'Données projet'!$E$12+1,1))</f>
        <v>245.98992992759543</v>
      </c>
      <c r="CE102" s="60">
        <f t="shared" si="94"/>
        <v>145.34368562171613</v>
      </c>
      <c r="CF102" s="16">
        <f>IF(ISNA(VLOOKUP(A102,'Données projet'!$A$113:$I$133,3,0)),0,VLOOKUP(A102,'Données projet'!$A$113:$I$133,3,0))</f>
        <v>5</v>
      </c>
      <c r="CG102" s="16">
        <f>IF(ISNA(VLOOKUP(A102,'Données projet'!$A$113:$I$133,4,0)),0,VLOOKUP(A102,'Données projet'!$A$113:$I$133,4,0))</f>
        <v>198.46153846153845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288.32231999999988</v>
      </c>
      <c r="CV102" s="14">
        <f t="shared" si="95"/>
        <v>68.722745094590621</v>
      </c>
      <c r="CW102" s="22">
        <f t="shared" si="67"/>
        <v>621.85348837307845</v>
      </c>
      <c r="CX102" s="60">
        <f t="shared" si="68"/>
        <v>915.18682170641182</v>
      </c>
      <c r="CY102" s="60">
        <f ca="1">AVERAGE(OFFSET($CX$3,0,0,'Données projet'!$E$13+1,1))-AVERAGE(OFFSET($H$3,0,0,'Données projet'!$E$13+1,1))</f>
        <v>455.50822833641354</v>
      </c>
      <c r="CZ102" s="60">
        <f t="shared" si="96"/>
        <v>261.14722581688039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4.9000000000000004</v>
      </c>
      <c r="DO102" s="13">
        <f>IF('Données projet'!$A$166&gt;35,DO101+DN102-DW101,IF(A102&lt;'Données projet'!$A$166,$DL$205^A102,IF(A102='Données projet'!$A$166,'Données projet'!$B$166,DO101+DN102-DW101)))</f>
        <v>298.09999999999985</v>
      </c>
      <c r="DP102" s="18">
        <f>DO102*VLOOKUP('Données projet'!$B$14,Paramètres!$A$1:$I$89,3,0)*VLOOKUP('Données projet'!$B$14,Paramètres!$A$1:$I$89,5,0)</f>
        <v>320.87483999999984</v>
      </c>
      <c r="DQ102" s="14">
        <f t="shared" si="97"/>
        <v>75.535352205297585</v>
      </c>
      <c r="DR102" s="22">
        <f t="shared" si="70"/>
        <v>690.41441809089304</v>
      </c>
      <c r="DS102" s="60">
        <f t="shared" si="71"/>
        <v>983.74775142422641</v>
      </c>
      <c r="DT102" s="60">
        <f ca="1">AVERAGE(OFFSET($DS$3,0,0,'Données projet'!$E$14+1,1))-AVERAGE(OFFSET($H$3,0,0,'Données projet'!$E$14+1,1))</f>
        <v>502.07782026233912</v>
      </c>
      <c r="DU102" s="60">
        <f t="shared" si="98"/>
        <v>285.83623046025156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4.9000000000000004</v>
      </c>
      <c r="EJ102" s="13">
        <f>IF('Données projet'!$A$192&gt;35,EJ101+EI102-ER101,IF(A102&lt;'Données projet'!$A$192,$EG$205^A102,IF(A102='Données projet'!$A$192,'Données projet'!$B$192,EJ101+EI102-ER101)))</f>
        <v>298.09999999999985</v>
      </c>
      <c r="EK102" s="18">
        <f>EJ102*VLOOKUP('Données projet'!$B$15,Paramètres!$A$1:$I$89,3,0)*VLOOKUP('Données projet'!$B$15,Paramètres!$A$1:$I$89,5,0)</f>
        <v>269.72087999999985</v>
      </c>
      <c r="EL102" s="14">
        <f t="shared" si="99"/>
        <v>64.790029413946939</v>
      </c>
      <c r="EM102" s="22">
        <f t="shared" si="73"/>
        <v>582.60650056262409</v>
      </c>
      <c r="EN102" s="60">
        <f t="shared" si="74"/>
        <v>875.93983389595746</v>
      </c>
      <c r="EO102" s="60">
        <f ca="1">AVERAGE(OFFSET($EN$3,0,0,'Données projet'!$E$15+1,1))-AVERAGE(OFFSET($H$3,0,0,'Données projet'!$E$15+1,1))</f>
        <v>428.8489304403459</v>
      </c>
      <c r="EP102" s="60">
        <f t="shared" si="100"/>
        <v>247.01165577562966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 t="e">
        <f>N103*VLOOKUP('Données projet'!$B$9,Paramètres!$A$1:$I$89,3,0)*VLOOKUP('Données projet'!$B$9,Paramètres!$A$1:$I$89,5,0)</f>
        <v>#N/A</v>
      </c>
      <c r="P103" s="14" t="e">
        <f t="shared" si="87"/>
        <v>#N/A</v>
      </c>
      <c r="Q103" s="22" t="e">
        <f t="shared" si="107"/>
        <v>#N/A</v>
      </c>
      <c r="R103" s="60" t="e">
        <f t="shared" si="55"/>
        <v>#N/A</v>
      </c>
      <c r="S103" s="60" t="e">
        <f ca="1">AVERAGE(OFFSET($R$3,0,0,'Données projet'!$E$9+1,1))-AVERAGE(OFFSET($H$3,0,0,'Données projet'!$E$9+1,1))</f>
        <v>#N/A</v>
      </c>
      <c r="T103" s="60" t="e">
        <f t="shared" si="88"/>
        <v>#N/A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 t="e">
        <f>EXP(-LN(2)/35)*Z102+(1-EXP(-LN(2)/35))/(LN(2)/35)*V103*W103*VLOOKUP('Données projet'!$B$9,Paramètres!$A$1:$I$89,3,0)*0.475*44/12</f>
        <v>#N/A</v>
      </c>
      <c r="AA103" s="23" t="e">
        <f>EXP(-LN(2)/25)*AA102+(1-EXP(-LN(2)/25))/(LN(2)/25)*Calculateur!V103*Calculateur!X103*VLOOKUP('Données projet'!$B$9,Paramètres!$A$1:$I$89,3,0)*0.475*44/12</f>
        <v>#N/A</v>
      </c>
      <c r="AB103" s="23" t="e">
        <f>EXP(-LN(2)/2)*AB102+(1-EXP(-LN(2)/2))/(LN(2)/2)*V103*Y103*VLOOKUP('Données projet'!$B$9,Paramètres!$A$1:$I$89,3,0)*0.475*44/12</f>
        <v>#N/A</v>
      </c>
      <c r="AC103" s="24" t="e">
        <f t="shared" si="57"/>
        <v>#N/A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0" t="e">
        <f t="shared" si="59"/>
        <v>#N/A</v>
      </c>
      <c r="AN103" s="60" t="e">
        <f ca="1">AVERAGE(OFFSET($AM$3,0,0,'Données projet'!$E$10+1,1))-AVERAGE(OFFSET($H$3,0,0,'Données projet'!$E$10+1,1))</f>
        <v>#N/A</v>
      </c>
      <c r="AO103" s="60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226.28205128205127</v>
      </c>
      <c r="BB103" s="13">
        <f>VLOOKUP(A103,'Données projet'!$A$87:$I$107,9,0)</f>
        <v>3.2051282051281986</v>
      </c>
      <c r="BC103" s="13">
        <f t="array" ref="BC103">INDEX(BB:BB,MIN(IF(ISNUMBER(BB103:BB299),ROW(BB103:BB299),"")))</f>
        <v>3.2051282051281986</v>
      </c>
      <c r="BD103" s="13">
        <f>IF('Données projet'!$A$88&gt;35,BD102+BC103-BL102,IF(A103&lt;'Données projet'!$A$88,$BA$205^A103,IF(A103='Données projet'!$A$88,'Données projet'!$B$88,BD102+BC103-BL102)))</f>
        <v>226.28205128205133</v>
      </c>
      <c r="BE103" s="14">
        <f>BD103*VLOOKUP('Données projet'!$B$11,Paramètres!$A$1:$I$89,3,0)*VLOOKUP('Données projet'!$B$11,Paramètres!$A$1:$I$89,5,0)</f>
        <v>215.33000000000004</v>
      </c>
      <c r="BF103" s="14">
        <f t="shared" si="91"/>
        <v>53.098620315464494</v>
      </c>
      <c r="BG103" s="22">
        <f t="shared" si="61"/>
        <v>467.51318038276736</v>
      </c>
      <c r="BH103" s="60">
        <f t="shared" si="62"/>
        <v>760.84651371610062</v>
      </c>
      <c r="BI103" s="60">
        <f ca="1">AVERAGE(OFFSET($BH$3,0,0,'Données projet'!$E$11+1,1))-AVERAGE(OFFSET($H$3,0,0,'Données projet'!$E$11+1,1))</f>
        <v>357.083670644861</v>
      </c>
      <c r="BJ103" s="60">
        <f t="shared" si="92"/>
        <v>299.88885091109654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4.3834924199887695</v>
      </c>
      <c r="BY103" s="13">
        <f>IF('Données projet'!$A$114&gt;35,BY102+BX103-CG102,IF(A103&lt;'Données projet'!$A$114,$BV$205^A103,IF(A103='Données projet'!$A$114,'Données projet'!$B$114,BY102+BX103-CG102)))</f>
        <v>203.6142616507575</v>
      </c>
      <c r="BZ103" s="14">
        <f>BY103*VLOOKUP('Données projet'!$B$12,Paramètres!$A$1:$I$89,3,0)*VLOOKUP('Données projet'!$B$12,Paramètres!$A$1:$I$89,5,0)</f>
        <v>95.291474452554496</v>
      </c>
      <c r="CA103" s="14">
        <f t="shared" si="93"/>
        <v>25.837127043853375</v>
      </c>
      <c r="CB103" s="22">
        <f t="shared" si="64"/>
        <v>210.96564760624369</v>
      </c>
      <c r="CC103" s="60">
        <f t="shared" si="65"/>
        <v>504.29898093957701</v>
      </c>
      <c r="CD103" s="60">
        <f ca="1">AVERAGE(OFFSET($CC$3,0,0,'Données projet'!$E$12+1,1))-AVERAGE(OFFSET($H$3,0,0,'Données projet'!$E$12+1,1))</f>
        <v>245.98992992759543</v>
      </c>
      <c r="CE103" s="60">
        <f t="shared" si="94"/>
        <v>145.34368562171613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293.06159999999983</v>
      </c>
      <c r="CV103" s="14">
        <f t="shared" si="95"/>
        <v>69.719933365116546</v>
      </c>
      <c r="CW103" s="22">
        <f t="shared" si="67"/>
        <v>631.84450394424437</v>
      </c>
      <c r="CX103" s="60">
        <f t="shared" si="68"/>
        <v>925.17783727757774</v>
      </c>
      <c r="CY103" s="60">
        <f ca="1">AVERAGE(OFFSET($CX$3,0,0,'Données projet'!$E$13+1,1))-AVERAGE(OFFSET($H$3,0,0,'Données projet'!$E$13+1,1))</f>
        <v>455.50822833641354</v>
      </c>
      <c r="CZ103" s="60">
        <f t="shared" si="96"/>
        <v>261.14722581688039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4.9000000000000004</v>
      </c>
      <c r="DN103" s="13">
        <f t="array" ref="DN103">INDEX(DM:DM,MIN(IF(ISNUMBER(DM103:DM299),ROW(DM103:DM299),"")))</f>
        <v>4.9000000000000004</v>
      </c>
      <c r="DO103" s="13">
        <f>IF('Données projet'!$A$166&gt;35,DO102+DN103-DW102,IF(A103&lt;'Données projet'!$A$166,$DL$205^A103,IF(A103='Données projet'!$A$166,'Données projet'!$B$166,DO102+DN103-DW102)))</f>
        <v>302.99999999999983</v>
      </c>
      <c r="DP103" s="18">
        <f>DO103*VLOOKUP('Données projet'!$B$14,Paramètres!$A$1:$I$89,3,0)*VLOOKUP('Données projet'!$B$14,Paramètres!$A$1:$I$89,5,0)</f>
        <v>326.14919999999984</v>
      </c>
      <c r="DQ103" s="14">
        <f t="shared" si="97"/>
        <v>76.631393510479555</v>
      </c>
      <c r="DR103" s="22">
        <f t="shared" si="70"/>
        <v>701.50953369741819</v>
      </c>
      <c r="DS103" s="60">
        <f t="shared" si="71"/>
        <v>994.84286703075145</v>
      </c>
      <c r="DT103" s="60">
        <f ca="1">AVERAGE(OFFSET($DS$3,0,0,'Données projet'!$E$14+1,1))-AVERAGE(OFFSET($H$3,0,0,'Données projet'!$E$14+1,1))</f>
        <v>502.07782026233912</v>
      </c>
      <c r="DU103" s="60">
        <f t="shared" si="98"/>
        <v>285.83623046025156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303</v>
      </c>
      <c r="EH103" s="13">
        <f>VLOOKUP(A103,'Données projet'!$A$191:$I$211,9,0)</f>
        <v>4.9000000000000004</v>
      </c>
      <c r="EI103" s="13">
        <f t="array" ref="EI103">INDEX(EH:EH,MIN(IF(ISNUMBER(EH103:EH299),ROW(EH103:EH299),"")))</f>
        <v>4.9000000000000004</v>
      </c>
      <c r="EJ103" s="13">
        <f>IF('Données projet'!$A$192&gt;35,EJ102+EI103-ER102,IF(A103&lt;'Données projet'!$A$192,$EG$205^A103,IF(A103='Données projet'!$A$192,'Données projet'!$B$192,EJ102+EI103-ER102)))</f>
        <v>302.99999999999983</v>
      </c>
      <c r="EK103" s="18">
        <f>EJ103*VLOOKUP('Données projet'!$B$15,Paramètres!$A$1:$I$89,3,0)*VLOOKUP('Données projet'!$B$15,Paramètres!$A$1:$I$89,5,0)</f>
        <v>274.15439999999984</v>
      </c>
      <c r="EL103" s="14">
        <f t="shared" si="99"/>
        <v>65.730152764515779</v>
      </c>
      <c r="EM103" s="22">
        <f t="shared" si="73"/>
        <v>591.9655960648646</v>
      </c>
      <c r="EN103" s="60">
        <f t="shared" si="74"/>
        <v>885.29892939819797</v>
      </c>
      <c r="EO103" s="60">
        <f ca="1">AVERAGE(OFFSET($EN$3,0,0,'Données projet'!$E$15+1,1))-AVERAGE(OFFSET($H$3,0,0,'Données projet'!$E$15+1,1))</f>
        <v>428.8489304403459</v>
      </c>
      <c r="EP103" s="60">
        <f t="shared" si="100"/>
        <v>247.01165577562966</v>
      </c>
      <c r="EQ103" s="16">
        <f>IF(ISNA(VLOOKUP(A103,'Données projet'!$A$191:$I$211,3,0)),0,VLOOKUP(A103,'Données projet'!$A$191:$I$211,3,0))</f>
        <v>8</v>
      </c>
      <c r="ER103" s="16">
        <f>IF(ISNA(VLOOKUP(A103,'Données projet'!$A$191:$I$211,4,0)),0,VLOOKUP(A103,'Données projet'!$A$191:$I$211,4,0))</f>
        <v>42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 t="e">
        <f>N104*VLOOKUP('Données projet'!$B$9,Paramètres!$A$1:$I$89,3,0)*VLOOKUP('Données projet'!$B$9,Paramètres!$A$1:$I$89,5,0)</f>
        <v>#N/A</v>
      </c>
      <c r="P104" s="14" t="e">
        <f t="shared" si="87"/>
        <v>#N/A</v>
      </c>
      <c r="Q104" s="22" t="e">
        <f t="shared" si="107"/>
        <v>#N/A</v>
      </c>
      <c r="R104" s="60" t="e">
        <f t="shared" si="55"/>
        <v>#N/A</v>
      </c>
      <c r="S104" s="60" t="e">
        <f ca="1">AVERAGE(OFFSET($R$3,0,0,'Données projet'!$E$9+1,1))-AVERAGE(OFFSET($H$3,0,0,'Données projet'!$E$9+1,1))</f>
        <v>#N/A</v>
      </c>
      <c r="T104" s="60" t="e">
        <f t="shared" si="88"/>
        <v>#N/A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 t="e">
        <f>EXP(-LN(2)/35)*Z103+(1-EXP(-LN(2)/35))/(LN(2)/35)*V104*W104*VLOOKUP('Données projet'!$B$9,Paramètres!$A$1:$I$89,3,0)*0.475*44/12</f>
        <v>#N/A</v>
      </c>
      <c r="AA104" s="23" t="e">
        <f>EXP(-LN(2)/25)*AA103+(1-EXP(-LN(2)/25))/(LN(2)/25)*Calculateur!V104*Calculateur!X104*VLOOKUP('Données projet'!$B$9,Paramètres!$A$1:$I$89,3,0)*0.475*44/12</f>
        <v>#N/A</v>
      </c>
      <c r="AB104" s="23" t="e">
        <f>EXP(-LN(2)/2)*AB103+(1-EXP(-LN(2)/2))/(LN(2)/2)*V104*Y104*VLOOKUP('Données projet'!$B$9,Paramètres!$A$1:$I$89,3,0)*0.475*44/12</f>
        <v>#N/A</v>
      </c>
      <c r="AC104" s="24" t="e">
        <f t="shared" si="57"/>
        <v>#N/A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0" t="e">
        <f t="shared" si="59"/>
        <v>#N/A</v>
      </c>
      <c r="AN104" s="60" t="e">
        <f ca="1">AVERAGE(OFFSET($AM$3,0,0,'Données projet'!$E$10+1,1))-AVERAGE(OFFSET($H$3,0,0,'Données projet'!$E$10+1,1))</f>
        <v>#N/A</v>
      </c>
      <c r="AO104" s="60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3.0769230769230775</v>
      </c>
      <c r="BD104" s="13">
        <f>IF('Données projet'!$A$88&gt;35,BD103+BC104-BL103,IF(A104&lt;'Données projet'!$A$88,$BA$205^A104,IF(A104='Données projet'!$A$88,'Données projet'!$B$88,BD103+BC104-BL103)))</f>
        <v>229.35897435897439</v>
      </c>
      <c r="BE104" s="14">
        <f>BD104*VLOOKUP('Données projet'!$B$11,Paramètres!$A$1:$I$89,3,0)*VLOOKUP('Données projet'!$B$11,Paramètres!$A$1:$I$89,5,0)</f>
        <v>218.25800000000004</v>
      </c>
      <c r="BF104" s="14">
        <f t="shared" si="91"/>
        <v>53.736095630897005</v>
      </c>
      <c r="BG104" s="22">
        <f t="shared" si="61"/>
        <v>473.72304989047899</v>
      </c>
      <c r="BH104" s="60">
        <f t="shared" si="62"/>
        <v>767.0563832238123</v>
      </c>
      <c r="BI104" s="60">
        <f ca="1">AVERAGE(OFFSET($BH$3,0,0,'Données projet'!$E$11+1,1))-AVERAGE(OFFSET($H$3,0,0,'Données projet'!$E$11+1,1))</f>
        <v>357.083670644861</v>
      </c>
      <c r="BJ104" s="60">
        <f t="shared" si="92"/>
        <v>299.88885091109654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4.3834924199887695</v>
      </c>
      <c r="BY104" s="13">
        <f>IF('Données projet'!$A$114&gt;35,BY103+BX104-CG103,IF(A104&lt;'Données projet'!$A$114,$BV$205^A104,IF(A104='Données projet'!$A$114,'Données projet'!$B$114,BY103+BX104-CG103)))</f>
        <v>207.99775407074628</v>
      </c>
      <c r="BZ104" s="14">
        <f>BY104*VLOOKUP('Données projet'!$B$12,Paramètres!$A$1:$I$89,3,0)*VLOOKUP('Données projet'!$B$12,Paramètres!$A$1:$I$89,5,0)</f>
        <v>97.342948905109267</v>
      </c>
      <c r="CA104" s="14">
        <f t="shared" si="93"/>
        <v>26.328003064987954</v>
      </c>
      <c r="CB104" s="22">
        <f t="shared" si="64"/>
        <v>215.39357468125263</v>
      </c>
      <c r="CC104" s="60">
        <f t="shared" si="65"/>
        <v>508.72690801458594</v>
      </c>
      <c r="CD104" s="60">
        <f ca="1">AVERAGE(OFFSET($CC$3,0,0,'Données projet'!$E$12+1,1))-AVERAGE(OFFSET($H$3,0,0,'Données projet'!$E$12+1,1))</f>
        <v>245.98992992759543</v>
      </c>
      <c r="CE104" s="60">
        <f t="shared" si="94"/>
        <v>145.34368562171613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256.69487999999984</v>
      </c>
      <c r="CV104" s="14">
        <f t="shared" si="95"/>
        <v>62.017336223177502</v>
      </c>
      <c r="CW104" s="22">
        <f t="shared" si="67"/>
        <v>555.09044325536718</v>
      </c>
      <c r="CX104" s="60">
        <f t="shared" si="68"/>
        <v>848.42377658870055</v>
      </c>
      <c r="CY104" s="60">
        <f ca="1">AVERAGE(OFFSET($CX$3,0,0,'Données projet'!$E$13+1,1))-AVERAGE(OFFSET($H$3,0,0,'Données projet'!$E$13+1,1))</f>
        <v>455.50822833641354</v>
      </c>
      <c r="CZ104" s="60">
        <f t="shared" si="96"/>
        <v>261.14722581688039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265.39999999999981</v>
      </c>
      <c r="DP104" s="18">
        <f>DO104*VLOOKUP('Données projet'!$B$14,Paramètres!$A$1:$I$89,3,0)*VLOOKUP('Données projet'!$B$14,Paramètres!$A$1:$I$89,5,0)</f>
        <v>285.67655999999977</v>
      </c>
      <c r="DQ104" s="14">
        <f t="shared" si="97"/>
        <v>68.165224308258956</v>
      </c>
      <c r="DR104" s="22">
        <f t="shared" si="70"/>
        <v>616.27444100355058</v>
      </c>
      <c r="DS104" s="60">
        <f t="shared" si="71"/>
        <v>909.60777433688395</v>
      </c>
      <c r="DT104" s="60">
        <f ca="1">AVERAGE(OFFSET($DS$3,0,0,'Données projet'!$E$14+1,1))-AVERAGE(OFFSET($H$3,0,0,'Données projet'!$E$14+1,1))</f>
        <v>502.07782026233912</v>
      </c>
      <c r="DU104" s="60">
        <f t="shared" si="98"/>
        <v>285.83623046025156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4.4000000000000004</v>
      </c>
      <c r="EJ104" s="13">
        <f>IF('Données projet'!$A$192&gt;35,EJ103+EI104-ER103,IF(A104&lt;'Données projet'!$A$192,$EG$205^A104,IF(A104='Données projet'!$A$192,'Données projet'!$B$192,EJ103+EI104-ER103)))</f>
        <v>265.39999999999981</v>
      </c>
      <c r="EK104" s="18">
        <f>EJ104*VLOOKUP('Données projet'!$B$15,Paramètres!$A$1:$I$89,3,0)*VLOOKUP('Données projet'!$B$15,Paramètres!$A$1:$I$89,5,0)</f>
        <v>240.13391999999982</v>
      </c>
      <c r="EL104" s="14">
        <f t="shared" si="99"/>
        <v>58.468343087048559</v>
      </c>
      <c r="EM104" s="22">
        <f t="shared" si="73"/>
        <v>520.06560820994252</v>
      </c>
      <c r="EN104" s="60">
        <f t="shared" si="74"/>
        <v>813.3989415432759</v>
      </c>
      <c r="EO104" s="60">
        <f ca="1">AVERAGE(OFFSET($EN$3,0,0,'Données projet'!$E$15+1,1))-AVERAGE(OFFSET($H$3,0,0,'Données projet'!$E$15+1,1))</f>
        <v>428.8489304403459</v>
      </c>
      <c r="EP104" s="60">
        <f t="shared" si="100"/>
        <v>247.01165577562966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 t="e">
        <f>N105*VLOOKUP('Données projet'!$B$9,Paramètres!$A$1:$I$89,3,0)*VLOOKUP('Données projet'!$B$9,Paramètres!$A$1:$I$89,5,0)</f>
        <v>#N/A</v>
      </c>
      <c r="P105" s="14" t="e">
        <f t="shared" si="87"/>
        <v>#N/A</v>
      </c>
      <c r="Q105" s="22" t="e">
        <f t="shared" si="107"/>
        <v>#N/A</v>
      </c>
      <c r="R105" s="60" t="e">
        <f t="shared" si="55"/>
        <v>#N/A</v>
      </c>
      <c r="S105" s="60" t="e">
        <f ca="1">AVERAGE(OFFSET($R$3,0,0,'Données projet'!$E$9+1,1))-AVERAGE(OFFSET($H$3,0,0,'Données projet'!$E$9+1,1))</f>
        <v>#N/A</v>
      </c>
      <c r="T105" s="60" t="e">
        <f t="shared" si="88"/>
        <v>#N/A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 t="e">
        <f>EXP(-LN(2)/35)*Z104+(1-EXP(-LN(2)/35))/(LN(2)/35)*V105*W105*VLOOKUP('Données projet'!$B$9,Paramètres!$A$1:$I$89,3,0)*0.475*44/12</f>
        <v>#N/A</v>
      </c>
      <c r="AA105" s="23" t="e">
        <f>EXP(-LN(2)/25)*AA104+(1-EXP(-LN(2)/25))/(LN(2)/25)*Calculateur!V105*Calculateur!X105*VLOOKUP('Données projet'!$B$9,Paramètres!$A$1:$I$89,3,0)*0.475*44/12</f>
        <v>#N/A</v>
      </c>
      <c r="AB105" s="23" t="e">
        <f>EXP(-LN(2)/2)*AB104+(1-EXP(-LN(2)/2))/(LN(2)/2)*V105*Y105*VLOOKUP('Données projet'!$B$9,Paramètres!$A$1:$I$89,3,0)*0.475*44/12</f>
        <v>#N/A</v>
      </c>
      <c r="AC105" s="24" t="e">
        <f t="shared" si="57"/>
        <v>#N/A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0" t="e">
        <f t="shared" si="59"/>
        <v>#N/A</v>
      </c>
      <c r="AN105" s="60" t="e">
        <f ca="1">AVERAGE(OFFSET($AM$3,0,0,'Données projet'!$E$10+1,1))-AVERAGE(OFFSET($H$3,0,0,'Données projet'!$E$10+1,1))</f>
        <v>#N/A</v>
      </c>
      <c r="AO105" s="60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3.0769230769230775</v>
      </c>
      <c r="BD105" s="13">
        <f>IF('Données projet'!$A$88&gt;35,BD104+BC105-BL104,IF(A105&lt;'Données projet'!$A$88,$BA$205^A105,IF(A105='Données projet'!$A$88,'Données projet'!$B$88,BD104+BC105-BL104)))</f>
        <v>232.43589743589746</v>
      </c>
      <c r="BE105" s="14">
        <f>BD105*VLOOKUP('Données projet'!$B$11,Paramètres!$A$1:$I$89,3,0)*VLOOKUP('Données projet'!$B$11,Paramètres!$A$1:$I$89,5,0)</f>
        <v>221.18600000000004</v>
      </c>
      <c r="BF105" s="14">
        <f t="shared" si="91"/>
        <v>54.372576246626387</v>
      </c>
      <c r="BG105" s="22">
        <f t="shared" si="61"/>
        <v>479.93118696287439</v>
      </c>
      <c r="BH105" s="60">
        <f t="shared" si="62"/>
        <v>773.26452029620771</v>
      </c>
      <c r="BI105" s="60">
        <f ca="1">AVERAGE(OFFSET($BH$3,0,0,'Données projet'!$E$11+1,1))-AVERAGE(OFFSET($H$3,0,0,'Données projet'!$E$11+1,1))</f>
        <v>357.083670644861</v>
      </c>
      <c r="BJ105" s="60">
        <f t="shared" si="92"/>
        <v>299.88885091109654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4.3834924199887695</v>
      </c>
      <c r="BY105" s="13">
        <f>IF('Données projet'!$A$114&gt;35,BY104+BX105-CG104,IF(A105&lt;'Données projet'!$A$114,$BV$205^A105,IF(A105='Données projet'!$A$114,'Données projet'!$B$114,BY104+BX105-CG104)))</f>
        <v>212.38124649073507</v>
      </c>
      <c r="BZ105" s="14">
        <f>BY105*VLOOKUP('Données projet'!$B$12,Paramètres!$A$1:$I$89,3,0)*VLOOKUP('Données projet'!$B$12,Paramètres!$A$1:$I$89,5,0)</f>
        <v>99.39442335766401</v>
      </c>
      <c r="CA105" s="14">
        <f t="shared" si="93"/>
        <v>26.81767630162846</v>
      </c>
      <c r="CB105" s="22">
        <f t="shared" si="64"/>
        <v>219.81940690660107</v>
      </c>
      <c r="CC105" s="60">
        <f t="shared" si="65"/>
        <v>513.15274023993436</v>
      </c>
      <c r="CD105" s="60">
        <f ca="1">AVERAGE(OFFSET($CC$3,0,0,'Données projet'!$E$12+1,1))-AVERAGE(OFFSET($H$3,0,0,'Données projet'!$E$12+1,1))</f>
        <v>245.98992992759543</v>
      </c>
      <c r="CE105" s="60">
        <f t="shared" si="94"/>
        <v>145.34368562171613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260.95055999999983</v>
      </c>
      <c r="CV105" s="14">
        <f t="shared" si="95"/>
        <v>62.924955880176938</v>
      </c>
      <c r="CW105" s="22">
        <f t="shared" si="67"/>
        <v>564.08319015797451</v>
      </c>
      <c r="CX105" s="60">
        <f t="shared" si="68"/>
        <v>857.41652349130777</v>
      </c>
      <c r="CY105" s="60">
        <f ca="1">AVERAGE(OFFSET($CX$3,0,0,'Données projet'!$E$13+1,1))-AVERAGE(OFFSET($H$3,0,0,'Données projet'!$E$13+1,1))</f>
        <v>455.50822833641354</v>
      </c>
      <c r="CZ105" s="60">
        <f t="shared" si="96"/>
        <v>261.14722581688039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269.79999999999978</v>
      </c>
      <c r="DP105" s="18">
        <f>DO105*VLOOKUP('Données projet'!$B$14,Paramètres!$A$1:$I$89,3,0)*VLOOKUP('Données projet'!$B$14,Paramètres!$A$1:$I$89,5,0)</f>
        <v>290.41271999999975</v>
      </c>
      <c r="DQ105" s="14">
        <f t="shared" si="97"/>
        <v>69.162817905044719</v>
      </c>
      <c r="DR105" s="22">
        <f t="shared" si="70"/>
        <v>626.26072851795254</v>
      </c>
      <c r="DS105" s="60">
        <f t="shared" si="71"/>
        <v>919.59406185128591</v>
      </c>
      <c r="DT105" s="60">
        <f ca="1">AVERAGE(OFFSET($DS$3,0,0,'Données projet'!$E$14+1,1))-AVERAGE(OFFSET($H$3,0,0,'Données projet'!$E$14+1,1))</f>
        <v>502.07782026233912</v>
      </c>
      <c r="DU105" s="60">
        <f t="shared" si="98"/>
        <v>285.83623046025156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4.4000000000000004</v>
      </c>
      <c r="EJ105" s="13">
        <f>IF('Données projet'!$A$192&gt;35,EJ104+EI105-ER104,IF(A105&lt;'Données projet'!$A$192,$EG$205^A105,IF(A105='Données projet'!$A$192,'Données projet'!$B$192,EJ104+EI105-ER104)))</f>
        <v>269.79999999999978</v>
      </c>
      <c r="EK105" s="18">
        <f>EJ105*VLOOKUP('Données projet'!$B$15,Paramètres!$A$1:$I$89,3,0)*VLOOKUP('Données projet'!$B$15,Paramètres!$A$1:$I$89,5,0)</f>
        <v>244.11503999999979</v>
      </c>
      <c r="EL105" s="14">
        <f t="shared" si="99"/>
        <v>59.324023461759012</v>
      </c>
      <c r="EM105" s="22">
        <f t="shared" si="73"/>
        <v>528.48970219589648</v>
      </c>
      <c r="EN105" s="60">
        <f t="shared" si="74"/>
        <v>821.82303552922986</v>
      </c>
      <c r="EO105" s="60">
        <f ca="1">AVERAGE(OFFSET($EN$3,0,0,'Données projet'!$E$15+1,1))-AVERAGE(OFFSET($H$3,0,0,'Données projet'!$E$15+1,1))</f>
        <v>428.8489304403459</v>
      </c>
      <c r="EP105" s="60">
        <f t="shared" si="100"/>
        <v>247.01165577562966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 t="e">
        <f>N106*VLOOKUP('Données projet'!$B$9,Paramètres!$A$1:$I$89,3,0)*VLOOKUP('Données projet'!$B$9,Paramètres!$A$1:$I$89,5,0)</f>
        <v>#N/A</v>
      </c>
      <c r="P106" s="14" t="e">
        <f t="shared" si="87"/>
        <v>#N/A</v>
      </c>
      <c r="Q106" s="22" t="e">
        <f t="shared" si="107"/>
        <v>#N/A</v>
      </c>
      <c r="R106" s="60" t="e">
        <f t="shared" si="55"/>
        <v>#N/A</v>
      </c>
      <c r="S106" s="60" t="e">
        <f ca="1">AVERAGE(OFFSET($R$3,0,0,'Données projet'!$E$9+1,1))-AVERAGE(OFFSET($H$3,0,0,'Données projet'!$E$9+1,1))</f>
        <v>#N/A</v>
      </c>
      <c r="T106" s="60" t="e">
        <f t="shared" si="88"/>
        <v>#N/A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 t="e">
        <f>EXP(-LN(2)/35)*Z105+(1-EXP(-LN(2)/35))/(LN(2)/35)*V106*W106*VLOOKUP('Données projet'!$B$9,Paramètres!$A$1:$I$89,3,0)*0.475*44/12</f>
        <v>#N/A</v>
      </c>
      <c r="AA106" s="23" t="e">
        <f>EXP(-LN(2)/25)*AA105+(1-EXP(-LN(2)/25))/(LN(2)/25)*Calculateur!V106*Calculateur!X106*VLOOKUP('Données projet'!$B$9,Paramètres!$A$1:$I$89,3,0)*0.475*44/12</f>
        <v>#N/A</v>
      </c>
      <c r="AB106" s="23" t="e">
        <f>EXP(-LN(2)/2)*AB105+(1-EXP(-LN(2)/2))/(LN(2)/2)*V106*Y106*VLOOKUP('Données projet'!$B$9,Paramètres!$A$1:$I$89,3,0)*0.475*44/12</f>
        <v>#N/A</v>
      </c>
      <c r="AC106" s="24" t="e">
        <f t="shared" si="57"/>
        <v>#N/A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0" t="e">
        <f t="shared" si="59"/>
        <v>#N/A</v>
      </c>
      <c r="AN106" s="60" t="e">
        <f ca="1">AVERAGE(OFFSET($AM$3,0,0,'Données projet'!$E$10+1,1))-AVERAGE(OFFSET($H$3,0,0,'Données projet'!$E$10+1,1))</f>
        <v>#N/A</v>
      </c>
      <c r="AO106" s="60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3.0769230769230775</v>
      </c>
      <c r="BD106" s="13">
        <f>IF('Données projet'!$A$88&gt;35,BD105+BC106-BL105,IF(A106&lt;'Données projet'!$A$88,$BA$205^A106,IF(A106='Données projet'!$A$88,'Données projet'!$B$88,BD105+BC106-BL105)))</f>
        <v>235.51282051282053</v>
      </c>
      <c r="BE106" s="14">
        <f>BD106*VLOOKUP('Données projet'!$B$11,Paramètres!$A$1:$I$89,3,0)*VLOOKUP('Données projet'!$B$11,Paramètres!$A$1:$I$89,5,0)</f>
        <v>224.11400000000003</v>
      </c>
      <c r="BF106" s="14">
        <f t="shared" si="91"/>
        <v>55.008076852464058</v>
      </c>
      <c r="BG106" s="22">
        <f t="shared" si="61"/>
        <v>486.13761718470823</v>
      </c>
      <c r="BH106" s="60">
        <f t="shared" si="62"/>
        <v>779.47095051804149</v>
      </c>
      <c r="BI106" s="60">
        <f ca="1">AVERAGE(OFFSET($BH$3,0,0,'Données projet'!$E$11+1,1))-AVERAGE(OFFSET($H$3,0,0,'Données projet'!$E$11+1,1))</f>
        <v>357.083670644861</v>
      </c>
      <c r="BJ106" s="60">
        <f t="shared" si="92"/>
        <v>299.88885091109654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4.3834924199887695</v>
      </c>
      <c r="BY106" s="13">
        <f>IF('Données projet'!$A$114&gt;35,BY105+BX106-CG105,IF(A106&lt;'Données projet'!$A$114,$BV$205^A106,IF(A106='Données projet'!$A$114,'Données projet'!$B$114,BY105+BX106-CG105)))</f>
        <v>216.76473891072385</v>
      </c>
      <c r="BZ106" s="14">
        <f>BY106*VLOOKUP('Données projet'!$B$12,Paramètres!$A$1:$I$89,3,0)*VLOOKUP('Données projet'!$B$12,Paramètres!$A$1:$I$89,5,0)</f>
        <v>101.44589781021877</v>
      </c>
      <c r="CA106" s="14">
        <f t="shared" si="93"/>
        <v>27.306174439277669</v>
      </c>
      <c r="CB106" s="22">
        <f t="shared" si="64"/>
        <v>224.24319250120629</v>
      </c>
      <c r="CC106" s="60">
        <f t="shared" si="65"/>
        <v>517.57652583453955</v>
      </c>
      <c r="CD106" s="60">
        <f ca="1">AVERAGE(OFFSET($CC$3,0,0,'Données projet'!$E$12+1,1))-AVERAGE(OFFSET($H$3,0,0,'Données projet'!$E$12+1,1))</f>
        <v>245.98992992759543</v>
      </c>
      <c r="CE106" s="60">
        <f t="shared" si="94"/>
        <v>145.34368562171613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265.20623999999975</v>
      </c>
      <c r="CV106" s="14">
        <f t="shared" si="95"/>
        <v>63.830854160896386</v>
      </c>
      <c r="CW106" s="22">
        <f t="shared" si="67"/>
        <v>573.07293899689409</v>
      </c>
      <c r="CX106" s="60">
        <f t="shared" si="68"/>
        <v>866.40627233022747</v>
      </c>
      <c r="CY106" s="60">
        <f ca="1">AVERAGE(OFFSET($CX$3,0,0,'Données projet'!$E$13+1,1))-AVERAGE(OFFSET($H$3,0,0,'Données projet'!$E$13+1,1))</f>
        <v>455.50822833641354</v>
      </c>
      <c r="CZ106" s="60">
        <f t="shared" si="96"/>
        <v>261.14722581688039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274.19999999999976</v>
      </c>
      <c r="DP106" s="18">
        <f>DO106*VLOOKUP('Données projet'!$B$14,Paramètres!$A$1:$I$89,3,0)*VLOOKUP('Données projet'!$B$14,Paramètres!$A$1:$I$89,5,0)</f>
        <v>295.14887999999974</v>
      </c>
      <c r="DQ106" s="14">
        <f t="shared" si="97"/>
        <v>70.158519482479349</v>
      </c>
      <c r="DR106" s="22">
        <f t="shared" si="70"/>
        <v>636.24372076531768</v>
      </c>
      <c r="DS106" s="60">
        <f t="shared" si="71"/>
        <v>929.57705409865093</v>
      </c>
      <c r="DT106" s="60">
        <f ca="1">AVERAGE(OFFSET($DS$3,0,0,'Données projet'!$E$14+1,1))-AVERAGE(OFFSET($H$3,0,0,'Données projet'!$E$14+1,1))</f>
        <v>502.07782026233912</v>
      </c>
      <c r="DU106" s="60">
        <f t="shared" si="98"/>
        <v>285.83623046025156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4.4000000000000004</v>
      </c>
      <c r="EJ106" s="13">
        <f>IF('Données projet'!$A$192&gt;35,EJ105+EI106-ER105,IF(A106&lt;'Données projet'!$A$192,$EG$205^A106,IF(A106='Données projet'!$A$192,'Données projet'!$B$192,EJ105+EI106-ER105)))</f>
        <v>274.19999999999976</v>
      </c>
      <c r="EK106" s="18">
        <f>EJ106*VLOOKUP('Données projet'!$B$15,Paramètres!$A$1:$I$89,3,0)*VLOOKUP('Données projet'!$B$15,Paramètres!$A$1:$I$89,5,0)</f>
        <v>248.0961599999998</v>
      </c>
      <c r="EL106" s="14">
        <f t="shared" si="99"/>
        <v>60.178080967364686</v>
      </c>
      <c r="EM106" s="22">
        <f t="shared" si="73"/>
        <v>536.91096968482657</v>
      </c>
      <c r="EN106" s="60">
        <f t="shared" si="74"/>
        <v>830.24430301815983</v>
      </c>
      <c r="EO106" s="60">
        <f ca="1">AVERAGE(OFFSET($EN$3,0,0,'Données projet'!$E$15+1,1))-AVERAGE(OFFSET($H$3,0,0,'Données projet'!$E$15+1,1))</f>
        <v>428.8489304403459</v>
      </c>
      <c r="EP106" s="60">
        <f t="shared" si="100"/>
        <v>247.01165577562966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 t="e">
        <f>N107*VLOOKUP('Données projet'!$B$9,Paramètres!$A$1:$I$89,3,0)*VLOOKUP('Données projet'!$B$9,Paramètres!$A$1:$I$89,5,0)</f>
        <v>#N/A</v>
      </c>
      <c r="P107" s="14" t="e">
        <f t="shared" si="87"/>
        <v>#N/A</v>
      </c>
      <c r="Q107" s="22" t="e">
        <f t="shared" si="107"/>
        <v>#N/A</v>
      </c>
      <c r="R107" s="60" t="e">
        <f t="shared" si="55"/>
        <v>#N/A</v>
      </c>
      <c r="S107" s="60" t="e">
        <f ca="1">AVERAGE(OFFSET($R$3,0,0,'Données projet'!$E$9+1,1))-AVERAGE(OFFSET($H$3,0,0,'Données projet'!$E$9+1,1))</f>
        <v>#N/A</v>
      </c>
      <c r="T107" s="60" t="e">
        <f t="shared" si="88"/>
        <v>#N/A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 t="e">
        <f>EXP(-LN(2)/35)*Z106+(1-EXP(-LN(2)/35))/(LN(2)/35)*V107*W107*VLOOKUP('Données projet'!$B$9,Paramètres!$A$1:$I$89,3,0)*0.475*44/12</f>
        <v>#N/A</v>
      </c>
      <c r="AA107" s="23" t="e">
        <f>EXP(-LN(2)/25)*AA106+(1-EXP(-LN(2)/25))/(LN(2)/25)*Calculateur!V107*Calculateur!X107*VLOOKUP('Données projet'!$B$9,Paramètres!$A$1:$I$89,3,0)*0.475*44/12</f>
        <v>#N/A</v>
      </c>
      <c r="AB107" s="23" t="e">
        <f>EXP(-LN(2)/2)*AB106+(1-EXP(-LN(2)/2))/(LN(2)/2)*V107*Y107*VLOOKUP('Données projet'!$B$9,Paramètres!$A$1:$I$89,3,0)*0.475*44/12</f>
        <v>#N/A</v>
      </c>
      <c r="AC107" s="24" t="e">
        <f t="shared" si="57"/>
        <v>#N/A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0" t="e">
        <f t="shared" si="59"/>
        <v>#N/A</v>
      </c>
      <c r="AN107" s="60" t="e">
        <f ca="1">AVERAGE(OFFSET($AM$3,0,0,'Données projet'!$E$10+1,1))-AVERAGE(OFFSET($H$3,0,0,'Données projet'!$E$10+1,1))</f>
        <v>#N/A</v>
      </c>
      <c r="AO107" s="60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3.0769230769230775</v>
      </c>
      <c r="BD107" s="13">
        <f>IF('Données projet'!$A$88&gt;35,BD106+BC107-BL106,IF(A107&lt;'Données projet'!$A$88,$BA$205^A107,IF(A107='Données projet'!$A$88,'Données projet'!$B$88,BD106+BC107-BL106)))</f>
        <v>238.58974358974359</v>
      </c>
      <c r="BE107" s="14">
        <f>BD107*VLOOKUP('Données projet'!$B$11,Paramètres!$A$1:$I$89,3,0)*VLOOKUP('Données projet'!$B$11,Paramètres!$A$1:$I$89,5,0)</f>
        <v>227.042</v>
      </c>
      <c r="BF107" s="14">
        <f t="shared" si="91"/>
        <v>55.642611732318088</v>
      </c>
      <c r="BG107" s="22">
        <f t="shared" si="61"/>
        <v>492.34236543378739</v>
      </c>
      <c r="BH107" s="60">
        <f t="shared" si="62"/>
        <v>785.67569876712071</v>
      </c>
      <c r="BI107" s="60">
        <f ca="1">AVERAGE(OFFSET($BH$3,0,0,'Données projet'!$E$11+1,1))-AVERAGE(OFFSET($H$3,0,0,'Données projet'!$E$11+1,1))</f>
        <v>357.083670644861</v>
      </c>
      <c r="BJ107" s="60">
        <f t="shared" si="92"/>
        <v>299.88885091109654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4.3834924199887695</v>
      </c>
      <c r="BY107" s="13">
        <f>IF('Données projet'!$A$114&gt;35,BY106+BX107-CG106,IF(A107&lt;'Données projet'!$A$114,$BV$205^A107,IF(A107='Données projet'!$A$114,'Données projet'!$B$114,BY106+BX107-CG106)))</f>
        <v>221.14823133071263</v>
      </c>
      <c r="BZ107" s="14">
        <f>BY107*VLOOKUP('Données projet'!$B$12,Paramètres!$A$1:$I$89,3,0)*VLOOKUP('Données projet'!$B$12,Paramètres!$A$1:$I$89,5,0)</f>
        <v>103.49737226277351</v>
      </c>
      <c r="CA107" s="14">
        <f t="shared" si="93"/>
        <v>27.793523979689422</v>
      </c>
      <c r="CB107" s="22">
        <f t="shared" si="64"/>
        <v>228.6649776222896</v>
      </c>
      <c r="CC107" s="60">
        <f t="shared" si="65"/>
        <v>521.99831095562286</v>
      </c>
      <c r="CD107" s="60">
        <f ca="1">AVERAGE(OFFSET($CC$3,0,0,'Données projet'!$E$12+1,1))-AVERAGE(OFFSET($H$3,0,0,'Données projet'!$E$12+1,1))</f>
        <v>245.98992992759543</v>
      </c>
      <c r="CE107" s="60">
        <f t="shared" si="94"/>
        <v>145.34368562171613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269.46191999999974</v>
      </c>
      <c r="CV107" s="14">
        <f t="shared" si="95"/>
        <v>64.735061876839055</v>
      </c>
      <c r="CW107" s="22">
        <f t="shared" si="67"/>
        <v>582.05974343549417</v>
      </c>
      <c r="CX107" s="60">
        <f t="shared" si="68"/>
        <v>875.39307676882754</v>
      </c>
      <c r="CY107" s="60">
        <f ca="1">AVERAGE(OFFSET($CX$3,0,0,'Données projet'!$E$13+1,1))-AVERAGE(OFFSET($H$3,0,0,'Données projet'!$E$13+1,1))</f>
        <v>455.50822833641354</v>
      </c>
      <c r="CZ107" s="60">
        <f t="shared" si="96"/>
        <v>261.14722581688039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278.59999999999974</v>
      </c>
      <c r="DP107" s="18">
        <f>DO107*VLOOKUP('Données projet'!$B$14,Paramètres!$A$1:$I$89,3,0)*VLOOKUP('Données projet'!$B$14,Paramètres!$A$1:$I$89,5,0)</f>
        <v>299.88503999999972</v>
      </c>
      <c r="DQ107" s="14">
        <f t="shared" si="97"/>
        <v>71.152362906464575</v>
      </c>
      <c r="DR107" s="22">
        <f t="shared" si="70"/>
        <v>646.22347672875867</v>
      </c>
      <c r="DS107" s="60">
        <f t="shared" si="71"/>
        <v>939.55681006209193</v>
      </c>
      <c r="DT107" s="60">
        <f ca="1">AVERAGE(OFFSET($DS$3,0,0,'Données projet'!$E$14+1,1))-AVERAGE(OFFSET($H$3,0,0,'Données projet'!$E$14+1,1))</f>
        <v>502.07782026233912</v>
      </c>
      <c r="DU107" s="60">
        <f t="shared" si="98"/>
        <v>285.83623046025156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4.4000000000000004</v>
      </c>
      <c r="EJ107" s="13">
        <f>IF('Données projet'!$A$192&gt;35,EJ106+EI107-ER106,IF(A107&lt;'Données projet'!$A$192,$EG$205^A107,IF(A107='Données projet'!$A$192,'Données projet'!$B$192,EJ106+EI107-ER106)))</f>
        <v>278.59999999999974</v>
      </c>
      <c r="EK107" s="18">
        <f>EJ107*VLOOKUP('Données projet'!$B$15,Paramètres!$A$1:$I$89,3,0)*VLOOKUP('Données projet'!$B$15,Paramètres!$A$1:$I$89,5,0)</f>
        <v>252.07727999999975</v>
      </c>
      <c r="EL107" s="14">
        <f t="shared" si="99"/>
        <v>61.03054465215493</v>
      </c>
      <c r="EM107" s="22">
        <f t="shared" si="73"/>
        <v>545.32946126916943</v>
      </c>
      <c r="EN107" s="60">
        <f t="shared" si="74"/>
        <v>838.6627946025028</v>
      </c>
      <c r="EO107" s="60">
        <f ca="1">AVERAGE(OFFSET($EN$3,0,0,'Données projet'!$E$15+1,1))-AVERAGE(OFFSET($H$3,0,0,'Données projet'!$E$15+1,1))</f>
        <v>428.8489304403459</v>
      </c>
      <c r="EP107" s="60">
        <f t="shared" si="100"/>
        <v>247.01165577562966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 t="e">
        <f>N108*VLOOKUP('Données projet'!$B$9,Paramètres!$A$1:$I$89,3,0)*VLOOKUP('Données projet'!$B$9,Paramètres!$A$1:$I$89,5,0)</f>
        <v>#N/A</v>
      </c>
      <c r="P108" s="14" t="e">
        <f t="shared" si="87"/>
        <v>#N/A</v>
      </c>
      <c r="Q108" s="22" t="e">
        <f t="shared" si="107"/>
        <v>#N/A</v>
      </c>
      <c r="R108" s="60" t="e">
        <f t="shared" si="55"/>
        <v>#N/A</v>
      </c>
      <c r="S108" s="60" t="e">
        <f ca="1">AVERAGE(OFFSET($R$3,0,0,'Données projet'!$E$9+1,1))-AVERAGE(OFFSET($H$3,0,0,'Données projet'!$E$9+1,1))</f>
        <v>#N/A</v>
      </c>
      <c r="T108" s="60" t="e">
        <f t="shared" si="88"/>
        <v>#N/A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 t="e">
        <f>EXP(-LN(2)/35)*Z107+(1-EXP(-LN(2)/35))/(LN(2)/35)*V108*W108*VLOOKUP('Données projet'!$B$9,Paramètres!$A$1:$I$89,3,0)*0.475*44/12</f>
        <v>#N/A</v>
      </c>
      <c r="AA108" s="23" t="e">
        <f>EXP(-LN(2)/25)*AA107+(1-EXP(-LN(2)/25))/(LN(2)/25)*Calculateur!V108*Calculateur!X108*VLOOKUP('Données projet'!$B$9,Paramètres!$A$1:$I$89,3,0)*0.475*44/12</f>
        <v>#N/A</v>
      </c>
      <c r="AB108" s="23" t="e">
        <f>EXP(-LN(2)/2)*AB107+(1-EXP(-LN(2)/2))/(LN(2)/2)*V108*Y108*VLOOKUP('Données projet'!$B$9,Paramètres!$A$1:$I$89,3,0)*0.475*44/12</f>
        <v>#N/A</v>
      </c>
      <c r="AC108" s="24" t="e">
        <f t="shared" si="57"/>
        <v>#N/A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0" t="e">
        <f t="shared" si="59"/>
        <v>#N/A</v>
      </c>
      <c r="AN108" s="60" t="e">
        <f ca="1">AVERAGE(OFFSET($AM$3,0,0,'Données projet'!$E$10+1,1))-AVERAGE(OFFSET($H$3,0,0,'Données projet'!$E$10+1,1))</f>
        <v>#N/A</v>
      </c>
      <c r="AO108" s="60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3.0769230769230775</v>
      </c>
      <c r="BD108" s="13">
        <f>IF('Données projet'!$A$88&gt;35,BD107+BC108-BL107,IF(A108&lt;'Données projet'!$A$88,$BA$205^A108,IF(A108='Données projet'!$A$88,'Données projet'!$B$88,BD107+BC108-BL107)))</f>
        <v>241.66666666666666</v>
      </c>
      <c r="BE108" s="14">
        <f>BD108*VLOOKUP('Données projet'!$B$11,Paramètres!$A$1:$I$89,3,0)*VLOOKUP('Données projet'!$B$11,Paramètres!$A$1:$I$89,5,0)</f>
        <v>229.97</v>
      </c>
      <c r="BF108" s="14">
        <f t="shared" si="91"/>
        <v>56.276194780495985</v>
      </c>
      <c r="BG108" s="22">
        <f t="shared" si="61"/>
        <v>498.54545590936385</v>
      </c>
      <c r="BH108" s="60">
        <f t="shared" si="62"/>
        <v>791.87878924269717</v>
      </c>
      <c r="BI108" s="60">
        <f ca="1">AVERAGE(OFFSET($BH$3,0,0,'Données projet'!$E$11+1,1))-AVERAGE(OFFSET($H$3,0,0,'Données projet'!$E$11+1,1))</f>
        <v>357.083670644861</v>
      </c>
      <c r="BJ108" s="60">
        <f t="shared" si="92"/>
        <v>299.88885091109654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4.3834924199887695</v>
      </c>
      <c r="BY108" s="13">
        <f>IF('Données projet'!$A$114&gt;35,BY107+BX108-CG107,IF(A108&lt;'Données projet'!$A$114,$BV$205^A108,IF(A108='Données projet'!$A$114,'Données projet'!$B$114,BY107+BX108-CG107)))</f>
        <v>225.53172375070142</v>
      </c>
      <c r="BZ108" s="14">
        <f>BY108*VLOOKUP('Données projet'!$B$12,Paramètres!$A$1:$I$89,3,0)*VLOOKUP('Données projet'!$B$12,Paramètres!$A$1:$I$89,5,0)</f>
        <v>105.54884671532825</v>
      </c>
      <c r="CA108" s="14">
        <f t="shared" si="93"/>
        <v>28.279750313925977</v>
      </c>
      <c r="CB108" s="22">
        <f t="shared" si="64"/>
        <v>233.08480649261779</v>
      </c>
      <c r="CC108" s="60">
        <f t="shared" si="65"/>
        <v>526.41813982595113</v>
      </c>
      <c r="CD108" s="60">
        <f ca="1">AVERAGE(OFFSET($CC$3,0,0,'Données projet'!$E$12+1,1))-AVERAGE(OFFSET($H$3,0,0,'Données projet'!$E$12+1,1))</f>
        <v>245.98992992759543</v>
      </c>
      <c r="CE108" s="60">
        <f t="shared" si="94"/>
        <v>145.34368562171613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273.71759999999972</v>
      </c>
      <c r="CV108" s="14">
        <f t="shared" si="95"/>
        <v>65.637608810456612</v>
      </c>
      <c r="CW108" s="22">
        <f t="shared" si="67"/>
        <v>591.04365534487806</v>
      </c>
      <c r="CX108" s="60">
        <f t="shared" si="68"/>
        <v>884.37698867821132</v>
      </c>
      <c r="CY108" s="60">
        <f ca="1">AVERAGE(OFFSET($CX$3,0,0,'Données projet'!$E$13+1,1))-AVERAGE(OFFSET($H$3,0,0,'Données projet'!$E$13+1,1))</f>
        <v>455.50822833641354</v>
      </c>
      <c r="CZ108" s="60">
        <f t="shared" si="96"/>
        <v>261.14722581688039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282.99999999999972</v>
      </c>
      <c r="DP108" s="18">
        <f>DO108*VLOOKUP('Données projet'!$B$14,Paramètres!$A$1:$I$89,3,0)*VLOOKUP('Données projet'!$B$14,Paramètres!$A$1:$I$89,5,0)</f>
        <v>304.62119999999965</v>
      </c>
      <c r="DQ108" s="14">
        <f t="shared" si="97"/>
        <v>72.144380911839335</v>
      </c>
      <c r="DR108" s="22">
        <f t="shared" si="70"/>
        <v>656.20005342145294</v>
      </c>
      <c r="DS108" s="60">
        <f t="shared" si="71"/>
        <v>949.53338675478631</v>
      </c>
      <c r="DT108" s="60">
        <f ca="1">AVERAGE(OFFSET($DS$3,0,0,'Données projet'!$E$14+1,1))-AVERAGE(OFFSET($H$3,0,0,'Données projet'!$E$14+1,1))</f>
        <v>502.07782026233912</v>
      </c>
      <c r="DU108" s="60">
        <f t="shared" si="98"/>
        <v>285.83623046025156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4.4000000000000004</v>
      </c>
      <c r="EJ108" s="13">
        <f>IF('Données projet'!$A$192&gt;35,EJ107+EI108-ER107,IF(A108&lt;'Données projet'!$A$192,$EG$205^A108,IF(A108='Données projet'!$A$192,'Données projet'!$B$192,EJ107+EI108-ER107)))</f>
        <v>282.99999999999972</v>
      </c>
      <c r="EK108" s="18">
        <f>EJ108*VLOOKUP('Données projet'!$B$15,Paramètres!$A$1:$I$89,3,0)*VLOOKUP('Données projet'!$B$15,Paramètres!$A$1:$I$89,5,0)</f>
        <v>256.05839999999972</v>
      </c>
      <c r="EL108" s="14">
        <f t="shared" si="99"/>
        <v>61.881442594256434</v>
      </c>
      <c r="EM108" s="22">
        <f t="shared" si="73"/>
        <v>553.74522585166278</v>
      </c>
      <c r="EN108" s="60">
        <f t="shared" si="74"/>
        <v>847.07855918499604</v>
      </c>
      <c r="EO108" s="60">
        <f ca="1">AVERAGE(OFFSET($EN$3,0,0,'Données projet'!$E$15+1,1))-AVERAGE(OFFSET($H$3,0,0,'Données projet'!$E$15+1,1))</f>
        <v>428.8489304403459</v>
      </c>
      <c r="EP108" s="60">
        <f t="shared" si="100"/>
        <v>247.01165577562966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 t="e">
        <f>N109*VLOOKUP('Données projet'!$B$9,Paramètres!$A$1:$I$89,3,0)*VLOOKUP('Données projet'!$B$9,Paramètres!$A$1:$I$89,5,0)</f>
        <v>#N/A</v>
      </c>
      <c r="P109" s="14" t="e">
        <f t="shared" si="87"/>
        <v>#N/A</v>
      </c>
      <c r="Q109" s="22" t="e">
        <f t="shared" si="107"/>
        <v>#N/A</v>
      </c>
      <c r="R109" s="60" t="e">
        <f t="shared" si="55"/>
        <v>#N/A</v>
      </c>
      <c r="S109" s="60" t="e">
        <f ca="1">AVERAGE(OFFSET($R$3,0,0,'Données projet'!$E$9+1,1))-AVERAGE(OFFSET($H$3,0,0,'Données projet'!$E$9+1,1))</f>
        <v>#N/A</v>
      </c>
      <c r="T109" s="60" t="e">
        <f t="shared" si="88"/>
        <v>#N/A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 t="e">
        <f>EXP(-LN(2)/35)*Z108+(1-EXP(-LN(2)/35))/(LN(2)/35)*V109*W109*VLOOKUP('Données projet'!$B$9,Paramètres!$A$1:$I$89,3,0)*0.475*44/12</f>
        <v>#N/A</v>
      </c>
      <c r="AA109" s="23" t="e">
        <f>EXP(-LN(2)/25)*AA108+(1-EXP(-LN(2)/25))/(LN(2)/25)*Calculateur!V109*Calculateur!X109*VLOOKUP('Données projet'!$B$9,Paramètres!$A$1:$I$89,3,0)*0.475*44/12</f>
        <v>#N/A</v>
      </c>
      <c r="AB109" s="23" t="e">
        <f>EXP(-LN(2)/2)*AB108+(1-EXP(-LN(2)/2))/(LN(2)/2)*V109*Y109*VLOOKUP('Données projet'!$B$9,Paramètres!$A$1:$I$89,3,0)*0.475*44/12</f>
        <v>#N/A</v>
      </c>
      <c r="AC109" s="24" t="e">
        <f t="shared" si="57"/>
        <v>#N/A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0" t="e">
        <f t="shared" si="59"/>
        <v>#N/A</v>
      </c>
      <c r="AN109" s="60" t="e">
        <f ca="1">AVERAGE(OFFSET($AM$3,0,0,'Données projet'!$E$10+1,1))-AVERAGE(OFFSET($H$3,0,0,'Données projet'!$E$10+1,1))</f>
        <v>#N/A</v>
      </c>
      <c r="AO109" s="60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3.0769230769230775</v>
      </c>
      <c r="BD109" s="13">
        <f>IF('Données projet'!$A$88&gt;35,BD108+BC109-BL108,IF(A109&lt;'Données projet'!$A$88,$BA$205^A109,IF(A109='Données projet'!$A$88,'Données projet'!$B$88,BD108+BC109-BL108)))</f>
        <v>244.74358974358972</v>
      </c>
      <c r="BE109" s="14">
        <f>BD109*VLOOKUP('Données projet'!$B$11,Paramètres!$A$1:$I$89,3,0)*VLOOKUP('Données projet'!$B$11,Paramètres!$A$1:$I$89,5,0)</f>
        <v>232.898</v>
      </c>
      <c r="BF109" s="14">
        <f t="shared" si="91"/>
        <v>56.908839517153446</v>
      </c>
      <c r="BG109" s="22">
        <f t="shared" si="61"/>
        <v>504.74691215904221</v>
      </c>
      <c r="BH109" s="60">
        <f t="shared" si="62"/>
        <v>798.08024549237552</v>
      </c>
      <c r="BI109" s="60">
        <f ca="1">AVERAGE(OFFSET($BH$3,0,0,'Données projet'!$E$11+1,1))-AVERAGE(OFFSET($H$3,0,0,'Données projet'!$E$11+1,1))</f>
        <v>357.083670644861</v>
      </c>
      <c r="BJ109" s="60">
        <f t="shared" si="92"/>
        <v>299.88885091109654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4.3834924199887695</v>
      </c>
      <c r="BY109" s="13">
        <f>IF('Données projet'!$A$114&gt;35,BY108+BX109-CG108,IF(A109&lt;'Données projet'!$A$114,$BV$205^A109,IF(A109='Données projet'!$A$114,'Données projet'!$B$114,BY108+BX109-CG108)))</f>
        <v>229.9152161706902</v>
      </c>
      <c r="BZ109" s="14">
        <f>BY109*VLOOKUP('Données projet'!$B$12,Paramètres!$A$1:$I$89,3,0)*VLOOKUP('Données projet'!$B$12,Paramètres!$A$1:$I$89,5,0)</f>
        <v>107.60032116788302</v>
      </c>
      <c r="CA109" s="14">
        <f t="shared" si="93"/>
        <v>28.76487778957442</v>
      </c>
      <c r="CB109" s="22">
        <f t="shared" si="64"/>
        <v>237.50272151757167</v>
      </c>
      <c r="CC109" s="60">
        <f t="shared" si="65"/>
        <v>530.83605485090493</v>
      </c>
      <c r="CD109" s="60">
        <f ca="1">AVERAGE(OFFSET($CC$3,0,0,'Données projet'!$E$12+1,1))-AVERAGE(OFFSET($H$3,0,0,'Données projet'!$E$12+1,1))</f>
        <v>245.98992992759543</v>
      </c>
      <c r="CE109" s="60">
        <f t="shared" si="94"/>
        <v>145.34368562171613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277.9732799999997</v>
      </c>
      <c r="CV109" s="14">
        <f t="shared" si="95"/>
        <v>66.538523764973135</v>
      </c>
      <c r="CW109" s="22">
        <f t="shared" si="67"/>
        <v>600.0247248906611</v>
      </c>
      <c r="CX109" s="60">
        <f t="shared" si="68"/>
        <v>893.35805822399448</v>
      </c>
      <c r="CY109" s="60">
        <f ca="1">AVERAGE(OFFSET($CX$3,0,0,'Données projet'!$E$13+1,1))-AVERAGE(OFFSET($H$3,0,0,'Données projet'!$E$13+1,1))</f>
        <v>455.50822833641354</v>
      </c>
      <c r="CZ109" s="60">
        <f t="shared" si="96"/>
        <v>261.14722581688039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4.4000000000000004</v>
      </c>
      <c r="DO109" s="13">
        <f>IF('Données projet'!$A$166&gt;35,DO108+DN109-DW108,IF(A109&lt;'Données projet'!$A$166,$DL$205^A109,IF(A109='Données projet'!$A$166,'Données projet'!$B$166,DO108+DN109-DW108)))</f>
        <v>287.39999999999969</v>
      </c>
      <c r="DP109" s="18">
        <f>DO109*VLOOKUP('Données projet'!$B$14,Paramètres!$A$1:$I$89,3,0)*VLOOKUP('Données projet'!$B$14,Paramètres!$A$1:$I$89,5,0)</f>
        <v>309.35735999999969</v>
      </c>
      <c r="DQ109" s="14">
        <f t="shared" si="97"/>
        <v>73.134605157142161</v>
      </c>
      <c r="DR109" s="22">
        <f t="shared" si="70"/>
        <v>666.17350598202211</v>
      </c>
      <c r="DS109" s="60">
        <f t="shared" si="71"/>
        <v>959.50683931535536</v>
      </c>
      <c r="DT109" s="60">
        <f ca="1">AVERAGE(OFFSET($DS$3,0,0,'Données projet'!$E$14+1,1))-AVERAGE(OFFSET($H$3,0,0,'Données projet'!$E$14+1,1))</f>
        <v>502.07782026233912</v>
      </c>
      <c r="DU109" s="60">
        <f t="shared" si="98"/>
        <v>285.83623046025156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4.4000000000000004</v>
      </c>
      <c r="EJ109" s="13">
        <f>IF('Données projet'!$A$192&gt;35,EJ108+EI109-ER108,IF(A109&lt;'Données projet'!$A$192,$EG$205^A109,IF(A109='Données projet'!$A$192,'Données projet'!$B$192,EJ108+EI109-ER108)))</f>
        <v>287.39999999999969</v>
      </c>
      <c r="EK109" s="18">
        <f>EJ109*VLOOKUP('Données projet'!$B$15,Paramètres!$A$1:$I$89,3,0)*VLOOKUP('Données projet'!$B$15,Paramètres!$A$1:$I$89,5,0)</f>
        <v>260.0395199999997</v>
      </c>
      <c r="EL109" s="14">
        <f t="shared" si="99"/>
        <v>62.730801948604821</v>
      </c>
      <c r="EM109" s="22">
        <f t="shared" si="73"/>
        <v>562.15831072715287</v>
      </c>
      <c r="EN109" s="60">
        <f t="shared" si="74"/>
        <v>855.49164406048612</v>
      </c>
      <c r="EO109" s="60">
        <f ca="1">AVERAGE(OFFSET($EN$3,0,0,'Données projet'!$E$15+1,1))-AVERAGE(OFFSET($H$3,0,0,'Données projet'!$E$15+1,1))</f>
        <v>428.8489304403459</v>
      </c>
      <c r="EP109" s="60">
        <f t="shared" si="100"/>
        <v>247.01165577562966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 t="e">
        <f>N110*VLOOKUP('Données projet'!$B$9,Paramètres!$A$1:$I$89,3,0)*VLOOKUP('Données projet'!$B$9,Paramètres!$A$1:$I$89,5,0)</f>
        <v>#N/A</v>
      </c>
      <c r="P110" s="14" t="e">
        <f t="shared" si="87"/>
        <v>#N/A</v>
      </c>
      <c r="Q110" s="22" t="e">
        <f t="shared" si="107"/>
        <v>#N/A</v>
      </c>
      <c r="R110" s="60" t="e">
        <f t="shared" si="55"/>
        <v>#N/A</v>
      </c>
      <c r="S110" s="60" t="e">
        <f ca="1">AVERAGE(OFFSET($R$3,0,0,'Données projet'!$E$9+1,1))-AVERAGE(OFFSET($H$3,0,0,'Données projet'!$E$9+1,1))</f>
        <v>#N/A</v>
      </c>
      <c r="T110" s="60" t="e">
        <f t="shared" si="88"/>
        <v>#N/A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 t="e">
        <f>EXP(-LN(2)/35)*Z109+(1-EXP(-LN(2)/35))/(LN(2)/35)*V110*W110*VLOOKUP('Données projet'!$B$9,Paramètres!$A$1:$I$89,3,0)*0.475*44/12</f>
        <v>#N/A</v>
      </c>
      <c r="AA110" s="23" t="e">
        <f>EXP(-LN(2)/25)*AA109+(1-EXP(-LN(2)/25))/(LN(2)/25)*Calculateur!V110*Calculateur!X110*VLOOKUP('Données projet'!$B$9,Paramètres!$A$1:$I$89,3,0)*0.475*44/12</f>
        <v>#N/A</v>
      </c>
      <c r="AB110" s="23" t="e">
        <f>EXP(-LN(2)/2)*AB109+(1-EXP(-LN(2)/2))/(LN(2)/2)*V110*Y110*VLOOKUP('Données projet'!$B$9,Paramètres!$A$1:$I$89,3,0)*0.475*44/12</f>
        <v>#N/A</v>
      </c>
      <c r="AC110" s="24" t="e">
        <f t="shared" si="57"/>
        <v>#N/A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0" t="e">
        <f t="shared" si="59"/>
        <v>#N/A</v>
      </c>
      <c r="AN110" s="60" t="e">
        <f ca="1">AVERAGE(OFFSET($AM$3,0,0,'Données projet'!$E$10+1,1))-AVERAGE(OFFSET($H$3,0,0,'Données projet'!$E$10+1,1))</f>
        <v>#N/A</v>
      </c>
      <c r="AO110" s="60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3.0769230769230775</v>
      </c>
      <c r="BD110" s="13">
        <f>IF('Données projet'!$A$88&gt;35,BD109+BC110-BL109,IF(A110&lt;'Données projet'!$A$88,$BA$205^A110,IF(A110='Données projet'!$A$88,'Données projet'!$B$88,BD109+BC110-BL109)))</f>
        <v>247.82051282051279</v>
      </c>
      <c r="BE110" s="14">
        <f>BD110*VLOOKUP('Données projet'!$B$11,Paramètres!$A$1:$I$89,3,0)*VLOOKUP('Données projet'!$B$11,Paramètres!$A$1:$I$89,5,0)</f>
        <v>235.82599999999999</v>
      </c>
      <c r="BF110" s="14">
        <f t="shared" si="91"/>
        <v>57.540559102944393</v>
      </c>
      <c r="BG110" s="22">
        <f t="shared" si="61"/>
        <v>510.94675710429482</v>
      </c>
      <c r="BH110" s="60">
        <f t="shared" si="62"/>
        <v>804.28009043762813</v>
      </c>
      <c r="BI110" s="60">
        <f ca="1">AVERAGE(OFFSET($BH$3,0,0,'Données projet'!$E$11+1,1))-AVERAGE(OFFSET($H$3,0,0,'Données projet'!$E$11+1,1))</f>
        <v>357.083670644861</v>
      </c>
      <c r="BJ110" s="60">
        <f t="shared" si="92"/>
        <v>299.88885091109654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4.3834924199887695</v>
      </c>
      <c r="BY110" s="13">
        <f>IF('Données projet'!$A$114&gt;35,BY109+BX110-CG109,IF(A110&lt;'Données projet'!$A$114,$BV$205^A110,IF(A110='Données projet'!$A$114,'Données projet'!$B$114,BY109+BX110-CG109)))</f>
        <v>234.29870859067898</v>
      </c>
      <c r="BZ110" s="14">
        <f>BY110*VLOOKUP('Données projet'!$B$12,Paramètres!$A$1:$I$89,3,0)*VLOOKUP('Données projet'!$B$12,Paramètres!$A$1:$I$89,5,0)</f>
        <v>109.65179562043777</v>
      </c>
      <c r="CA110" s="14">
        <f t="shared" si="93"/>
        <v>29.248929772692644</v>
      </c>
      <c r="CB110" s="22">
        <f t="shared" si="64"/>
        <v>241.91876339303545</v>
      </c>
      <c r="CC110" s="60">
        <f t="shared" si="65"/>
        <v>535.25209672636879</v>
      </c>
      <c r="CD110" s="60">
        <f ca="1">AVERAGE(OFFSET($CC$3,0,0,'Données projet'!$E$12+1,1))-AVERAGE(OFFSET($H$3,0,0,'Données projet'!$E$12+1,1))</f>
        <v>245.98992992759543</v>
      </c>
      <c r="CE110" s="60">
        <f t="shared" si="94"/>
        <v>145.34368562171613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282.22895999999969</v>
      </c>
      <c r="CV110" s="14">
        <f t="shared" si="95"/>
        <v>67.437834611070301</v>
      </c>
      <c r="CW110" s="22">
        <f t="shared" si="67"/>
        <v>609.00300061428027</v>
      </c>
      <c r="CX110" s="60">
        <f t="shared" si="68"/>
        <v>902.33633394761364</v>
      </c>
      <c r="CY110" s="60">
        <f ca="1">AVERAGE(OFFSET($CX$3,0,0,'Données projet'!$E$13+1,1))-AVERAGE(OFFSET($H$3,0,0,'Données projet'!$E$13+1,1))</f>
        <v>455.50822833641354</v>
      </c>
      <c r="CZ110" s="60">
        <f t="shared" si="96"/>
        <v>261.14722581688039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4.4000000000000004</v>
      </c>
      <c r="DO110" s="13">
        <f>IF('Données projet'!$A$166&gt;35,DO109+DN110-DW109,IF(A110&lt;'Données projet'!$A$166,$DL$205^A110,IF(A110='Données projet'!$A$166,'Données projet'!$B$166,DO109+DN110-DW109)))</f>
        <v>291.79999999999967</v>
      </c>
      <c r="DP110" s="18">
        <f>DO110*VLOOKUP('Données projet'!$B$14,Paramètres!$A$1:$I$89,3,0)*VLOOKUP('Données projet'!$B$14,Paramètres!$A$1:$I$89,5,0)</f>
        <v>314.09351999999961</v>
      </c>
      <c r="DQ110" s="14">
        <f t="shared" si="97"/>
        <v>74.123066275924458</v>
      </c>
      <c r="DR110" s="22">
        <f t="shared" si="70"/>
        <v>676.14388776390103</v>
      </c>
      <c r="DS110" s="60">
        <f t="shared" si="71"/>
        <v>969.47722109723441</v>
      </c>
      <c r="DT110" s="60">
        <f ca="1">AVERAGE(OFFSET($DS$3,0,0,'Données projet'!$E$14+1,1))-AVERAGE(OFFSET($H$3,0,0,'Données projet'!$E$14+1,1))</f>
        <v>502.07782026233912</v>
      </c>
      <c r="DU110" s="60">
        <f t="shared" si="98"/>
        <v>285.83623046025156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4.4000000000000004</v>
      </c>
      <c r="EJ110" s="13">
        <f>IF('Données projet'!$A$192&gt;35,EJ109+EI110-ER109,IF(A110&lt;'Données projet'!$A$192,$EG$205^A110,IF(A110='Données projet'!$A$192,'Données projet'!$B$192,EJ109+EI110-ER109)))</f>
        <v>291.79999999999967</v>
      </c>
      <c r="EK110" s="18">
        <f>EJ110*VLOOKUP('Données projet'!$B$15,Paramètres!$A$1:$I$89,3,0)*VLOOKUP('Données projet'!$B$15,Paramètres!$A$1:$I$89,5,0)</f>
        <v>264.02063999999967</v>
      </c>
      <c r="EL110" s="14">
        <f t="shared" si="99"/>
        <v>63.57864899095906</v>
      </c>
      <c r="EM110" s="22">
        <f t="shared" si="73"/>
        <v>570.56876165925303</v>
      </c>
      <c r="EN110" s="60">
        <f t="shared" si="74"/>
        <v>863.9020949925864</v>
      </c>
      <c r="EO110" s="60">
        <f ca="1">AVERAGE(OFFSET($EN$3,0,0,'Données projet'!$E$15+1,1))-AVERAGE(OFFSET($H$3,0,0,'Données projet'!$E$15+1,1))</f>
        <v>428.8489304403459</v>
      </c>
      <c r="EP110" s="60">
        <f t="shared" si="100"/>
        <v>247.01165577562966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 t="e">
        <f>N111*VLOOKUP('Données projet'!$B$9,Paramètres!$A$1:$I$89,3,0)*VLOOKUP('Données projet'!$B$9,Paramètres!$A$1:$I$89,5,0)</f>
        <v>#N/A</v>
      </c>
      <c r="P111" s="14" t="e">
        <f t="shared" si="87"/>
        <v>#N/A</v>
      </c>
      <c r="Q111" s="22" t="e">
        <f t="shared" si="107"/>
        <v>#N/A</v>
      </c>
      <c r="R111" s="60" t="e">
        <f t="shared" si="55"/>
        <v>#N/A</v>
      </c>
      <c r="S111" s="60" t="e">
        <f ca="1">AVERAGE(OFFSET($R$3,0,0,'Données projet'!$E$9+1,1))-AVERAGE(OFFSET($H$3,0,0,'Données projet'!$E$9+1,1))</f>
        <v>#N/A</v>
      </c>
      <c r="T111" s="60" t="e">
        <f t="shared" si="88"/>
        <v>#N/A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 t="e">
        <f>EXP(-LN(2)/35)*Z110+(1-EXP(-LN(2)/35))/(LN(2)/35)*V111*W111*VLOOKUP('Données projet'!$B$9,Paramètres!$A$1:$I$89,3,0)*0.475*44/12</f>
        <v>#N/A</v>
      </c>
      <c r="AA111" s="23" t="e">
        <f>EXP(-LN(2)/25)*AA110+(1-EXP(-LN(2)/25))/(LN(2)/25)*Calculateur!V111*Calculateur!X111*VLOOKUP('Données projet'!$B$9,Paramètres!$A$1:$I$89,3,0)*0.475*44/12</f>
        <v>#N/A</v>
      </c>
      <c r="AB111" s="23" t="e">
        <f>EXP(-LN(2)/2)*AB110+(1-EXP(-LN(2)/2))/(LN(2)/2)*V111*Y111*VLOOKUP('Données projet'!$B$9,Paramètres!$A$1:$I$89,3,0)*0.475*44/12</f>
        <v>#N/A</v>
      </c>
      <c r="AC111" s="24" t="e">
        <f t="shared" si="57"/>
        <v>#N/A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0" t="e">
        <f t="shared" si="59"/>
        <v>#N/A</v>
      </c>
      <c r="AN111" s="60" t="e">
        <f ca="1">AVERAGE(OFFSET($AM$3,0,0,'Données projet'!$E$10+1,1))-AVERAGE(OFFSET($H$3,0,0,'Données projet'!$E$10+1,1))</f>
        <v>#N/A</v>
      </c>
      <c r="AO111" s="60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3.0769230769230775</v>
      </c>
      <c r="BD111" s="13">
        <f>IF('Données projet'!$A$88&gt;35,BD110+BC111-BL110,IF(A111&lt;'Données projet'!$A$88,$BA$205^A111,IF(A111='Données projet'!$A$88,'Données projet'!$B$88,BD110+BC111-BL110)))</f>
        <v>250.89743589743586</v>
      </c>
      <c r="BE111" s="14">
        <f>BD111*VLOOKUP('Données projet'!$B$11,Paramètres!$A$1:$I$89,3,0)*VLOOKUP('Données projet'!$B$11,Paramètres!$A$1:$I$89,5,0)</f>
        <v>238.75399999999996</v>
      </c>
      <c r="BF111" s="14">
        <f t="shared" si="91"/>
        <v>58.171366352922625</v>
      </c>
      <c r="BG111" s="22">
        <f t="shared" si="61"/>
        <v>517.14501306467344</v>
      </c>
      <c r="BH111" s="60">
        <f t="shared" si="62"/>
        <v>810.47834639800681</v>
      </c>
      <c r="BI111" s="60">
        <f ca="1">AVERAGE(OFFSET($BH$3,0,0,'Données projet'!$E$11+1,1))-AVERAGE(OFFSET($H$3,0,0,'Données projet'!$E$11+1,1))</f>
        <v>357.083670644861</v>
      </c>
      <c r="BJ111" s="60">
        <f t="shared" si="92"/>
        <v>299.88885091109654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4.3834924199887695</v>
      </c>
      <c r="BY111" s="13">
        <f>IF('Données projet'!$A$114&gt;35,BY110+BX111-CG110,IF(A111&lt;'Données projet'!$A$114,$BV$205^A111,IF(A111='Données projet'!$A$114,'Données projet'!$B$114,BY110+BX111-CG110)))</f>
        <v>238.68220101066777</v>
      </c>
      <c r="BZ111" s="14">
        <f>BY111*VLOOKUP('Données projet'!$B$12,Paramètres!$A$1:$I$89,3,0)*VLOOKUP('Données projet'!$B$12,Paramètres!$A$1:$I$89,5,0)</f>
        <v>111.70327007299251</v>
      </c>
      <c r="CA111" s="14">
        <f t="shared" si="93"/>
        <v>29.731928704988078</v>
      </c>
      <c r="CB111" s="22">
        <f t="shared" si="64"/>
        <v>246.33297120498284</v>
      </c>
      <c r="CC111" s="60">
        <f t="shared" si="65"/>
        <v>539.66630453831613</v>
      </c>
      <c r="CD111" s="60">
        <f ca="1">AVERAGE(OFFSET($CC$3,0,0,'Données projet'!$E$12+1,1))-AVERAGE(OFFSET($H$3,0,0,'Données projet'!$E$12+1,1))</f>
        <v>245.98992992759543</v>
      </c>
      <c r="CE111" s="60">
        <f t="shared" si="94"/>
        <v>145.34368562171613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286.48463999999967</v>
      </c>
      <c r="CV111" s="14">
        <f t="shared" si="95"/>
        <v>68.335568330677432</v>
      </c>
      <c r="CW111" s="22">
        <f t="shared" si="67"/>
        <v>617.97852950926267</v>
      </c>
      <c r="CX111" s="60">
        <f t="shared" si="68"/>
        <v>911.31186284259593</v>
      </c>
      <c r="CY111" s="60">
        <f ca="1">AVERAGE(OFFSET($CX$3,0,0,'Données projet'!$E$13+1,1))-AVERAGE(OFFSET($H$3,0,0,'Données projet'!$E$13+1,1))</f>
        <v>455.50822833641354</v>
      </c>
      <c r="CZ111" s="60">
        <f t="shared" si="96"/>
        <v>261.14722581688039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4.4000000000000004</v>
      </c>
      <c r="DO111" s="13">
        <f>IF('Données projet'!$A$166&gt;35,DO110+DN111-DW110,IF(A111&lt;'Données projet'!$A$166,$DL$205^A111,IF(A111='Données projet'!$A$166,'Données projet'!$B$166,DO110+DN111-DW110)))</f>
        <v>296.19999999999965</v>
      </c>
      <c r="DP111" s="18">
        <f>DO111*VLOOKUP('Données projet'!$B$14,Paramètres!$A$1:$I$89,3,0)*VLOOKUP('Données projet'!$B$14,Paramètres!$A$1:$I$89,5,0)</f>
        <v>318.8296799999996</v>
      </c>
      <c r="DQ111" s="14">
        <f t="shared" si="97"/>
        <v>75.109793924882112</v>
      </c>
      <c r="DR111" s="22">
        <f t="shared" si="70"/>
        <v>686.11125041916887</v>
      </c>
      <c r="DS111" s="60">
        <f t="shared" si="71"/>
        <v>979.44458375250224</v>
      </c>
      <c r="DT111" s="60">
        <f ca="1">AVERAGE(OFFSET($DS$3,0,0,'Données projet'!$E$14+1,1))-AVERAGE(OFFSET($H$3,0,0,'Données projet'!$E$14+1,1))</f>
        <v>502.07782026233912</v>
      </c>
      <c r="DU111" s="60">
        <f t="shared" si="98"/>
        <v>285.83623046025156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4.4000000000000004</v>
      </c>
      <c r="EJ111" s="13">
        <f>IF('Données projet'!$A$192&gt;35,EJ110+EI111-ER110,IF(A111&lt;'Données projet'!$A$192,$EG$205^A111,IF(A111='Données projet'!$A$192,'Données projet'!$B$192,EJ110+EI111-ER110)))</f>
        <v>296.19999999999965</v>
      </c>
      <c r="EK111" s="18">
        <f>EJ111*VLOOKUP('Données projet'!$B$15,Paramètres!$A$1:$I$89,3,0)*VLOOKUP('Données projet'!$B$15,Paramètres!$A$1:$I$89,5,0)</f>
        <v>268.00175999999971</v>
      </c>
      <c r="EL111" s="14">
        <f t="shared" si="99"/>
        <v>64.425009159185521</v>
      </c>
      <c r="EM111" s="22">
        <f t="shared" si="73"/>
        <v>578.97662295224757</v>
      </c>
      <c r="EN111" s="60">
        <f t="shared" si="74"/>
        <v>872.30995628558094</v>
      </c>
      <c r="EO111" s="60">
        <f ca="1">AVERAGE(OFFSET($EN$3,0,0,'Données projet'!$E$15+1,1))-AVERAGE(OFFSET($H$3,0,0,'Données projet'!$E$15+1,1))</f>
        <v>428.8489304403459</v>
      </c>
      <c r="EP111" s="60">
        <f t="shared" si="100"/>
        <v>247.01165577562966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 t="e">
        <f>N112*VLOOKUP('Données projet'!$B$9,Paramètres!$A$1:$I$89,3,0)*VLOOKUP('Données projet'!$B$9,Paramètres!$A$1:$I$89,5,0)</f>
        <v>#N/A</v>
      </c>
      <c r="P112" s="14" t="e">
        <f t="shared" si="87"/>
        <v>#N/A</v>
      </c>
      <c r="Q112" s="22" t="e">
        <f t="shared" si="107"/>
        <v>#N/A</v>
      </c>
      <c r="R112" s="60" t="e">
        <f t="shared" si="55"/>
        <v>#N/A</v>
      </c>
      <c r="S112" s="60" t="e">
        <f ca="1">AVERAGE(OFFSET($R$3,0,0,'Données projet'!$E$9+1,1))-AVERAGE(OFFSET($H$3,0,0,'Données projet'!$E$9+1,1))</f>
        <v>#N/A</v>
      </c>
      <c r="T112" s="60" t="e">
        <f t="shared" si="88"/>
        <v>#N/A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 t="e">
        <f>EXP(-LN(2)/35)*Z111+(1-EXP(-LN(2)/35))/(LN(2)/35)*V112*W112*VLOOKUP('Données projet'!$B$9,Paramètres!$A$1:$I$89,3,0)*0.475*44/12</f>
        <v>#N/A</v>
      </c>
      <c r="AA112" s="23" t="e">
        <f>EXP(-LN(2)/25)*AA111+(1-EXP(-LN(2)/25))/(LN(2)/25)*Calculateur!V112*Calculateur!X112*VLOOKUP('Données projet'!$B$9,Paramètres!$A$1:$I$89,3,0)*0.475*44/12</f>
        <v>#N/A</v>
      </c>
      <c r="AB112" s="23" t="e">
        <f>EXP(-LN(2)/2)*AB111+(1-EXP(-LN(2)/2))/(LN(2)/2)*V112*Y112*VLOOKUP('Données projet'!$B$9,Paramètres!$A$1:$I$89,3,0)*0.475*44/12</f>
        <v>#N/A</v>
      </c>
      <c r="AC112" s="24" t="e">
        <f t="shared" si="57"/>
        <v>#N/A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0" t="e">
        <f t="shared" si="59"/>
        <v>#N/A</v>
      </c>
      <c r="AN112" s="60" t="e">
        <f ca="1">AVERAGE(OFFSET($AM$3,0,0,'Données projet'!$E$10+1,1))-AVERAGE(OFFSET($H$3,0,0,'Données projet'!$E$10+1,1))</f>
        <v>#N/A</v>
      </c>
      <c r="AO112" s="60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3.0769230769230775</v>
      </c>
      <c r="BD112" s="13">
        <f>IF('Données projet'!$A$88&gt;35,BD111+BC112-BL111,IF(A112&lt;'Données projet'!$A$88,$BA$205^A112,IF(A112='Données projet'!$A$88,'Données projet'!$B$88,BD111+BC112-BL111)))</f>
        <v>253.97435897435892</v>
      </c>
      <c r="BE112" s="14">
        <f>BD112*VLOOKUP('Données projet'!$B$11,Paramètres!$A$1:$I$89,3,0)*VLOOKUP('Données projet'!$B$11,Paramètres!$A$1:$I$89,5,0)</f>
        <v>241.68199999999996</v>
      </c>
      <c r="BF112" s="14">
        <f t="shared" si="91"/>
        <v>58.801273749741775</v>
      </c>
      <c r="BG112" s="22">
        <f t="shared" si="61"/>
        <v>523.34170178080024</v>
      </c>
      <c r="BH112" s="60">
        <f t="shared" si="62"/>
        <v>816.67503511413361</v>
      </c>
      <c r="BI112" s="60">
        <f ca="1">AVERAGE(OFFSET($BH$3,0,0,'Données projet'!$E$11+1,1))-AVERAGE(OFFSET($H$3,0,0,'Données projet'!$E$11+1,1))</f>
        <v>357.083670644861</v>
      </c>
      <c r="BJ112" s="60">
        <f t="shared" si="92"/>
        <v>299.88885091109654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>
        <f>VLOOKUP(A112,'Données projet'!$A$113:$I$133,2,0)</f>
        <v>243.06569343065692</v>
      </c>
      <c r="BW112" s="13">
        <f>VLOOKUP(A112,'Données projet'!$A$113:$I$133,9,0)</f>
        <v>4.3834924199887695</v>
      </c>
      <c r="BX112" s="13">
        <f t="array" ref="BX112">INDEX(BW:BW,MIN(IF(ISNUMBER(BW112:BW308),ROW(BW112:BW308),"")))</f>
        <v>4.3834924199887695</v>
      </c>
      <c r="BY112" s="13">
        <f>IF('Données projet'!$A$114&gt;35,BY111+BX112-CG111,IF(A112&lt;'Données projet'!$A$114,$BV$205^A112,IF(A112='Données projet'!$A$114,'Données projet'!$B$114,BY111+BX112-CG111)))</f>
        <v>243.06569343065655</v>
      </c>
      <c r="BZ112" s="14">
        <f>BY112*VLOOKUP('Données projet'!$B$12,Paramètres!$A$1:$I$89,3,0)*VLOOKUP('Données projet'!$B$12,Paramètres!$A$1:$I$89,5,0)</f>
        <v>113.75474452554727</v>
      </c>
      <c r="CA112" s="14">
        <f t="shared" si="93"/>
        <v>30.213896156677176</v>
      </c>
      <c r="CB112" s="22">
        <f t="shared" si="64"/>
        <v>250.74538252154093</v>
      </c>
      <c r="CC112" s="60">
        <f t="shared" si="65"/>
        <v>544.07871585487419</v>
      </c>
      <c r="CD112" s="60">
        <f ca="1">AVERAGE(OFFSET($CC$3,0,0,'Données projet'!$E$12+1,1))-AVERAGE(OFFSET($H$3,0,0,'Données projet'!$E$12+1,1))</f>
        <v>245.98992992759543</v>
      </c>
      <c r="CE112" s="60">
        <f t="shared" si="94"/>
        <v>145.34368562171613</v>
      </c>
      <c r="CF112" s="16">
        <f>IF(ISNA(VLOOKUP(A112,'Données projet'!$A$113:$I$133,3,0)),0,VLOOKUP(A112,'Données projet'!$A$113:$I$133,3,0))</f>
        <v>6</v>
      </c>
      <c r="CG112" s="16">
        <f>IF(ISNA(VLOOKUP(A112,'Données projet'!$A$113:$I$133,4,0)),0,VLOOKUP(A112,'Données projet'!$A$113:$I$133,4,0))</f>
        <v>243.06569343065692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290.74031999999966</v>
      </c>
      <c r="CV112" s="14">
        <f t="shared" si="95"/>
        <v>69.231751058085507</v>
      </c>
      <c r="CW112" s="22">
        <f t="shared" si="67"/>
        <v>626.95135709283159</v>
      </c>
      <c r="CX112" s="60">
        <f t="shared" si="68"/>
        <v>920.28469042616484</v>
      </c>
      <c r="CY112" s="60">
        <f ca="1">AVERAGE(OFFSET($CX$3,0,0,'Données projet'!$E$13+1,1))-AVERAGE(OFFSET($H$3,0,0,'Données projet'!$E$13+1,1))</f>
        <v>455.50822833641354</v>
      </c>
      <c r="CZ112" s="60">
        <f t="shared" si="96"/>
        <v>261.14722581688039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4.4000000000000004</v>
      </c>
      <c r="DO112" s="13">
        <f>IF('Données projet'!$A$166&gt;35,DO111+DN112-DW111,IF(A112&lt;'Données projet'!$A$166,$DL$205^A112,IF(A112='Données projet'!$A$166,'Données projet'!$B$166,DO111+DN112-DW111)))</f>
        <v>300.59999999999962</v>
      </c>
      <c r="DP112" s="18">
        <f>DO112*VLOOKUP('Données projet'!$B$14,Paramètres!$A$1:$I$89,3,0)*VLOOKUP('Données projet'!$B$14,Paramètres!$A$1:$I$89,5,0)</f>
        <v>323.56583999999958</v>
      </c>
      <c r="DQ112" s="14">
        <f t="shared" si="97"/>
        <v>76.094816829044248</v>
      </c>
      <c r="DR112" s="22">
        <f t="shared" si="70"/>
        <v>696.07564397725127</v>
      </c>
      <c r="DS112" s="60">
        <f t="shared" si="71"/>
        <v>989.40897731058453</v>
      </c>
      <c r="DT112" s="60">
        <f ca="1">AVERAGE(OFFSET($DS$3,0,0,'Données projet'!$E$14+1,1))-AVERAGE(OFFSET($H$3,0,0,'Données projet'!$E$14+1,1))</f>
        <v>502.07782026233912</v>
      </c>
      <c r="DU112" s="60">
        <f t="shared" si="98"/>
        <v>285.83623046025156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4.4000000000000004</v>
      </c>
      <c r="EJ112" s="13">
        <f>IF('Données projet'!$A$192&gt;35,EJ111+EI112-ER111,IF(A112&lt;'Données projet'!$A$192,$EG$205^A112,IF(A112='Données projet'!$A$192,'Données projet'!$B$192,EJ111+EI112-ER111)))</f>
        <v>300.59999999999962</v>
      </c>
      <c r="EK112" s="18">
        <f>EJ112*VLOOKUP('Données projet'!$B$15,Paramètres!$A$1:$I$89,3,0)*VLOOKUP('Données projet'!$B$15,Paramètres!$A$1:$I$89,5,0)</f>
        <v>271.98287999999962</v>
      </c>
      <c r="EL112" s="14">
        <f t="shared" si="99"/>
        <v>65.269907092018684</v>
      </c>
      <c r="EM112" s="22">
        <f t="shared" si="73"/>
        <v>587.38193751859842</v>
      </c>
      <c r="EN112" s="60">
        <f t="shared" si="74"/>
        <v>880.71527085193179</v>
      </c>
      <c r="EO112" s="60">
        <f ca="1">AVERAGE(OFFSET($EN$3,0,0,'Données projet'!$E$15+1,1))-AVERAGE(OFFSET($H$3,0,0,'Données projet'!$E$15+1,1))</f>
        <v>428.8489304403459</v>
      </c>
      <c r="EP112" s="60">
        <f t="shared" si="100"/>
        <v>247.01165577562966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 t="e">
        <f>N113*VLOOKUP('Données projet'!$B$9,Paramètres!$A$1:$I$89,3,0)*VLOOKUP('Données projet'!$B$9,Paramètres!$A$1:$I$89,5,0)</f>
        <v>#N/A</v>
      </c>
      <c r="P113" s="14" t="e">
        <f t="shared" si="87"/>
        <v>#N/A</v>
      </c>
      <c r="Q113" s="22" t="e">
        <f t="shared" si="107"/>
        <v>#N/A</v>
      </c>
      <c r="R113" s="60" t="e">
        <f t="shared" si="55"/>
        <v>#N/A</v>
      </c>
      <c r="S113" s="60" t="e">
        <f ca="1">AVERAGE(OFFSET($R$3,0,0,'Données projet'!$E$9+1,1))-AVERAGE(OFFSET($H$3,0,0,'Données projet'!$E$9+1,1))</f>
        <v>#N/A</v>
      </c>
      <c r="T113" s="60" t="e">
        <f t="shared" si="88"/>
        <v>#N/A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 t="e">
        <f>EXP(-LN(2)/35)*Z112+(1-EXP(-LN(2)/35))/(LN(2)/35)*V113*W113*VLOOKUP('Données projet'!$B$9,Paramètres!$A$1:$I$89,3,0)*0.475*44/12</f>
        <v>#N/A</v>
      </c>
      <c r="AA113" s="23" t="e">
        <f>EXP(-LN(2)/25)*AA112+(1-EXP(-LN(2)/25))/(LN(2)/25)*Calculateur!V113*Calculateur!X113*VLOOKUP('Données projet'!$B$9,Paramètres!$A$1:$I$89,3,0)*0.475*44/12</f>
        <v>#N/A</v>
      </c>
      <c r="AB113" s="23" t="e">
        <f>EXP(-LN(2)/2)*AB112+(1-EXP(-LN(2)/2))/(LN(2)/2)*V113*Y113*VLOOKUP('Données projet'!$B$9,Paramètres!$A$1:$I$89,3,0)*0.475*44/12</f>
        <v>#N/A</v>
      </c>
      <c r="AC113" s="24" t="e">
        <f t="shared" si="57"/>
        <v>#N/A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0" t="e">
        <f t="shared" si="59"/>
        <v>#N/A</v>
      </c>
      <c r="AN113" s="60" t="e">
        <f ca="1">AVERAGE(OFFSET($AM$3,0,0,'Données projet'!$E$10+1,1))-AVERAGE(OFFSET($H$3,0,0,'Données projet'!$E$10+1,1))</f>
        <v>#N/A</v>
      </c>
      <c r="AO113" s="60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257.05128205128204</v>
      </c>
      <c r="BB113" s="13">
        <f>VLOOKUP(A113,'Données projet'!$A$87:$I$107,9,0)</f>
        <v>3.0769230769230775</v>
      </c>
      <c r="BC113" s="13">
        <f t="array" ref="BC113">INDEX(BB:BB,MIN(IF(ISNUMBER(BB113:BB309),ROW(BB113:BB309),"")))</f>
        <v>3.0769230769230775</v>
      </c>
      <c r="BD113" s="13">
        <f>IF('Données projet'!$A$88&gt;35,BD112+BC113-BL112,IF(A113&lt;'Données projet'!$A$88,$BA$205^A113,IF(A113='Données projet'!$A$88,'Données projet'!$B$88,BD112+BC113-BL112)))</f>
        <v>257.05128205128199</v>
      </c>
      <c r="BE113" s="14">
        <f>BD113*VLOOKUP('Données projet'!$B$11,Paramètres!$A$1:$I$89,3,0)*VLOOKUP('Données projet'!$B$11,Paramètres!$A$1:$I$89,5,0)</f>
        <v>244.60999999999996</v>
      </c>
      <c r="BF113" s="14">
        <f t="shared" si="91"/>
        <v>59.430293456197688</v>
      </c>
      <c r="BG113" s="22">
        <f t="shared" si="61"/>
        <v>529.5368444362108</v>
      </c>
      <c r="BH113" s="60">
        <f t="shared" si="62"/>
        <v>822.87017776954417</v>
      </c>
      <c r="BI113" s="60">
        <f ca="1">AVERAGE(OFFSET($BH$3,0,0,'Données projet'!$E$11+1,1))-AVERAGE(OFFSET($H$3,0,0,'Données projet'!$E$11+1,1))</f>
        <v>357.083670644861</v>
      </c>
      <c r="BJ113" s="60">
        <f t="shared" si="92"/>
        <v>299.88885091109654</v>
      </c>
      <c r="BK113" s="16">
        <f>IF(ISNA(VLOOKUP(A113,'Données projet'!$A$87:$I$107,3,0)),0,VLOOKUP(A113,'Données projet'!$A$87:$I$107,3,0))</f>
        <v>8</v>
      </c>
      <c r="BL113" s="16">
        <f>IF(ISNA(VLOOKUP(A113,'Données projet'!$A$87:$I$107,4,0)),0,VLOOKUP(A113,'Données projet'!$A$87:$I$107,4,0))</f>
        <v>33.333333333333336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-3.694822225952521E-13</v>
      </c>
      <c r="BZ113" s="14">
        <f>BY113*VLOOKUP('Données projet'!$B$12,Paramètres!$A$1:$I$89,3,0)*VLOOKUP('Données projet'!$B$12,Paramètres!$A$1:$I$89,5,0)</f>
        <v>-1.7291768017457797E-13</v>
      </c>
      <c r="CA113" s="14" t="e">
        <f t="shared" si="93"/>
        <v>#NUM!</v>
      </c>
      <c r="CB113" s="22" t="e">
        <f t="shared" si="64"/>
        <v>#NUM!</v>
      </c>
      <c r="CC113" s="60" t="e">
        <f t="shared" si="65"/>
        <v>#NUM!</v>
      </c>
      <c r="CD113" s="60">
        <f ca="1">AVERAGE(OFFSET($CC$3,0,0,'Données projet'!$E$12+1,1))-AVERAGE(OFFSET($H$3,0,0,'Données projet'!$E$12+1,1))</f>
        <v>245.98992992759543</v>
      </c>
      <c r="CE113" s="60">
        <f t="shared" si="94"/>
        <v>145.34368562171613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294.99599999999958</v>
      </c>
      <c r="CV113" s="14">
        <f t="shared" si="95"/>
        <v>70.126408118585317</v>
      </c>
      <c r="CW113" s="22">
        <f t="shared" si="67"/>
        <v>635.92152747320199</v>
      </c>
      <c r="CX113" s="60">
        <f t="shared" si="68"/>
        <v>929.25486080653536</v>
      </c>
      <c r="CY113" s="60">
        <f ca="1">AVERAGE(OFFSET($CX$3,0,0,'Données projet'!$E$13+1,1))-AVERAGE(OFFSET($H$3,0,0,'Données projet'!$E$13+1,1))</f>
        <v>455.50822833641354</v>
      </c>
      <c r="CZ113" s="60">
        <f t="shared" si="96"/>
        <v>261.14722581688039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4.4000000000000004</v>
      </c>
      <c r="DN113" s="13">
        <f t="array" ref="DN113">INDEX(DM:DM,MIN(IF(ISNUMBER(DM113:DM309),ROW(DM113:DM309),"")))</f>
        <v>4.4000000000000004</v>
      </c>
      <c r="DO113" s="13">
        <f>IF('Données projet'!$A$166&gt;35,DO112+DN113-DW112,IF(A113&lt;'Données projet'!$A$166,$DL$205^A113,IF(A113='Données projet'!$A$166,'Données projet'!$B$166,DO112+DN113-DW112)))</f>
        <v>304.9999999999996</v>
      </c>
      <c r="DP113" s="18">
        <f>DO113*VLOOKUP('Données projet'!$B$14,Paramètres!$A$1:$I$89,3,0)*VLOOKUP('Données projet'!$B$14,Paramètres!$A$1:$I$89,5,0)</f>
        <v>328.30199999999957</v>
      </c>
      <c r="DQ113" s="14">
        <f t="shared" si="97"/>
        <v>77.078162824242781</v>
      </c>
      <c r="DR113" s="22">
        <f t="shared" si="70"/>
        <v>706.03711691888873</v>
      </c>
      <c r="DS113" s="60">
        <f t="shared" si="71"/>
        <v>999.3704502522221</v>
      </c>
      <c r="DT113" s="60">
        <f ca="1">AVERAGE(OFFSET($DS$3,0,0,'Données projet'!$E$14+1,1))-AVERAGE(OFFSET($H$3,0,0,'Données projet'!$E$14+1,1))</f>
        <v>502.07782026233912</v>
      </c>
      <c r="DU113" s="60">
        <f t="shared" si="98"/>
        <v>285.83623046025156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305</v>
      </c>
      <c r="EH113" s="13">
        <f>VLOOKUP(A113,'Données projet'!$A$191:$I$211,9,0)</f>
        <v>4.4000000000000004</v>
      </c>
      <c r="EI113" s="13">
        <f t="array" ref="EI113">INDEX(EH:EH,MIN(IF(ISNUMBER(EH113:EH309),ROW(EH113:EH309),"")))</f>
        <v>4.4000000000000004</v>
      </c>
      <c r="EJ113" s="13">
        <f>IF('Données projet'!$A$192&gt;35,EJ112+EI113-ER112,IF(A113&lt;'Données projet'!$A$192,$EG$205^A113,IF(A113='Données projet'!$A$192,'Données projet'!$B$192,EJ112+EI113-ER112)))</f>
        <v>304.9999999999996</v>
      </c>
      <c r="EK113" s="18">
        <f>EJ113*VLOOKUP('Données projet'!$B$15,Paramètres!$A$1:$I$89,3,0)*VLOOKUP('Données projet'!$B$15,Paramètres!$A$1:$I$89,5,0)</f>
        <v>275.9639999999996</v>
      </c>
      <c r="EL113" s="14">
        <f t="shared" si="99"/>
        <v>66.113366665488797</v>
      </c>
      <c r="EM113" s="22">
        <f t="shared" si="73"/>
        <v>595.7847469423923</v>
      </c>
      <c r="EN113" s="60">
        <f t="shared" si="74"/>
        <v>889.11808027572556</v>
      </c>
      <c r="EO113" s="60">
        <f ca="1">AVERAGE(OFFSET($EN$3,0,0,'Données projet'!$E$15+1,1))-AVERAGE(OFFSET($H$3,0,0,'Données projet'!$E$15+1,1))</f>
        <v>428.8489304403459</v>
      </c>
      <c r="EP113" s="60">
        <f t="shared" si="100"/>
        <v>247.01165577562966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39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 t="e">
        <f>N114*VLOOKUP('Données projet'!$B$9,Paramètres!$A$1:$I$89,3,0)*VLOOKUP('Données projet'!$B$9,Paramètres!$A$1:$I$89,5,0)</f>
        <v>#N/A</v>
      </c>
      <c r="P114" s="14" t="e">
        <f t="shared" si="87"/>
        <v>#N/A</v>
      </c>
      <c r="Q114" s="22" t="e">
        <f t="shared" si="107"/>
        <v>#N/A</v>
      </c>
      <c r="R114" s="60" t="e">
        <f t="shared" si="55"/>
        <v>#N/A</v>
      </c>
      <c r="S114" s="60" t="e">
        <f ca="1">AVERAGE(OFFSET($R$3,0,0,'Données projet'!$E$9+1,1))-AVERAGE(OFFSET($H$3,0,0,'Données projet'!$E$9+1,1))</f>
        <v>#N/A</v>
      </c>
      <c r="T114" s="60" t="e">
        <f t="shared" si="88"/>
        <v>#N/A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 t="e">
        <f>EXP(-LN(2)/35)*Z113+(1-EXP(-LN(2)/35))/(LN(2)/35)*V114*W114*VLOOKUP('Données projet'!$B$9,Paramètres!$A$1:$I$89,3,0)*0.475*44/12</f>
        <v>#N/A</v>
      </c>
      <c r="AA114" s="23" t="e">
        <f>EXP(-LN(2)/25)*AA113+(1-EXP(-LN(2)/25))/(LN(2)/25)*Calculateur!V114*Calculateur!X114*VLOOKUP('Données projet'!$B$9,Paramètres!$A$1:$I$89,3,0)*0.475*44/12</f>
        <v>#N/A</v>
      </c>
      <c r="AB114" s="23" t="e">
        <f>EXP(-LN(2)/2)*AB113+(1-EXP(-LN(2)/2))/(LN(2)/2)*V114*Y114*VLOOKUP('Données projet'!$B$9,Paramètres!$A$1:$I$89,3,0)*0.475*44/12</f>
        <v>#N/A</v>
      </c>
      <c r="AC114" s="24" t="e">
        <f t="shared" si="57"/>
        <v>#N/A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0" t="e">
        <f t="shared" si="59"/>
        <v>#N/A</v>
      </c>
      <c r="AN114" s="60" t="e">
        <f ca="1">AVERAGE(OFFSET($AM$3,0,0,'Données projet'!$E$10+1,1))-AVERAGE(OFFSET($H$3,0,0,'Données projet'!$E$10+1,1))</f>
        <v>#N/A</v>
      </c>
      <c r="AO114" s="60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2.7564102564102568</v>
      </c>
      <c r="BD114" s="13">
        <f>IF('Données projet'!$A$88&gt;35,BD113+BC114-BL113,IF(A114&lt;'Données projet'!$A$88,$BA$205^A114,IF(A114='Données projet'!$A$88,'Données projet'!$B$88,BD113+BC114-BL113)))</f>
        <v>226.47435897435892</v>
      </c>
      <c r="BE114" s="14">
        <f>BD114*VLOOKUP('Données projet'!$B$11,Paramètres!$A$1:$I$89,3,0)*VLOOKUP('Données projet'!$B$11,Paramètres!$A$1:$I$89,5,0)</f>
        <v>215.51299999999995</v>
      </c>
      <c r="BF114" s="14">
        <f t="shared" si="91"/>
        <v>53.138491948042898</v>
      </c>
      <c r="BG114" s="22">
        <f t="shared" si="61"/>
        <v>467.90134847617463</v>
      </c>
      <c r="BH114" s="60">
        <f t="shared" si="62"/>
        <v>761.23468180950795</v>
      </c>
      <c r="BI114" s="60">
        <f ca="1">AVERAGE(OFFSET($BH$3,0,0,'Données projet'!$E$11+1,1))-AVERAGE(OFFSET($H$3,0,0,'Données projet'!$E$11+1,1))</f>
        <v>357.083670644861</v>
      </c>
      <c r="BJ114" s="60">
        <f t="shared" si="92"/>
        <v>299.88885091109654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-3.694822225952521E-13</v>
      </c>
      <c r="BZ114" s="14">
        <f>BY114*VLOOKUP('Données projet'!$B$12,Paramètres!$A$1:$I$89,3,0)*VLOOKUP('Données projet'!$B$12,Paramètres!$A$1:$I$89,5,0)</f>
        <v>-1.7291768017457797E-13</v>
      </c>
      <c r="CA114" s="14" t="e">
        <f t="shared" si="93"/>
        <v>#NUM!</v>
      </c>
      <c r="CB114" s="22" t="e">
        <f t="shared" si="64"/>
        <v>#NUM!</v>
      </c>
      <c r="CC114" s="60" t="e">
        <f t="shared" si="65"/>
        <v>#NUM!</v>
      </c>
      <c r="CD114" s="60">
        <f ca="1">AVERAGE(OFFSET($CC$3,0,0,'Données projet'!$E$12+1,1))-AVERAGE(OFFSET($H$3,0,0,'Données projet'!$E$12+1,1))</f>
        <v>245.98992992759543</v>
      </c>
      <c r="CE114" s="60">
        <f t="shared" si="94"/>
        <v>145.34368562171613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260.85383999999959</v>
      </c>
      <c r="CV114" s="14">
        <f t="shared" si="95"/>
        <v>62.904347395903649</v>
      </c>
      <c r="CW114" s="22">
        <f t="shared" si="67"/>
        <v>563.87884304786473</v>
      </c>
      <c r="CX114" s="60">
        <f t="shared" si="68"/>
        <v>857.21217638119811</v>
      </c>
      <c r="CY114" s="60">
        <f ca="1">AVERAGE(OFFSET($CX$3,0,0,'Données projet'!$E$13+1,1))-AVERAGE(OFFSET($H$3,0,0,'Données projet'!$E$13+1,1))</f>
        <v>455.50822833641354</v>
      </c>
      <c r="CZ114" s="60">
        <f t="shared" si="96"/>
        <v>261.14722581688039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</v>
      </c>
      <c r="DO114" s="13">
        <f>IF('Données projet'!$A$166&gt;35,DO113+DN114-DW113,IF(A114&lt;'Données projet'!$A$166,$DL$205^A114,IF(A114='Données projet'!$A$166,'Données projet'!$B$166,DO113+DN114-DW113)))</f>
        <v>269.69999999999959</v>
      </c>
      <c r="DP114" s="18">
        <f>DO114*VLOOKUP('Données projet'!$B$14,Paramètres!$A$1:$I$89,3,0)*VLOOKUP('Données projet'!$B$14,Paramètres!$A$1:$I$89,5,0)</f>
        <v>290.30507999999958</v>
      </c>
      <c r="DQ114" s="14">
        <f t="shared" si="97"/>
        <v>69.140166465323375</v>
      </c>
      <c r="DR114" s="22">
        <f t="shared" si="70"/>
        <v>626.03380426043748</v>
      </c>
      <c r="DS114" s="60">
        <f t="shared" si="71"/>
        <v>919.36713759377085</v>
      </c>
      <c r="DT114" s="60">
        <f ca="1">AVERAGE(OFFSET($DS$3,0,0,'Données projet'!$E$14+1,1))-AVERAGE(OFFSET($H$3,0,0,'Données projet'!$E$14+1,1))</f>
        <v>502.07782026233912</v>
      </c>
      <c r="DU114" s="60">
        <f t="shared" si="98"/>
        <v>285.83623046025156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3.7</v>
      </c>
      <c r="EJ114" s="13">
        <f>IF('Données projet'!$A$192&gt;35,EJ113+EI114-ER113,IF(A114&lt;'Données projet'!$A$192,$EG$205^A114,IF(A114='Données projet'!$A$192,'Données projet'!$B$192,EJ113+EI114-ER113)))</f>
        <v>269.69999999999959</v>
      </c>
      <c r="EK114" s="18">
        <f>EJ114*VLOOKUP('Données projet'!$B$15,Paramètres!$A$1:$I$89,3,0)*VLOOKUP('Données projet'!$B$15,Paramètres!$A$1:$I$89,5,0)</f>
        <v>244.02455999999964</v>
      </c>
      <c r="EL114" s="14">
        <f t="shared" si="99"/>
        <v>59.304594314969229</v>
      </c>
      <c r="EM114" s="22">
        <f t="shared" si="73"/>
        <v>528.29827709857079</v>
      </c>
      <c r="EN114" s="60">
        <f t="shared" si="74"/>
        <v>821.63161043190416</v>
      </c>
      <c r="EO114" s="60">
        <f ca="1">AVERAGE(OFFSET($EN$3,0,0,'Données projet'!$E$15+1,1))-AVERAGE(OFFSET($H$3,0,0,'Données projet'!$E$15+1,1))</f>
        <v>428.8489304403459</v>
      </c>
      <c r="EP114" s="60">
        <f t="shared" si="100"/>
        <v>247.01165577562966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 t="e">
        <f>N115*VLOOKUP('Données projet'!$B$9,Paramètres!$A$1:$I$89,3,0)*VLOOKUP('Données projet'!$B$9,Paramètres!$A$1:$I$89,5,0)</f>
        <v>#N/A</v>
      </c>
      <c r="P115" s="14" t="e">
        <f t="shared" si="87"/>
        <v>#N/A</v>
      </c>
      <c r="Q115" s="22" t="e">
        <f t="shared" si="107"/>
        <v>#N/A</v>
      </c>
      <c r="R115" s="60" t="e">
        <f t="shared" si="55"/>
        <v>#N/A</v>
      </c>
      <c r="S115" s="60" t="e">
        <f ca="1">AVERAGE(OFFSET($R$3,0,0,'Données projet'!$E$9+1,1))-AVERAGE(OFFSET($H$3,0,0,'Données projet'!$E$9+1,1))</f>
        <v>#N/A</v>
      </c>
      <c r="T115" s="60" t="e">
        <f t="shared" si="88"/>
        <v>#N/A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 t="e">
        <f>EXP(-LN(2)/35)*Z114+(1-EXP(-LN(2)/35))/(LN(2)/35)*V115*W115*VLOOKUP('Données projet'!$B$9,Paramètres!$A$1:$I$89,3,0)*0.475*44/12</f>
        <v>#N/A</v>
      </c>
      <c r="AA115" s="23" t="e">
        <f>EXP(-LN(2)/25)*AA114+(1-EXP(-LN(2)/25))/(LN(2)/25)*Calculateur!V115*Calculateur!X115*VLOOKUP('Données projet'!$B$9,Paramètres!$A$1:$I$89,3,0)*0.475*44/12</f>
        <v>#N/A</v>
      </c>
      <c r="AB115" s="23" t="e">
        <f>EXP(-LN(2)/2)*AB114+(1-EXP(-LN(2)/2))/(LN(2)/2)*V115*Y115*VLOOKUP('Données projet'!$B$9,Paramètres!$A$1:$I$89,3,0)*0.475*44/12</f>
        <v>#N/A</v>
      </c>
      <c r="AC115" s="24" t="e">
        <f t="shared" si="57"/>
        <v>#N/A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0" t="e">
        <f t="shared" si="59"/>
        <v>#N/A</v>
      </c>
      <c r="AN115" s="60" t="e">
        <f ca="1">AVERAGE(OFFSET($AM$3,0,0,'Données projet'!$E$10+1,1))-AVERAGE(OFFSET($H$3,0,0,'Données projet'!$E$10+1,1))</f>
        <v>#N/A</v>
      </c>
      <c r="AO115" s="60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2.7564102564102568</v>
      </c>
      <c r="BD115" s="13">
        <f>IF('Données projet'!$A$88&gt;35,BD114+BC115-BL114,IF(A115&lt;'Données projet'!$A$88,$BA$205^A115,IF(A115='Données projet'!$A$88,'Données projet'!$B$88,BD114+BC115-BL114)))</f>
        <v>229.23076923076917</v>
      </c>
      <c r="BE115" s="14">
        <f>BD115*VLOOKUP('Données projet'!$B$11,Paramètres!$A$1:$I$89,3,0)*VLOOKUP('Données projet'!$B$11,Paramètres!$A$1:$I$89,5,0)</f>
        <v>218.13599999999994</v>
      </c>
      <c r="BF115" s="14">
        <f t="shared" si="91"/>
        <v>53.709554122184642</v>
      </c>
      <c r="BG115" s="22">
        <f t="shared" si="61"/>
        <v>473.46434009613813</v>
      </c>
      <c r="BH115" s="60">
        <f t="shared" si="62"/>
        <v>766.79767342947139</v>
      </c>
      <c r="BI115" s="60">
        <f ca="1">AVERAGE(OFFSET($BH$3,0,0,'Données projet'!$E$11+1,1))-AVERAGE(OFFSET($H$3,0,0,'Données projet'!$E$11+1,1))</f>
        <v>357.083670644861</v>
      </c>
      <c r="BJ115" s="60">
        <f t="shared" si="92"/>
        <v>299.88885091109654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-3.694822225952521E-13</v>
      </c>
      <c r="BZ115" s="14">
        <f>BY115*VLOOKUP('Données projet'!$B$12,Paramètres!$A$1:$I$89,3,0)*VLOOKUP('Données projet'!$B$12,Paramètres!$A$1:$I$89,5,0)</f>
        <v>-1.7291768017457797E-13</v>
      </c>
      <c r="CA115" s="14" t="e">
        <f t="shared" si="93"/>
        <v>#NUM!</v>
      </c>
      <c r="CB115" s="22" t="e">
        <f t="shared" si="64"/>
        <v>#NUM!</v>
      </c>
      <c r="CC115" s="60" t="e">
        <f t="shared" si="65"/>
        <v>#NUM!</v>
      </c>
      <c r="CD115" s="60">
        <f ca="1">AVERAGE(OFFSET($CC$3,0,0,'Données projet'!$E$12+1,1))-AVERAGE(OFFSET($H$3,0,0,'Données projet'!$E$12+1,1))</f>
        <v>245.98992992759543</v>
      </c>
      <c r="CE115" s="60">
        <f t="shared" si="94"/>
        <v>145.34368562171613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264.4324799999996</v>
      </c>
      <c r="CV115" s="14">
        <f t="shared" si="95"/>
        <v>63.666272015882292</v>
      </c>
      <c r="CW115" s="22">
        <f t="shared" si="67"/>
        <v>571.43865976099426</v>
      </c>
      <c r="CX115" s="60">
        <f t="shared" si="68"/>
        <v>864.77199309432763</v>
      </c>
      <c r="CY115" s="60">
        <f ca="1">AVERAGE(OFFSET($CX$3,0,0,'Données projet'!$E$13+1,1))-AVERAGE(OFFSET($H$3,0,0,'Données projet'!$E$13+1,1))</f>
        <v>455.50822833641354</v>
      </c>
      <c r="CZ115" s="60">
        <f t="shared" si="96"/>
        <v>261.14722581688039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</v>
      </c>
      <c r="DO115" s="13">
        <f>IF('Données projet'!$A$166&gt;35,DO114+DN115-DW114,IF(A115&lt;'Données projet'!$A$166,$DL$205^A115,IF(A115='Données projet'!$A$166,'Données projet'!$B$166,DO114+DN115-DW114)))</f>
        <v>273.39999999999958</v>
      </c>
      <c r="DP115" s="18">
        <f>DO115*VLOOKUP('Données projet'!$B$14,Paramètres!$A$1:$I$89,3,0)*VLOOKUP('Données projet'!$B$14,Paramètres!$A$1:$I$89,5,0)</f>
        <v>294.28775999999954</v>
      </c>
      <c r="DQ115" s="14">
        <f t="shared" si="97"/>
        <v>69.977622018717668</v>
      </c>
      <c r="DR115" s="22">
        <f t="shared" si="70"/>
        <v>634.42887368259915</v>
      </c>
      <c r="DS115" s="60">
        <f t="shared" si="71"/>
        <v>927.76220701593252</v>
      </c>
      <c r="DT115" s="60">
        <f ca="1">AVERAGE(OFFSET($DS$3,0,0,'Données projet'!$E$14+1,1))-AVERAGE(OFFSET($H$3,0,0,'Données projet'!$E$14+1,1))</f>
        <v>502.07782026233912</v>
      </c>
      <c r="DU115" s="60">
        <f t="shared" si="98"/>
        <v>285.83623046025156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3.7</v>
      </c>
      <c r="EJ115" s="13">
        <f>IF('Données projet'!$A$192&gt;35,EJ114+EI115-ER114,IF(A115&lt;'Données projet'!$A$192,$EG$205^A115,IF(A115='Données projet'!$A$192,'Données projet'!$B$192,EJ114+EI115-ER114)))</f>
        <v>273.39999999999958</v>
      </c>
      <c r="EK115" s="18">
        <f>EJ115*VLOOKUP('Données projet'!$B$15,Paramètres!$A$1:$I$89,3,0)*VLOOKUP('Données projet'!$B$15,Paramètres!$A$1:$I$89,5,0)</f>
        <v>247.3723199999996</v>
      </c>
      <c r="EL115" s="14">
        <f t="shared" si="99"/>
        <v>60.022917171130942</v>
      </c>
      <c r="EM115" s="22">
        <f t="shared" si="73"/>
        <v>535.38003807305233</v>
      </c>
      <c r="EN115" s="60">
        <f t="shared" si="74"/>
        <v>828.7133714063857</v>
      </c>
      <c r="EO115" s="60">
        <f ca="1">AVERAGE(OFFSET($EN$3,0,0,'Données projet'!$E$15+1,1))-AVERAGE(OFFSET($H$3,0,0,'Données projet'!$E$15+1,1))</f>
        <v>428.8489304403459</v>
      </c>
      <c r="EP115" s="60">
        <f t="shared" si="100"/>
        <v>247.01165577562966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 t="e">
        <f>N116*VLOOKUP('Données projet'!$B$9,Paramètres!$A$1:$I$89,3,0)*VLOOKUP('Données projet'!$B$9,Paramètres!$A$1:$I$89,5,0)</f>
        <v>#N/A</v>
      </c>
      <c r="P116" s="14" t="e">
        <f t="shared" si="87"/>
        <v>#N/A</v>
      </c>
      <c r="Q116" s="22" t="e">
        <f t="shared" si="107"/>
        <v>#N/A</v>
      </c>
      <c r="R116" s="60" t="e">
        <f t="shared" si="55"/>
        <v>#N/A</v>
      </c>
      <c r="S116" s="60" t="e">
        <f ca="1">AVERAGE(OFFSET($R$3,0,0,'Données projet'!$E$9+1,1))-AVERAGE(OFFSET($H$3,0,0,'Données projet'!$E$9+1,1))</f>
        <v>#N/A</v>
      </c>
      <c r="T116" s="60" t="e">
        <f t="shared" si="88"/>
        <v>#N/A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 t="e">
        <f>EXP(-LN(2)/35)*Z115+(1-EXP(-LN(2)/35))/(LN(2)/35)*V116*W116*VLOOKUP('Données projet'!$B$9,Paramètres!$A$1:$I$89,3,0)*0.475*44/12</f>
        <v>#N/A</v>
      </c>
      <c r="AA116" s="23" t="e">
        <f>EXP(-LN(2)/25)*AA115+(1-EXP(-LN(2)/25))/(LN(2)/25)*Calculateur!V116*Calculateur!X116*VLOOKUP('Données projet'!$B$9,Paramètres!$A$1:$I$89,3,0)*0.475*44/12</f>
        <v>#N/A</v>
      </c>
      <c r="AB116" s="23" t="e">
        <f>EXP(-LN(2)/2)*AB115+(1-EXP(-LN(2)/2))/(LN(2)/2)*V116*Y116*VLOOKUP('Données projet'!$B$9,Paramètres!$A$1:$I$89,3,0)*0.475*44/12</f>
        <v>#N/A</v>
      </c>
      <c r="AC116" s="24" t="e">
        <f t="shared" si="57"/>
        <v>#N/A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0" t="e">
        <f t="shared" si="59"/>
        <v>#N/A</v>
      </c>
      <c r="AN116" s="60" t="e">
        <f ca="1">AVERAGE(OFFSET($AM$3,0,0,'Données projet'!$E$10+1,1))-AVERAGE(OFFSET($H$3,0,0,'Données projet'!$E$10+1,1))</f>
        <v>#N/A</v>
      </c>
      <c r="AO116" s="60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2.7564102564102568</v>
      </c>
      <c r="BD116" s="13">
        <f>IF('Données projet'!$A$88&gt;35,BD115+BC116-BL115,IF(A116&lt;'Données projet'!$A$88,$BA$205^A116,IF(A116='Données projet'!$A$88,'Données projet'!$B$88,BD115+BC116-BL115)))</f>
        <v>231.98717948717942</v>
      </c>
      <c r="BE116" s="14">
        <f>BD116*VLOOKUP('Données projet'!$B$11,Paramètres!$A$1:$I$89,3,0)*VLOOKUP('Données projet'!$B$11,Paramètres!$A$1:$I$89,5,0)</f>
        <v>220.75899999999996</v>
      </c>
      <c r="BF116" s="14">
        <f t="shared" si="91"/>
        <v>54.279817539670319</v>
      </c>
      <c r="BG116" s="22">
        <f t="shared" si="61"/>
        <v>479.02594054825903</v>
      </c>
      <c r="BH116" s="60">
        <f t="shared" si="62"/>
        <v>772.35927388159234</v>
      </c>
      <c r="BI116" s="60">
        <f ca="1">AVERAGE(OFFSET($BH$3,0,0,'Données projet'!$E$11+1,1))-AVERAGE(OFFSET($H$3,0,0,'Données projet'!$E$11+1,1))</f>
        <v>357.083670644861</v>
      </c>
      <c r="BJ116" s="60">
        <f t="shared" si="92"/>
        <v>299.88885091109654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-3.694822225952521E-13</v>
      </c>
      <c r="BZ116" s="14">
        <f>BY116*VLOOKUP('Données projet'!$B$12,Paramètres!$A$1:$I$89,3,0)*VLOOKUP('Données projet'!$B$12,Paramètres!$A$1:$I$89,5,0)</f>
        <v>-1.7291768017457797E-13</v>
      </c>
      <c r="CA116" s="14" t="e">
        <f t="shared" si="93"/>
        <v>#NUM!</v>
      </c>
      <c r="CB116" s="22" t="e">
        <f t="shared" si="64"/>
        <v>#NUM!</v>
      </c>
      <c r="CC116" s="60" t="e">
        <f t="shared" si="65"/>
        <v>#NUM!</v>
      </c>
      <c r="CD116" s="60">
        <f ca="1">AVERAGE(OFFSET($CC$3,0,0,'Données projet'!$E$12+1,1))-AVERAGE(OFFSET($H$3,0,0,'Données projet'!$E$12+1,1))</f>
        <v>245.98992992759543</v>
      </c>
      <c r="CE116" s="60">
        <f t="shared" si="94"/>
        <v>145.34368562171613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268.01111999999961</v>
      </c>
      <c r="CV116" s="14">
        <f t="shared" si="95"/>
        <v>64.426997301716796</v>
      </c>
      <c r="CW116" s="22">
        <f t="shared" si="67"/>
        <v>578.99638763382268</v>
      </c>
      <c r="CX116" s="60">
        <f t="shared" si="68"/>
        <v>872.32972096715594</v>
      </c>
      <c r="CY116" s="60">
        <f ca="1">AVERAGE(OFFSET($CX$3,0,0,'Données projet'!$E$13+1,1))-AVERAGE(OFFSET($H$3,0,0,'Données projet'!$E$13+1,1))</f>
        <v>455.50822833641354</v>
      </c>
      <c r="CZ116" s="60">
        <f t="shared" si="96"/>
        <v>261.14722581688039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</v>
      </c>
      <c r="DO116" s="13">
        <f>IF('Données projet'!$A$166&gt;35,DO115+DN116-DW115,IF(A116&lt;'Données projet'!$A$166,$DL$205^A116,IF(A116='Données projet'!$A$166,'Données projet'!$B$166,DO115+DN116-DW115)))</f>
        <v>277.09999999999957</v>
      </c>
      <c r="DP116" s="18">
        <f>DO116*VLOOKUP('Données projet'!$B$14,Paramètres!$A$1:$I$89,3,0)*VLOOKUP('Données projet'!$B$14,Paramètres!$A$1:$I$89,5,0)</f>
        <v>298.27043999999955</v>
      </c>
      <c r="DQ116" s="14">
        <f t="shared" si="97"/>
        <v>70.813759345855914</v>
      </c>
      <c r="DR116" s="22">
        <f t="shared" si="70"/>
        <v>642.82164719403158</v>
      </c>
      <c r="DS116" s="60">
        <f t="shared" si="71"/>
        <v>936.15498052736484</v>
      </c>
      <c r="DT116" s="60">
        <f ca="1">AVERAGE(OFFSET($DS$3,0,0,'Données projet'!$E$14+1,1))-AVERAGE(OFFSET($H$3,0,0,'Données projet'!$E$14+1,1))</f>
        <v>502.07782026233912</v>
      </c>
      <c r="DU116" s="60">
        <f t="shared" si="98"/>
        <v>285.83623046025156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3.7</v>
      </c>
      <c r="EJ116" s="13">
        <f>IF('Données projet'!$A$192&gt;35,EJ115+EI116-ER115,IF(A116&lt;'Données projet'!$A$192,$EG$205^A116,IF(A116='Données projet'!$A$192,'Données projet'!$B$192,EJ115+EI116-ER115)))</f>
        <v>277.09999999999957</v>
      </c>
      <c r="EK116" s="18">
        <f>EJ116*VLOOKUP('Données projet'!$B$15,Paramètres!$A$1:$I$89,3,0)*VLOOKUP('Données projet'!$B$15,Paramètres!$A$1:$I$89,5,0)</f>
        <v>250.7200799999996</v>
      </c>
      <c r="EL116" s="14">
        <f t="shared" si="99"/>
        <v>60.740109326032709</v>
      </c>
      <c r="EM116" s="22">
        <f t="shared" si="73"/>
        <v>542.45982974283959</v>
      </c>
      <c r="EN116" s="60">
        <f t="shared" si="74"/>
        <v>835.79316307617296</v>
      </c>
      <c r="EO116" s="60">
        <f ca="1">AVERAGE(OFFSET($EN$3,0,0,'Données projet'!$E$15+1,1))-AVERAGE(OFFSET($H$3,0,0,'Données projet'!$E$15+1,1))</f>
        <v>428.8489304403459</v>
      </c>
      <c r="EP116" s="60">
        <f t="shared" si="100"/>
        <v>247.01165577562966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 t="e">
        <f>N117*VLOOKUP('Données projet'!$B$9,Paramètres!$A$1:$I$89,3,0)*VLOOKUP('Données projet'!$B$9,Paramètres!$A$1:$I$89,5,0)</f>
        <v>#N/A</v>
      </c>
      <c r="P117" s="14" t="e">
        <f t="shared" si="87"/>
        <v>#N/A</v>
      </c>
      <c r="Q117" s="22" t="e">
        <f t="shared" si="107"/>
        <v>#N/A</v>
      </c>
      <c r="R117" s="60" t="e">
        <f t="shared" si="55"/>
        <v>#N/A</v>
      </c>
      <c r="S117" s="60" t="e">
        <f ca="1">AVERAGE(OFFSET($R$3,0,0,'Données projet'!$E$9+1,1))-AVERAGE(OFFSET($H$3,0,0,'Données projet'!$E$9+1,1))</f>
        <v>#N/A</v>
      </c>
      <c r="T117" s="60" t="e">
        <f t="shared" si="88"/>
        <v>#N/A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 t="e">
        <f>EXP(-LN(2)/35)*Z116+(1-EXP(-LN(2)/35))/(LN(2)/35)*V117*W117*VLOOKUP('Données projet'!$B$9,Paramètres!$A$1:$I$89,3,0)*0.475*44/12</f>
        <v>#N/A</v>
      </c>
      <c r="AA117" s="23" t="e">
        <f>EXP(-LN(2)/25)*AA116+(1-EXP(-LN(2)/25))/(LN(2)/25)*Calculateur!V117*Calculateur!X117*VLOOKUP('Données projet'!$B$9,Paramètres!$A$1:$I$89,3,0)*0.475*44/12</f>
        <v>#N/A</v>
      </c>
      <c r="AB117" s="23" t="e">
        <f>EXP(-LN(2)/2)*AB116+(1-EXP(-LN(2)/2))/(LN(2)/2)*V117*Y117*VLOOKUP('Données projet'!$B$9,Paramètres!$A$1:$I$89,3,0)*0.475*44/12</f>
        <v>#N/A</v>
      </c>
      <c r="AC117" s="24" t="e">
        <f t="shared" si="57"/>
        <v>#N/A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0" t="e">
        <f t="shared" si="59"/>
        <v>#N/A</v>
      </c>
      <c r="AN117" s="60" t="e">
        <f ca="1">AVERAGE(OFFSET($AM$3,0,0,'Données projet'!$E$10+1,1))-AVERAGE(OFFSET($H$3,0,0,'Données projet'!$E$10+1,1))</f>
        <v>#N/A</v>
      </c>
      <c r="AO117" s="60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2.7564102564102568</v>
      </c>
      <c r="BD117" s="13">
        <f>IF('Données projet'!$A$88&gt;35,BD116+BC117-BL116,IF(A117&lt;'Données projet'!$A$88,$BA$205^A117,IF(A117='Données projet'!$A$88,'Données projet'!$B$88,BD116+BC117-BL116)))</f>
        <v>234.74358974358967</v>
      </c>
      <c r="BE117" s="14">
        <f>BD117*VLOOKUP('Données projet'!$B$11,Paramètres!$A$1:$I$89,3,0)*VLOOKUP('Données projet'!$B$11,Paramètres!$A$1:$I$89,5,0)</f>
        <v>223.38199999999992</v>
      </c>
      <c r="BF117" s="14">
        <f t="shared" si="91"/>
        <v>54.849292789000252</v>
      </c>
      <c r="BG117" s="22">
        <f t="shared" si="61"/>
        <v>484.58616827417524</v>
      </c>
      <c r="BH117" s="60">
        <f t="shared" si="62"/>
        <v>777.91950160750855</v>
      </c>
      <c r="BI117" s="60">
        <f ca="1">AVERAGE(OFFSET($BH$3,0,0,'Données projet'!$E$11+1,1))-AVERAGE(OFFSET($H$3,0,0,'Données projet'!$E$11+1,1))</f>
        <v>357.083670644861</v>
      </c>
      <c r="BJ117" s="60">
        <f t="shared" si="92"/>
        <v>299.88885091109654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-3.694822225952521E-13</v>
      </c>
      <c r="BZ117" s="14">
        <f>BY117*VLOOKUP('Données projet'!$B$12,Paramètres!$A$1:$I$89,3,0)*VLOOKUP('Données projet'!$B$12,Paramètres!$A$1:$I$89,5,0)</f>
        <v>-1.7291768017457797E-13</v>
      </c>
      <c r="CA117" s="14" t="e">
        <f t="shared" si="93"/>
        <v>#NUM!</v>
      </c>
      <c r="CB117" s="22" t="e">
        <f t="shared" si="64"/>
        <v>#NUM!</v>
      </c>
      <c r="CC117" s="60" t="e">
        <f t="shared" si="65"/>
        <v>#NUM!</v>
      </c>
      <c r="CD117" s="60">
        <f ca="1">AVERAGE(OFFSET($CC$3,0,0,'Données projet'!$E$12+1,1))-AVERAGE(OFFSET($H$3,0,0,'Données projet'!$E$12+1,1))</f>
        <v>245.98992992759543</v>
      </c>
      <c r="CE117" s="60">
        <f t="shared" si="94"/>
        <v>145.34368562171613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271.58975999999956</v>
      </c>
      <c r="CV117" s="14">
        <f t="shared" si="95"/>
        <v>65.186541118848012</v>
      </c>
      <c r="CW117" s="22">
        <f t="shared" si="67"/>
        <v>586.55205778199286</v>
      </c>
      <c r="CX117" s="60">
        <f t="shared" si="68"/>
        <v>879.88539111532623</v>
      </c>
      <c r="CY117" s="60">
        <f ca="1">AVERAGE(OFFSET($CX$3,0,0,'Données projet'!$E$13+1,1))-AVERAGE(OFFSET($H$3,0,0,'Données projet'!$E$13+1,1))</f>
        <v>455.50822833641354</v>
      </c>
      <c r="CZ117" s="60">
        <f t="shared" si="96"/>
        <v>261.14722581688039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</v>
      </c>
      <c r="DO117" s="13">
        <f>IF('Données projet'!$A$166&gt;35,DO116+DN117-DW116,IF(A117&lt;'Données projet'!$A$166,$DL$205^A117,IF(A117='Données projet'!$A$166,'Données projet'!$B$166,DO116+DN117-DW116)))</f>
        <v>280.79999999999956</v>
      </c>
      <c r="DP117" s="18">
        <f>DO117*VLOOKUP('Données projet'!$B$14,Paramètres!$A$1:$I$89,3,0)*VLOOKUP('Données projet'!$B$14,Paramètres!$A$1:$I$89,5,0)</f>
        <v>302.25311999999951</v>
      </c>
      <c r="DQ117" s="14">
        <f t="shared" si="97"/>
        <v>71.648598083211283</v>
      </c>
      <c r="DR117" s="22">
        <f t="shared" si="70"/>
        <v>651.21215899492529</v>
      </c>
      <c r="DS117" s="60">
        <f t="shared" si="71"/>
        <v>944.54549232825866</v>
      </c>
      <c r="DT117" s="60">
        <f ca="1">AVERAGE(OFFSET($DS$3,0,0,'Données projet'!$E$14+1,1))-AVERAGE(OFFSET($H$3,0,0,'Données projet'!$E$14+1,1))</f>
        <v>502.07782026233912</v>
      </c>
      <c r="DU117" s="60">
        <f t="shared" si="98"/>
        <v>285.83623046025156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3.7</v>
      </c>
      <c r="EJ117" s="13">
        <f>IF('Données projet'!$A$192&gt;35,EJ116+EI117-ER116,IF(A117&lt;'Données projet'!$A$192,$EG$205^A117,IF(A117='Données projet'!$A$192,'Données projet'!$B$192,EJ116+EI117-ER116)))</f>
        <v>280.79999999999956</v>
      </c>
      <c r="EK117" s="18">
        <f>EJ117*VLOOKUP('Données projet'!$B$15,Paramètres!$A$1:$I$89,3,0)*VLOOKUP('Données projet'!$B$15,Paramètres!$A$1:$I$89,5,0)</f>
        <v>254.06783999999956</v>
      </c>
      <c r="EL117" s="14">
        <f t="shared" si="99"/>
        <v>61.456187622750669</v>
      </c>
      <c r="EM117" s="22">
        <f t="shared" si="73"/>
        <v>549.53768144295657</v>
      </c>
      <c r="EN117" s="60">
        <f t="shared" si="74"/>
        <v>842.87101477628994</v>
      </c>
      <c r="EO117" s="60">
        <f ca="1">AVERAGE(OFFSET($EN$3,0,0,'Données projet'!$E$15+1,1))-AVERAGE(OFFSET($H$3,0,0,'Données projet'!$E$15+1,1))</f>
        <v>428.8489304403459</v>
      </c>
      <c r="EP117" s="60">
        <f t="shared" si="100"/>
        <v>247.01165577562966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 t="e">
        <f>N118*VLOOKUP('Données projet'!$B$9,Paramètres!$A$1:$I$89,3,0)*VLOOKUP('Données projet'!$B$9,Paramètres!$A$1:$I$89,5,0)</f>
        <v>#N/A</v>
      </c>
      <c r="P118" s="14" t="e">
        <f t="shared" si="87"/>
        <v>#N/A</v>
      </c>
      <c r="Q118" s="22" t="e">
        <f t="shared" si="107"/>
        <v>#N/A</v>
      </c>
      <c r="R118" s="60" t="e">
        <f t="shared" si="55"/>
        <v>#N/A</v>
      </c>
      <c r="S118" s="60" t="e">
        <f ca="1">AVERAGE(OFFSET($R$3,0,0,'Données projet'!$E$9+1,1))-AVERAGE(OFFSET($H$3,0,0,'Données projet'!$E$9+1,1))</f>
        <v>#N/A</v>
      </c>
      <c r="T118" s="60" t="e">
        <f t="shared" si="88"/>
        <v>#N/A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 t="e">
        <f>EXP(-LN(2)/35)*Z117+(1-EXP(-LN(2)/35))/(LN(2)/35)*V118*W118*VLOOKUP('Données projet'!$B$9,Paramètres!$A$1:$I$89,3,0)*0.475*44/12</f>
        <v>#N/A</v>
      </c>
      <c r="AA118" s="23" t="e">
        <f>EXP(-LN(2)/25)*AA117+(1-EXP(-LN(2)/25))/(LN(2)/25)*Calculateur!V118*Calculateur!X118*VLOOKUP('Données projet'!$B$9,Paramètres!$A$1:$I$89,3,0)*0.475*44/12</f>
        <v>#N/A</v>
      </c>
      <c r="AB118" s="23" t="e">
        <f>EXP(-LN(2)/2)*AB117+(1-EXP(-LN(2)/2))/(LN(2)/2)*V118*Y118*VLOOKUP('Données projet'!$B$9,Paramètres!$A$1:$I$89,3,0)*0.475*44/12</f>
        <v>#N/A</v>
      </c>
      <c r="AC118" s="24" t="e">
        <f t="shared" si="57"/>
        <v>#N/A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0" t="e">
        <f t="shared" si="59"/>
        <v>#N/A</v>
      </c>
      <c r="AN118" s="60" t="e">
        <f ca="1">AVERAGE(OFFSET($AM$3,0,0,'Données projet'!$E$10+1,1))-AVERAGE(OFFSET($H$3,0,0,'Données projet'!$E$10+1,1))</f>
        <v>#N/A</v>
      </c>
      <c r="AO118" s="60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2.7564102564102568</v>
      </c>
      <c r="BD118" s="13">
        <f>IF('Données projet'!$A$88&gt;35,BD117+BC118-BL117,IF(A118&lt;'Données projet'!$A$88,$BA$205^A118,IF(A118='Données projet'!$A$88,'Données projet'!$B$88,BD117+BC118-BL117)))</f>
        <v>237.49999999999991</v>
      </c>
      <c r="BE118" s="14">
        <f>BD118*VLOOKUP('Données projet'!$B$11,Paramètres!$A$1:$I$89,3,0)*VLOOKUP('Données projet'!$B$11,Paramètres!$A$1:$I$89,5,0)</f>
        <v>226.00499999999991</v>
      </c>
      <c r="BF118" s="14">
        <f t="shared" si="91"/>
        <v>55.417990195699112</v>
      </c>
      <c r="BG118" s="22">
        <f t="shared" si="61"/>
        <v>490.14504125750909</v>
      </c>
      <c r="BH118" s="60">
        <f t="shared" si="62"/>
        <v>783.47837459084235</v>
      </c>
      <c r="BI118" s="60">
        <f ca="1">AVERAGE(OFFSET($BH$3,0,0,'Données projet'!$E$11+1,1))-AVERAGE(OFFSET($H$3,0,0,'Données projet'!$E$11+1,1))</f>
        <v>357.083670644861</v>
      </c>
      <c r="BJ118" s="60">
        <f t="shared" si="92"/>
        <v>299.88885091109654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-3.694822225952521E-13</v>
      </c>
      <c r="BZ118" s="14">
        <f>BY118*VLOOKUP('Données projet'!$B$12,Paramètres!$A$1:$I$89,3,0)*VLOOKUP('Données projet'!$B$12,Paramètres!$A$1:$I$89,5,0)</f>
        <v>-1.7291768017457797E-13</v>
      </c>
      <c r="CA118" s="14" t="e">
        <f t="shared" si="93"/>
        <v>#NUM!</v>
      </c>
      <c r="CB118" s="22" t="e">
        <f t="shared" si="64"/>
        <v>#NUM!</v>
      </c>
      <c r="CC118" s="60" t="e">
        <f t="shared" si="65"/>
        <v>#NUM!</v>
      </c>
      <c r="CD118" s="60">
        <f ca="1">AVERAGE(OFFSET($CC$3,0,0,'Données projet'!$E$12+1,1))-AVERAGE(OFFSET($H$3,0,0,'Données projet'!$E$12+1,1))</f>
        <v>245.98992992759543</v>
      </c>
      <c r="CE118" s="60">
        <f t="shared" si="94"/>
        <v>145.34368562171613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275.16839999999956</v>
      </c>
      <c r="CV118" s="14">
        <f t="shared" si="95"/>
        <v>65.944920834841554</v>
      </c>
      <c r="CW118" s="22">
        <f t="shared" si="67"/>
        <v>594.10570045401494</v>
      </c>
      <c r="CX118" s="60">
        <f t="shared" si="68"/>
        <v>887.43903378734831</v>
      </c>
      <c r="CY118" s="60">
        <f ca="1">AVERAGE(OFFSET($CX$3,0,0,'Données projet'!$E$13+1,1))-AVERAGE(OFFSET($H$3,0,0,'Données projet'!$E$13+1,1))</f>
        <v>455.50822833641354</v>
      </c>
      <c r="CZ118" s="60">
        <f t="shared" si="96"/>
        <v>261.14722581688039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</v>
      </c>
      <c r="DO118" s="13">
        <f>IF('Données projet'!$A$166&gt;35,DO117+DN118-DW117,IF(A118&lt;'Données projet'!$A$166,$DL$205^A118,IF(A118='Données projet'!$A$166,'Données projet'!$B$166,DO117+DN118-DW117)))</f>
        <v>284.49999999999955</v>
      </c>
      <c r="DP118" s="18">
        <f>DO118*VLOOKUP('Données projet'!$B$14,Paramètres!$A$1:$I$89,3,0)*VLOOKUP('Données projet'!$B$14,Paramètres!$A$1:$I$89,5,0)</f>
        <v>306.23579999999947</v>
      </c>
      <c r="DQ118" s="14">
        <f t="shared" si="97"/>
        <v>72.482157320026886</v>
      </c>
      <c r="DR118" s="22">
        <f t="shared" si="70"/>
        <v>659.6004423323792</v>
      </c>
      <c r="DS118" s="60">
        <f t="shared" si="71"/>
        <v>952.93377566571257</v>
      </c>
      <c r="DT118" s="60">
        <f ca="1">AVERAGE(OFFSET($DS$3,0,0,'Données projet'!$E$14+1,1))-AVERAGE(OFFSET($H$3,0,0,'Données projet'!$E$14+1,1))</f>
        <v>502.07782026233912</v>
      </c>
      <c r="DU118" s="60">
        <f t="shared" si="98"/>
        <v>285.83623046025156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3.7</v>
      </c>
      <c r="EJ118" s="13">
        <f>IF('Données projet'!$A$192&gt;35,EJ117+EI118-ER117,IF(A118&lt;'Données projet'!$A$192,$EG$205^A118,IF(A118='Données projet'!$A$192,'Données projet'!$B$192,EJ117+EI118-ER117)))</f>
        <v>284.49999999999955</v>
      </c>
      <c r="EK118" s="18">
        <f>EJ118*VLOOKUP('Données projet'!$B$15,Paramètres!$A$1:$I$89,3,0)*VLOOKUP('Données projet'!$B$15,Paramètres!$A$1:$I$89,5,0)</f>
        <v>257.41559999999959</v>
      </c>
      <c r="EL118" s="14">
        <f t="shared" si="99"/>
        <v>62.171168434977062</v>
      </c>
      <c r="EM118" s="22">
        <f t="shared" si="73"/>
        <v>556.61362169091774</v>
      </c>
      <c r="EN118" s="60">
        <f t="shared" si="74"/>
        <v>849.94695502425111</v>
      </c>
      <c r="EO118" s="60">
        <f ca="1">AVERAGE(OFFSET($EN$3,0,0,'Données projet'!$E$15+1,1))-AVERAGE(OFFSET($H$3,0,0,'Données projet'!$E$15+1,1))</f>
        <v>428.8489304403459</v>
      </c>
      <c r="EP118" s="60">
        <f t="shared" si="100"/>
        <v>247.01165577562966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 t="e">
        <f>N119*VLOOKUP('Données projet'!$B$9,Paramètres!$A$1:$I$89,3,0)*VLOOKUP('Données projet'!$B$9,Paramètres!$A$1:$I$89,5,0)</f>
        <v>#N/A</v>
      </c>
      <c r="P119" s="14" t="e">
        <f t="shared" si="87"/>
        <v>#N/A</v>
      </c>
      <c r="Q119" s="22" t="e">
        <f t="shared" si="107"/>
        <v>#N/A</v>
      </c>
      <c r="R119" s="60" t="e">
        <f t="shared" si="55"/>
        <v>#N/A</v>
      </c>
      <c r="S119" s="60" t="e">
        <f ca="1">AVERAGE(OFFSET($R$3,0,0,'Données projet'!$E$9+1,1))-AVERAGE(OFFSET($H$3,0,0,'Données projet'!$E$9+1,1))</f>
        <v>#N/A</v>
      </c>
      <c r="T119" s="60" t="e">
        <f t="shared" si="88"/>
        <v>#N/A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 t="e">
        <f>EXP(-LN(2)/35)*Z118+(1-EXP(-LN(2)/35))/(LN(2)/35)*V119*W119*VLOOKUP('Données projet'!$B$9,Paramètres!$A$1:$I$89,3,0)*0.475*44/12</f>
        <v>#N/A</v>
      </c>
      <c r="AA119" s="23" t="e">
        <f>EXP(-LN(2)/25)*AA118+(1-EXP(-LN(2)/25))/(LN(2)/25)*Calculateur!V119*Calculateur!X119*VLOOKUP('Données projet'!$B$9,Paramètres!$A$1:$I$89,3,0)*0.475*44/12</f>
        <v>#N/A</v>
      </c>
      <c r="AB119" s="23" t="e">
        <f>EXP(-LN(2)/2)*AB118+(1-EXP(-LN(2)/2))/(LN(2)/2)*V119*Y119*VLOOKUP('Données projet'!$B$9,Paramètres!$A$1:$I$89,3,0)*0.475*44/12</f>
        <v>#N/A</v>
      </c>
      <c r="AC119" s="24" t="e">
        <f t="shared" si="57"/>
        <v>#N/A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0" t="e">
        <f t="shared" si="59"/>
        <v>#N/A</v>
      </c>
      <c r="AN119" s="60" t="e">
        <f ca="1">AVERAGE(OFFSET($AM$3,0,0,'Données projet'!$E$10+1,1))-AVERAGE(OFFSET($H$3,0,0,'Données projet'!$E$10+1,1))</f>
        <v>#N/A</v>
      </c>
      <c r="AO119" s="60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2.7564102564102568</v>
      </c>
      <c r="BD119" s="13">
        <f>IF('Données projet'!$A$88&gt;35,BD118+BC119-BL118,IF(A119&lt;'Données projet'!$A$88,$BA$205^A119,IF(A119='Données projet'!$A$88,'Données projet'!$B$88,BD118+BC119-BL118)))</f>
        <v>240.25641025641016</v>
      </c>
      <c r="BE119" s="14">
        <f>BD119*VLOOKUP('Données projet'!$B$11,Paramètres!$A$1:$I$89,3,0)*VLOOKUP('Données projet'!$B$11,Paramètres!$A$1:$I$89,5,0)</f>
        <v>228.62799999999993</v>
      </c>
      <c r="BF119" s="14">
        <f t="shared" si="91"/>
        <v>55.98591983182213</v>
      </c>
      <c r="BG119" s="22">
        <f t="shared" si="61"/>
        <v>495.70257704042336</v>
      </c>
      <c r="BH119" s="60">
        <f t="shared" si="62"/>
        <v>789.03591037375668</v>
      </c>
      <c r="BI119" s="60">
        <f ca="1">AVERAGE(OFFSET($BH$3,0,0,'Données projet'!$E$11+1,1))-AVERAGE(OFFSET($H$3,0,0,'Données projet'!$E$11+1,1))</f>
        <v>357.083670644861</v>
      </c>
      <c r="BJ119" s="60">
        <f t="shared" si="92"/>
        <v>299.88885091109654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-3.694822225952521E-13</v>
      </c>
      <c r="BZ119" s="14">
        <f>BY119*VLOOKUP('Données projet'!$B$12,Paramètres!$A$1:$I$89,3,0)*VLOOKUP('Données projet'!$B$12,Paramètres!$A$1:$I$89,5,0)</f>
        <v>-1.7291768017457797E-13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245.98992992759543</v>
      </c>
      <c r="CE119" s="60">
        <f t="shared" si="94"/>
        <v>145.34368562171613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278.74703999999957</v>
      </c>
      <c r="CV119" s="14">
        <f t="shared" si="95"/>
        <v>66.702153339553135</v>
      </c>
      <c r="CW119" s="22">
        <f t="shared" si="67"/>
        <v>601.65734506638762</v>
      </c>
      <c r="CX119" s="60">
        <f t="shared" si="68"/>
        <v>894.99067839972099</v>
      </c>
      <c r="CY119" s="60">
        <f ca="1">AVERAGE(OFFSET($CX$3,0,0,'Données projet'!$E$13+1,1))-AVERAGE(OFFSET($H$3,0,0,'Données projet'!$E$13+1,1))</f>
        <v>455.50822833641354</v>
      </c>
      <c r="CZ119" s="60">
        <f t="shared" si="96"/>
        <v>261.14722581688039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</v>
      </c>
      <c r="DO119" s="13">
        <f>IF('Données projet'!$A$166&gt;35,DO118+DN119-DW118,IF(A119&lt;'Données projet'!$A$166,$DL$205^A119,IF(A119='Données projet'!$A$166,'Données projet'!$B$166,DO118+DN119-DW118)))</f>
        <v>288.19999999999953</v>
      </c>
      <c r="DP119" s="18">
        <f>DO119*VLOOKUP('Données projet'!$B$14,Paramètres!$A$1:$I$89,3,0)*VLOOKUP('Données projet'!$B$14,Paramètres!$A$1:$I$89,5,0)</f>
        <v>310.21847999999949</v>
      </c>
      <c r="DQ119" s="14">
        <f t="shared" si="97"/>
        <v>73.314455620479848</v>
      </c>
      <c r="DR119" s="22">
        <f t="shared" si="70"/>
        <v>667.98652953900148</v>
      </c>
      <c r="DS119" s="60">
        <f t="shared" si="71"/>
        <v>961.31986287233485</v>
      </c>
      <c r="DT119" s="60">
        <f ca="1">AVERAGE(OFFSET($DS$3,0,0,'Données projet'!$E$14+1,1))-AVERAGE(OFFSET($H$3,0,0,'Données projet'!$E$14+1,1))</f>
        <v>502.07782026233912</v>
      </c>
      <c r="DU119" s="60">
        <f t="shared" si="98"/>
        <v>285.83623046025156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3.7</v>
      </c>
      <c r="EJ119" s="13">
        <f>IF('Données projet'!$A$192&gt;35,EJ118+EI119-ER118,IF(A119&lt;'Données projet'!$A$192,$EG$205^A119,IF(A119='Données projet'!$A$192,'Données projet'!$B$192,EJ118+EI119-ER118)))</f>
        <v>288.19999999999953</v>
      </c>
      <c r="EK119" s="18">
        <f>EJ119*VLOOKUP('Données projet'!$B$15,Paramètres!$A$1:$I$89,3,0)*VLOOKUP('Données projet'!$B$15,Paramètres!$A$1:$I$89,5,0)</f>
        <v>260.76335999999958</v>
      </c>
      <c r="EL119" s="14">
        <f t="shared" si="99"/>
        <v>62.885067686031896</v>
      </c>
      <c r="EM119" s="22">
        <f t="shared" si="73"/>
        <v>563.68767821983818</v>
      </c>
      <c r="EN119" s="60">
        <f t="shared" si="74"/>
        <v>857.02101155317155</v>
      </c>
      <c r="EO119" s="60">
        <f ca="1">AVERAGE(OFFSET($EN$3,0,0,'Données projet'!$E$15+1,1))-AVERAGE(OFFSET($H$3,0,0,'Données projet'!$E$15+1,1))</f>
        <v>428.8489304403459</v>
      </c>
      <c r="EP119" s="60">
        <f t="shared" si="100"/>
        <v>247.01165577562966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 t="e">
        <f>N120*VLOOKUP('Données projet'!$B$9,Paramètres!$A$1:$I$89,3,0)*VLOOKUP('Données projet'!$B$9,Paramètres!$A$1:$I$89,5,0)</f>
        <v>#N/A</v>
      </c>
      <c r="P120" s="14" t="e">
        <f t="shared" si="87"/>
        <v>#N/A</v>
      </c>
      <c r="Q120" s="22" t="e">
        <f t="shared" si="107"/>
        <v>#N/A</v>
      </c>
      <c r="R120" s="60" t="e">
        <f t="shared" si="55"/>
        <v>#N/A</v>
      </c>
      <c r="S120" s="60" t="e">
        <f ca="1">AVERAGE(OFFSET($R$3,0,0,'Données projet'!$E$9+1,1))-AVERAGE(OFFSET($H$3,0,0,'Données projet'!$E$9+1,1))</f>
        <v>#N/A</v>
      </c>
      <c r="T120" s="60" t="e">
        <f t="shared" si="88"/>
        <v>#N/A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 t="e">
        <f>EXP(-LN(2)/35)*Z119+(1-EXP(-LN(2)/35))/(LN(2)/35)*V120*W120*VLOOKUP('Données projet'!$B$9,Paramètres!$A$1:$I$89,3,0)*0.475*44/12</f>
        <v>#N/A</v>
      </c>
      <c r="AA120" s="23" t="e">
        <f>EXP(-LN(2)/25)*AA119+(1-EXP(-LN(2)/25))/(LN(2)/25)*Calculateur!V120*Calculateur!X120*VLOOKUP('Données projet'!$B$9,Paramètres!$A$1:$I$89,3,0)*0.475*44/12</f>
        <v>#N/A</v>
      </c>
      <c r="AB120" s="23" t="e">
        <f>EXP(-LN(2)/2)*AB119+(1-EXP(-LN(2)/2))/(LN(2)/2)*V120*Y120*VLOOKUP('Données projet'!$B$9,Paramètres!$A$1:$I$89,3,0)*0.475*44/12</f>
        <v>#N/A</v>
      </c>
      <c r="AC120" s="24" t="e">
        <f t="shared" si="57"/>
        <v>#N/A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0" t="e">
        <f t="shared" si="59"/>
        <v>#N/A</v>
      </c>
      <c r="AN120" s="60" t="e">
        <f ca="1">AVERAGE(OFFSET($AM$3,0,0,'Données projet'!$E$10+1,1))-AVERAGE(OFFSET($H$3,0,0,'Données projet'!$E$10+1,1))</f>
        <v>#N/A</v>
      </c>
      <c r="AO120" s="60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2.7564102564102568</v>
      </c>
      <c r="BD120" s="13">
        <f>IF('Données projet'!$A$88&gt;35,BD119+BC120-BL119,IF(A120&lt;'Données projet'!$A$88,$BA$205^A120,IF(A120='Données projet'!$A$88,'Données projet'!$B$88,BD119+BC120-BL119)))</f>
        <v>243.01282051282041</v>
      </c>
      <c r="BE120" s="14">
        <f>BD120*VLOOKUP('Données projet'!$B$11,Paramètres!$A$1:$I$89,3,0)*VLOOKUP('Données projet'!$B$11,Paramètres!$A$1:$I$89,5,0)</f>
        <v>231.25099999999989</v>
      </c>
      <c r="BF120" s="14">
        <f t="shared" si="91"/>
        <v>56.553091525012086</v>
      </c>
      <c r="BG120" s="22">
        <f t="shared" si="61"/>
        <v>501.25879273939586</v>
      </c>
      <c r="BH120" s="60">
        <f t="shared" si="62"/>
        <v>794.59212607272912</v>
      </c>
      <c r="BI120" s="60">
        <f ca="1">AVERAGE(OFFSET($BH$3,0,0,'Données projet'!$E$11+1,1))-AVERAGE(OFFSET($H$3,0,0,'Données projet'!$E$11+1,1))</f>
        <v>357.083670644861</v>
      </c>
      <c r="BJ120" s="60">
        <f t="shared" si="92"/>
        <v>299.88885091109654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-3.694822225952521E-13</v>
      </c>
      <c r="BZ120" s="14">
        <f>BY120*VLOOKUP('Données projet'!$B$12,Paramètres!$A$1:$I$89,3,0)*VLOOKUP('Données projet'!$B$12,Paramètres!$A$1:$I$89,5,0)</f>
        <v>-1.7291768017457797E-13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245.98992992759543</v>
      </c>
      <c r="CE120" s="60">
        <f t="shared" si="94"/>
        <v>145.34368562171613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282.32567999999952</v>
      </c>
      <c r="CV120" s="14">
        <f t="shared" si="95"/>
        <v>67.458255064229917</v>
      </c>
      <c r="CW120" s="22">
        <f t="shared" si="67"/>
        <v>609.20702023686624</v>
      </c>
      <c r="CX120" s="60">
        <f t="shared" si="68"/>
        <v>902.54035357019961</v>
      </c>
      <c r="CY120" s="60">
        <f ca="1">AVERAGE(OFFSET($CX$3,0,0,'Données projet'!$E$13+1,1))-AVERAGE(OFFSET($H$3,0,0,'Données projet'!$E$13+1,1))</f>
        <v>455.50822833641354</v>
      </c>
      <c r="CZ120" s="60">
        <f t="shared" si="96"/>
        <v>261.14722581688039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</v>
      </c>
      <c r="DO120" s="13">
        <f>IF('Données projet'!$A$166&gt;35,DO119+DN120-DW119,IF(A120&lt;'Données projet'!$A$166,$DL$205^A120,IF(A120='Données projet'!$A$166,'Données projet'!$B$166,DO119+DN120-DW119)))</f>
        <v>291.89999999999952</v>
      </c>
      <c r="DP120" s="18">
        <f>DO120*VLOOKUP('Données projet'!$B$14,Paramètres!$A$1:$I$89,3,0)*VLOOKUP('Données projet'!$B$14,Paramètres!$A$1:$I$89,5,0)</f>
        <v>314.2011599999995</v>
      </c>
      <c r="DQ120" s="14">
        <f t="shared" si="97"/>
        <v>74.145511044675771</v>
      </c>
      <c r="DR120" s="22">
        <f t="shared" si="70"/>
        <v>676.37045206947607</v>
      </c>
      <c r="DS120" s="60">
        <f t="shared" si="71"/>
        <v>969.70378540280944</v>
      </c>
      <c r="DT120" s="60">
        <f ca="1">AVERAGE(OFFSET($DS$3,0,0,'Données projet'!$E$14+1,1))-AVERAGE(OFFSET($H$3,0,0,'Données projet'!$E$14+1,1))</f>
        <v>502.07782026233912</v>
      </c>
      <c r="DU120" s="60">
        <f t="shared" si="98"/>
        <v>285.83623046025156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3.7</v>
      </c>
      <c r="EJ120" s="13">
        <f>IF('Données projet'!$A$192&gt;35,EJ119+EI120-ER119,IF(A120&lt;'Données projet'!$A$192,$EG$205^A120,IF(A120='Données projet'!$A$192,'Données projet'!$B$192,EJ119+EI120-ER119)))</f>
        <v>291.89999999999952</v>
      </c>
      <c r="EK120" s="18">
        <f>EJ120*VLOOKUP('Données projet'!$B$15,Paramètres!$A$1:$I$89,3,0)*VLOOKUP('Données projet'!$B$15,Paramètres!$A$1:$I$89,5,0)</f>
        <v>264.11111999999957</v>
      </c>
      <c r="EL120" s="14">
        <f t="shared" si="99"/>
        <v>63.597900866870546</v>
      </c>
      <c r="EM120" s="22">
        <f t="shared" si="73"/>
        <v>570.75987800979885</v>
      </c>
      <c r="EN120" s="60">
        <f t="shared" si="74"/>
        <v>864.09321134313223</v>
      </c>
      <c r="EO120" s="60">
        <f ca="1">AVERAGE(OFFSET($EN$3,0,0,'Données projet'!$E$15+1,1))-AVERAGE(OFFSET($H$3,0,0,'Données projet'!$E$15+1,1))</f>
        <v>428.8489304403459</v>
      </c>
      <c r="EP120" s="60">
        <f t="shared" si="100"/>
        <v>247.01165577562966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 t="e">
        <f>N121*VLOOKUP('Données projet'!$B$9,Paramètres!$A$1:$I$89,3,0)*VLOOKUP('Données projet'!$B$9,Paramètres!$A$1:$I$89,5,0)</f>
        <v>#N/A</v>
      </c>
      <c r="P121" s="14" t="e">
        <f t="shared" si="87"/>
        <v>#N/A</v>
      </c>
      <c r="Q121" s="22" t="e">
        <f t="shared" si="107"/>
        <v>#N/A</v>
      </c>
      <c r="R121" s="60" t="e">
        <f t="shared" si="55"/>
        <v>#N/A</v>
      </c>
      <c r="S121" s="60" t="e">
        <f ca="1">AVERAGE(OFFSET($R$3,0,0,'Données projet'!$E$9+1,1))-AVERAGE(OFFSET($H$3,0,0,'Données projet'!$E$9+1,1))</f>
        <v>#N/A</v>
      </c>
      <c r="T121" s="60" t="e">
        <f t="shared" si="88"/>
        <v>#N/A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 t="e">
        <f>EXP(-LN(2)/35)*Z120+(1-EXP(-LN(2)/35))/(LN(2)/35)*V121*W121*VLOOKUP('Données projet'!$B$9,Paramètres!$A$1:$I$89,3,0)*0.475*44/12</f>
        <v>#N/A</v>
      </c>
      <c r="AA121" s="23" t="e">
        <f>EXP(-LN(2)/25)*AA120+(1-EXP(-LN(2)/25))/(LN(2)/25)*Calculateur!V121*Calculateur!X121*VLOOKUP('Données projet'!$B$9,Paramètres!$A$1:$I$89,3,0)*0.475*44/12</f>
        <v>#N/A</v>
      </c>
      <c r="AB121" s="23" t="e">
        <f>EXP(-LN(2)/2)*AB120+(1-EXP(-LN(2)/2))/(LN(2)/2)*V121*Y121*VLOOKUP('Données projet'!$B$9,Paramètres!$A$1:$I$89,3,0)*0.475*44/12</f>
        <v>#N/A</v>
      </c>
      <c r="AC121" s="24" t="e">
        <f t="shared" si="57"/>
        <v>#N/A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0" t="e">
        <f t="shared" si="59"/>
        <v>#N/A</v>
      </c>
      <c r="AN121" s="60" t="e">
        <f ca="1">AVERAGE(OFFSET($AM$3,0,0,'Données projet'!$E$10+1,1))-AVERAGE(OFFSET($H$3,0,0,'Données projet'!$E$10+1,1))</f>
        <v>#N/A</v>
      </c>
      <c r="AO121" s="60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2.7564102564102568</v>
      </c>
      <c r="BD121" s="13">
        <f>IF('Données projet'!$A$88&gt;35,BD120+BC121-BL120,IF(A121&lt;'Données projet'!$A$88,$BA$205^A121,IF(A121='Données projet'!$A$88,'Données projet'!$B$88,BD120+BC121-BL120)))</f>
        <v>245.76923076923066</v>
      </c>
      <c r="BE121" s="14">
        <f>BD121*VLOOKUP('Données projet'!$B$11,Paramètres!$A$1:$I$89,3,0)*VLOOKUP('Données projet'!$B$11,Paramètres!$A$1:$I$89,5,0)</f>
        <v>233.87399999999988</v>
      </c>
      <c r="BF121" s="14">
        <f t="shared" si="91"/>
        <v>57.119514867134178</v>
      </c>
      <c r="BG121" s="22">
        <f t="shared" si="61"/>
        <v>506.81370506025854</v>
      </c>
      <c r="BH121" s="60">
        <f t="shared" si="62"/>
        <v>800.14703839359186</v>
      </c>
      <c r="BI121" s="60">
        <f ca="1">AVERAGE(OFFSET($BH$3,0,0,'Données projet'!$E$11+1,1))-AVERAGE(OFFSET($H$3,0,0,'Données projet'!$E$11+1,1))</f>
        <v>357.083670644861</v>
      </c>
      <c r="BJ121" s="60">
        <f t="shared" si="92"/>
        <v>299.88885091109654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-3.694822225952521E-13</v>
      </c>
      <c r="BZ121" s="14">
        <f>BY121*VLOOKUP('Données projet'!$B$12,Paramètres!$A$1:$I$89,3,0)*VLOOKUP('Données projet'!$B$12,Paramètres!$A$1:$I$89,5,0)</f>
        <v>-1.7291768017457797E-13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245.98992992759543</v>
      </c>
      <c r="CE121" s="60">
        <f t="shared" si="94"/>
        <v>145.34368562171613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285.90431999999953</v>
      </c>
      <c r="CV121" s="14">
        <f t="shared" si="95"/>
        <v>68.213241999614453</v>
      </c>
      <c r="CW121" s="22">
        <f t="shared" si="67"/>
        <v>616.75475381599438</v>
      </c>
      <c r="CX121" s="60">
        <f t="shared" si="68"/>
        <v>910.08808714932775</v>
      </c>
      <c r="CY121" s="60">
        <f ca="1">AVERAGE(OFFSET($CX$3,0,0,'Données projet'!$E$13+1,1))-AVERAGE(OFFSET($H$3,0,0,'Données projet'!$E$13+1,1))</f>
        <v>455.50822833641354</v>
      </c>
      <c r="CZ121" s="60">
        <f t="shared" si="96"/>
        <v>261.14722581688039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</v>
      </c>
      <c r="DO121" s="13">
        <f>IF('Données projet'!$A$166&gt;35,DO120+DN121-DW120,IF(A121&lt;'Données projet'!$A$166,$DL$205^A121,IF(A121='Données projet'!$A$166,'Données projet'!$B$166,DO120+DN121-DW120)))</f>
        <v>295.59999999999951</v>
      </c>
      <c r="DP121" s="18">
        <f>DO121*VLOOKUP('Données projet'!$B$14,Paramètres!$A$1:$I$89,3,0)*VLOOKUP('Données projet'!$B$14,Paramètres!$A$1:$I$89,5,0)</f>
        <v>318.18383999999946</v>
      </c>
      <c r="DQ121" s="14">
        <f t="shared" si="97"/>
        <v>74.975341168547786</v>
      </c>
      <c r="DR121" s="22">
        <f t="shared" si="70"/>
        <v>684.75224053521981</v>
      </c>
      <c r="DS121" s="60">
        <f t="shared" si="71"/>
        <v>978.08557386855318</v>
      </c>
      <c r="DT121" s="60">
        <f ca="1">AVERAGE(OFFSET($DS$3,0,0,'Données projet'!$E$14+1,1))-AVERAGE(OFFSET($H$3,0,0,'Données projet'!$E$14+1,1))</f>
        <v>502.07782026233912</v>
      </c>
      <c r="DU121" s="60">
        <f t="shared" si="98"/>
        <v>285.83623046025156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3.7</v>
      </c>
      <c r="EJ121" s="13">
        <f>IF('Données projet'!$A$192&gt;35,EJ120+EI121-ER120,IF(A121&lt;'Données projet'!$A$192,$EG$205^A121,IF(A121='Données projet'!$A$192,'Données projet'!$B$192,EJ120+EI121-ER120)))</f>
        <v>295.59999999999951</v>
      </c>
      <c r="EK121" s="18">
        <f>EJ121*VLOOKUP('Données projet'!$B$15,Paramètres!$A$1:$I$89,3,0)*VLOOKUP('Données projet'!$B$15,Paramètres!$A$1:$I$89,5,0)</f>
        <v>267.45887999999951</v>
      </c>
      <c r="EL121" s="14">
        <f t="shared" si="99"/>
        <v>64.309683053152327</v>
      </c>
      <c r="EM121" s="22">
        <f t="shared" si="73"/>
        <v>577.8302473175728</v>
      </c>
      <c r="EN121" s="60">
        <f t="shared" si="74"/>
        <v>871.16358065090617</v>
      </c>
      <c r="EO121" s="60">
        <f ca="1">AVERAGE(OFFSET($EN$3,0,0,'Données projet'!$E$15+1,1))-AVERAGE(OFFSET($H$3,0,0,'Données projet'!$E$15+1,1))</f>
        <v>428.8489304403459</v>
      </c>
      <c r="EP121" s="60">
        <f t="shared" si="100"/>
        <v>247.01165577562966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 t="e">
        <f>N122*VLOOKUP('Données projet'!$B$9,Paramètres!$A$1:$I$89,3,0)*VLOOKUP('Données projet'!$B$9,Paramètres!$A$1:$I$89,5,0)</f>
        <v>#N/A</v>
      </c>
      <c r="P122" s="14" t="e">
        <f t="shared" si="87"/>
        <v>#N/A</v>
      </c>
      <c r="Q122" s="22" t="e">
        <f t="shared" si="107"/>
        <v>#N/A</v>
      </c>
      <c r="R122" s="60" t="e">
        <f t="shared" si="55"/>
        <v>#N/A</v>
      </c>
      <c r="S122" s="60" t="e">
        <f ca="1">AVERAGE(OFFSET($R$3,0,0,'Données projet'!$E$9+1,1))-AVERAGE(OFFSET($H$3,0,0,'Données projet'!$E$9+1,1))</f>
        <v>#N/A</v>
      </c>
      <c r="T122" s="60" t="e">
        <f t="shared" si="88"/>
        <v>#N/A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 t="e">
        <f>EXP(-LN(2)/35)*Z121+(1-EXP(-LN(2)/35))/(LN(2)/35)*V122*W122*VLOOKUP('Données projet'!$B$9,Paramètres!$A$1:$I$89,3,0)*0.475*44/12</f>
        <v>#N/A</v>
      </c>
      <c r="AA122" s="23" t="e">
        <f>EXP(-LN(2)/25)*AA121+(1-EXP(-LN(2)/25))/(LN(2)/25)*Calculateur!V122*Calculateur!X122*VLOOKUP('Données projet'!$B$9,Paramètres!$A$1:$I$89,3,0)*0.475*44/12</f>
        <v>#N/A</v>
      </c>
      <c r="AB122" s="23" t="e">
        <f>EXP(-LN(2)/2)*AB121+(1-EXP(-LN(2)/2))/(LN(2)/2)*V122*Y122*VLOOKUP('Données projet'!$B$9,Paramètres!$A$1:$I$89,3,0)*0.475*44/12</f>
        <v>#N/A</v>
      </c>
      <c r="AC122" s="24" t="e">
        <f t="shared" si="57"/>
        <v>#N/A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0" t="e">
        <f t="shared" si="59"/>
        <v>#N/A</v>
      </c>
      <c r="AN122" s="60" t="e">
        <f ca="1">AVERAGE(OFFSET($AM$3,0,0,'Données projet'!$E$10+1,1))-AVERAGE(OFFSET($H$3,0,0,'Données projet'!$E$10+1,1))</f>
        <v>#N/A</v>
      </c>
      <c r="AO122" s="60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2.7564102564102568</v>
      </c>
      <c r="BD122" s="13">
        <f>IF('Données projet'!$A$88&gt;35,BD121+BC122-BL121,IF(A122&lt;'Données projet'!$A$88,$BA$205^A122,IF(A122='Données projet'!$A$88,'Données projet'!$B$88,BD121+BC122-BL121)))</f>
        <v>248.52564102564091</v>
      </c>
      <c r="BE122" s="14">
        <f>BD122*VLOOKUP('Données projet'!$B$11,Paramètres!$A$1:$I$89,3,0)*VLOOKUP('Données projet'!$B$11,Paramètres!$A$1:$I$89,5,0)</f>
        <v>236.4969999999999</v>
      </c>
      <c r="BF122" s="14">
        <f t="shared" si="91"/>
        <v>57.685199222511848</v>
      </c>
      <c r="BG122" s="22">
        <f t="shared" si="61"/>
        <v>512.3673303125413</v>
      </c>
      <c r="BH122" s="60">
        <f t="shared" si="62"/>
        <v>805.70066364587456</v>
      </c>
      <c r="BI122" s="60">
        <f ca="1">AVERAGE(OFFSET($BH$3,0,0,'Données projet'!$E$11+1,1))-AVERAGE(OFFSET($H$3,0,0,'Données projet'!$E$11+1,1))</f>
        <v>357.083670644861</v>
      </c>
      <c r="BJ122" s="60">
        <f t="shared" si="92"/>
        <v>299.88885091109654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-3.694822225952521E-13</v>
      </c>
      <c r="BZ122" s="14">
        <f>BY122*VLOOKUP('Données projet'!$B$12,Paramètres!$A$1:$I$89,3,0)*VLOOKUP('Données projet'!$B$12,Paramètres!$A$1:$I$89,5,0)</f>
        <v>-1.7291768017457797E-13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245.98992992759543</v>
      </c>
      <c r="CE122" s="60">
        <f t="shared" si="94"/>
        <v>145.34368562171613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289.48295999999954</v>
      </c>
      <c r="CV122" s="14">
        <f t="shared" si="95"/>
        <v>68.967129713117401</v>
      </c>
      <c r="CW122" s="22">
        <f t="shared" si="67"/>
        <v>624.300572917012</v>
      </c>
      <c r="CX122" s="60">
        <f t="shared" si="68"/>
        <v>917.63390625034526</v>
      </c>
      <c r="CY122" s="60">
        <f ca="1">AVERAGE(OFFSET($CX$3,0,0,'Données projet'!$E$13+1,1))-AVERAGE(OFFSET($H$3,0,0,'Données projet'!$E$13+1,1))</f>
        <v>455.50822833641354</v>
      </c>
      <c r="CZ122" s="60">
        <f t="shared" si="96"/>
        <v>261.14722581688039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</v>
      </c>
      <c r="DO122" s="13">
        <f>IF('Données projet'!$A$166&gt;35,DO121+DN122-DW121,IF(A122&lt;'Données projet'!$A$166,$DL$205^A122,IF(A122='Données projet'!$A$166,'Données projet'!$B$166,DO121+DN122-DW121)))</f>
        <v>299.2999999999995</v>
      </c>
      <c r="DP122" s="18">
        <f>DO122*VLOOKUP('Données projet'!$B$14,Paramètres!$A$1:$I$89,3,0)*VLOOKUP('Données projet'!$B$14,Paramètres!$A$1:$I$89,5,0)</f>
        <v>322.16651999999942</v>
      </c>
      <c r="DQ122" s="14">
        <f t="shared" si="97"/>
        <v>75.803963102731529</v>
      </c>
      <c r="DR122" s="22">
        <f t="shared" si="70"/>
        <v>693.13192473725633</v>
      </c>
      <c r="DS122" s="60">
        <f t="shared" si="71"/>
        <v>986.4652580705897</v>
      </c>
      <c r="DT122" s="60">
        <f ca="1">AVERAGE(OFFSET($DS$3,0,0,'Données projet'!$E$14+1,1))-AVERAGE(OFFSET($H$3,0,0,'Données projet'!$E$14+1,1))</f>
        <v>502.07782026233912</v>
      </c>
      <c r="DU122" s="60">
        <f t="shared" si="98"/>
        <v>285.83623046025156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3.7</v>
      </c>
      <c r="EJ122" s="13">
        <f>IF('Données projet'!$A$192&gt;35,EJ121+EI122-ER121,IF(A122&lt;'Données projet'!$A$192,$EG$205^A122,IF(A122='Données projet'!$A$192,'Données projet'!$B$192,EJ121+EI122-ER121)))</f>
        <v>299.2999999999995</v>
      </c>
      <c r="EK122" s="18">
        <f>EJ122*VLOOKUP('Données projet'!$B$15,Paramètres!$A$1:$I$89,3,0)*VLOOKUP('Données projet'!$B$15,Paramètres!$A$1:$I$89,5,0)</f>
        <v>270.80663999999956</v>
      </c>
      <c r="EL122" s="14">
        <f t="shared" si="99"/>
        <v>65.020428921429911</v>
      </c>
      <c r="EM122" s="22">
        <f t="shared" si="73"/>
        <v>584.89881170482306</v>
      </c>
      <c r="EN122" s="60">
        <f t="shared" si="74"/>
        <v>878.23214503815643</v>
      </c>
      <c r="EO122" s="60">
        <f ca="1">AVERAGE(OFFSET($EN$3,0,0,'Données projet'!$E$15+1,1))-AVERAGE(OFFSET($H$3,0,0,'Données projet'!$E$15+1,1))</f>
        <v>428.8489304403459</v>
      </c>
      <c r="EP122" s="60">
        <f t="shared" si="100"/>
        <v>247.01165577562966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 t="e">
        <f>N123*VLOOKUP('Données projet'!$B$9,Paramètres!$A$1:$I$89,3,0)*VLOOKUP('Données projet'!$B$9,Paramètres!$A$1:$I$89,5,0)</f>
        <v>#N/A</v>
      </c>
      <c r="P123" s="14" t="e">
        <f t="shared" si="87"/>
        <v>#N/A</v>
      </c>
      <c r="Q123" s="22" t="e">
        <f t="shared" si="107"/>
        <v>#N/A</v>
      </c>
      <c r="R123" s="60" t="e">
        <f t="shared" si="55"/>
        <v>#N/A</v>
      </c>
      <c r="S123" s="60" t="e">
        <f ca="1">AVERAGE(OFFSET($R$3,0,0,'Données projet'!$E$9+1,1))-AVERAGE(OFFSET($H$3,0,0,'Données projet'!$E$9+1,1))</f>
        <v>#N/A</v>
      </c>
      <c r="T123" s="60" t="e">
        <f t="shared" si="88"/>
        <v>#N/A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 t="e">
        <f>EXP(-LN(2)/35)*Z122+(1-EXP(-LN(2)/35))/(LN(2)/35)*V123*W123*VLOOKUP('Données projet'!$B$9,Paramètres!$A$1:$I$89,3,0)*0.475*44/12</f>
        <v>#N/A</v>
      </c>
      <c r="AA123" s="23" t="e">
        <f>EXP(-LN(2)/25)*AA122+(1-EXP(-LN(2)/25))/(LN(2)/25)*Calculateur!V123*Calculateur!X123*VLOOKUP('Données projet'!$B$9,Paramètres!$A$1:$I$89,3,0)*0.475*44/12</f>
        <v>#N/A</v>
      </c>
      <c r="AB123" s="23" t="e">
        <f>EXP(-LN(2)/2)*AB122+(1-EXP(-LN(2)/2))/(LN(2)/2)*V123*Y123*VLOOKUP('Données projet'!$B$9,Paramètres!$A$1:$I$89,3,0)*0.475*44/12</f>
        <v>#N/A</v>
      </c>
      <c r="AC123" s="24" t="e">
        <f t="shared" si="57"/>
        <v>#N/A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0" t="e">
        <f t="shared" si="59"/>
        <v>#N/A</v>
      </c>
      <c r="AN123" s="60" t="e">
        <f ca="1">AVERAGE(OFFSET($AM$3,0,0,'Données projet'!$E$10+1,1))-AVERAGE(OFFSET($H$3,0,0,'Données projet'!$E$10+1,1))</f>
        <v>#N/A</v>
      </c>
      <c r="AO123" s="60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251.28205128205127</v>
      </c>
      <c r="BB123" s="13">
        <f>VLOOKUP(A123,'Données projet'!$A$87:$I$107,9,0)</f>
        <v>2.7564102564102568</v>
      </c>
      <c r="BC123" s="13">
        <f t="array" ref="BC123">INDEX(BB:BB,MIN(IF(ISNUMBER(BB123:BB319),ROW(BB123:BB319),"")))</f>
        <v>2.7564102564102568</v>
      </c>
      <c r="BD123" s="13">
        <f>IF('Données projet'!$A$88&gt;35,BD122+BC123-BL122,IF(A123&lt;'Données projet'!$A$88,$BA$205^A123,IF(A123='Données projet'!$A$88,'Données projet'!$B$88,BD122+BC123-BL122)))</f>
        <v>251.28205128205116</v>
      </c>
      <c r="BE123" s="14">
        <f>BD123*VLOOKUP('Données projet'!$B$11,Paramètres!$A$1:$I$89,3,0)*VLOOKUP('Données projet'!$B$11,Paramètres!$A$1:$I$89,5,0)</f>
        <v>239.11999999999989</v>
      </c>
      <c r="BF123" s="14">
        <f t="shared" si="91"/>
        <v>58.2501537357874</v>
      </c>
      <c r="BG123" s="22">
        <f t="shared" si="61"/>
        <v>517.91968442316295</v>
      </c>
      <c r="BH123" s="60">
        <f t="shared" si="62"/>
        <v>811.25301775649632</v>
      </c>
      <c r="BI123" s="60">
        <f ca="1">AVERAGE(OFFSET($BH$3,0,0,'Données projet'!$E$11+1,1))-AVERAGE(OFFSET($H$3,0,0,'Données projet'!$E$11+1,1))</f>
        <v>357.083670644861</v>
      </c>
      <c r="BJ123" s="60">
        <f t="shared" si="92"/>
        <v>299.88885091109654</v>
      </c>
      <c r="BK123" s="16">
        <f>IF(ISNA(VLOOKUP(A123,'Données projet'!$A$87:$I$107,3,0)),0,VLOOKUP(A123,'Données projet'!$A$87:$I$107,3,0))</f>
        <v>9</v>
      </c>
      <c r="BL123" s="16">
        <f>IF(ISNA(VLOOKUP(A123,'Données projet'!$A$87:$I$107,4,0)),0,VLOOKUP(A123,'Données projet'!$A$87:$I$107,4,0))</f>
        <v>251.28205128205127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-3.694822225952521E-13</v>
      </c>
      <c r="BZ123" s="14">
        <f>BY123*VLOOKUP('Données projet'!$B$12,Paramètres!$A$1:$I$89,3,0)*VLOOKUP('Données projet'!$B$12,Paramètres!$A$1:$I$89,5,0)</f>
        <v>-1.7291768017457797E-13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245.98992992759543</v>
      </c>
      <c r="CE123" s="60">
        <f t="shared" si="94"/>
        <v>145.34368562171613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293.06159999999949</v>
      </c>
      <c r="CV123" s="14">
        <f t="shared" si="95"/>
        <v>69.719933365116432</v>
      </c>
      <c r="CW123" s="22">
        <f t="shared" si="67"/>
        <v>631.84450394424357</v>
      </c>
      <c r="CX123" s="60">
        <f t="shared" si="68"/>
        <v>925.17783727757683</v>
      </c>
      <c r="CY123" s="60">
        <f ca="1">AVERAGE(OFFSET($CX$3,0,0,'Données projet'!$E$13+1,1))-AVERAGE(OFFSET($H$3,0,0,'Données projet'!$E$13+1,1))</f>
        <v>455.50822833641354</v>
      </c>
      <c r="CZ123" s="60">
        <f t="shared" si="96"/>
        <v>261.14722581688039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303</v>
      </c>
      <c r="DM123" s="13">
        <f>VLOOKUP(A123,'Données projet'!$A$165:$I$185,9,0)</f>
        <v>3.7</v>
      </c>
      <c r="DN123" s="13">
        <f t="array" ref="DN123">INDEX(DM:DM,MIN(IF(ISNUMBER(DM123:DM319),ROW(DM123:DM319),"")))</f>
        <v>3.7</v>
      </c>
      <c r="DO123" s="13">
        <f>IF('Données projet'!$A$166&gt;35,DO122+DN123-DW122,IF(A123&lt;'Données projet'!$A$166,$DL$205^A123,IF(A123='Données projet'!$A$166,'Données projet'!$B$166,DO122+DN123-DW122)))</f>
        <v>302.99999999999949</v>
      </c>
      <c r="DP123" s="18">
        <f>DO123*VLOOKUP('Données projet'!$B$14,Paramètres!$A$1:$I$89,3,0)*VLOOKUP('Données projet'!$B$14,Paramètres!$A$1:$I$89,5,0)</f>
        <v>326.14919999999944</v>
      </c>
      <c r="DQ123" s="14">
        <f t="shared" si="97"/>
        <v>76.631393510479555</v>
      </c>
      <c r="DR123" s="22">
        <f t="shared" si="70"/>
        <v>701.50953369741762</v>
      </c>
      <c r="DS123" s="60">
        <f t="shared" si="71"/>
        <v>994.84286703075099</v>
      </c>
      <c r="DT123" s="60">
        <f ca="1">AVERAGE(OFFSET($DS$3,0,0,'Données projet'!$E$14+1,1))-AVERAGE(OFFSET($H$3,0,0,'Données projet'!$E$14+1,1))</f>
        <v>502.07782026233912</v>
      </c>
      <c r="DU123" s="60">
        <f t="shared" si="98"/>
        <v>285.83623046025156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35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303</v>
      </c>
      <c r="EH123" s="13">
        <f>VLOOKUP(A123,'Données projet'!$A$191:$I$211,9,0)</f>
        <v>3.7</v>
      </c>
      <c r="EI123" s="13">
        <f t="array" ref="EI123">INDEX(EH:EH,MIN(IF(ISNUMBER(EH123:EH319),ROW(EH123:EH319),"")))</f>
        <v>3.7</v>
      </c>
      <c r="EJ123" s="13">
        <f>IF('Données projet'!$A$192&gt;35,EJ122+EI123-ER122,IF(A123&lt;'Données projet'!$A$192,$EG$205^A123,IF(A123='Données projet'!$A$192,'Données projet'!$B$192,EJ122+EI123-ER122)))</f>
        <v>302.99999999999949</v>
      </c>
      <c r="EK123" s="18">
        <f>EJ123*VLOOKUP('Données projet'!$B$15,Paramètres!$A$1:$I$89,3,0)*VLOOKUP('Données projet'!$B$15,Paramètres!$A$1:$I$89,5,0)</f>
        <v>274.15439999999955</v>
      </c>
      <c r="EL123" s="14">
        <f t="shared" si="99"/>
        <v>65.730152764515779</v>
      </c>
      <c r="EM123" s="22">
        <f t="shared" si="73"/>
        <v>591.96559606486414</v>
      </c>
      <c r="EN123" s="60">
        <f t="shared" si="74"/>
        <v>885.29892939819752</v>
      </c>
      <c r="EO123" s="60">
        <f ca="1">AVERAGE(OFFSET($EN$3,0,0,'Données projet'!$E$15+1,1))-AVERAGE(OFFSET($H$3,0,0,'Données projet'!$E$15+1,1))</f>
        <v>428.8489304403459</v>
      </c>
      <c r="EP123" s="60">
        <f t="shared" si="100"/>
        <v>247.01165577562966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35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 t="e">
        <f>N124*VLOOKUP('Données projet'!$B$9,Paramètres!$A$1:$I$89,3,0)*VLOOKUP('Données projet'!$B$9,Paramètres!$A$1:$I$89,5,0)</f>
        <v>#N/A</v>
      </c>
      <c r="P124" s="14" t="e">
        <f t="shared" si="87"/>
        <v>#N/A</v>
      </c>
      <c r="Q124" s="22" t="e">
        <f t="shared" si="107"/>
        <v>#N/A</v>
      </c>
      <c r="R124" s="60" t="e">
        <f t="shared" si="55"/>
        <v>#N/A</v>
      </c>
      <c r="S124" s="60" t="e">
        <f ca="1">AVERAGE(OFFSET($R$3,0,0,'Données projet'!$E$9+1,1))-AVERAGE(OFFSET($H$3,0,0,'Données projet'!$E$9+1,1))</f>
        <v>#N/A</v>
      </c>
      <c r="T124" s="60" t="e">
        <f t="shared" si="88"/>
        <v>#N/A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 t="e">
        <f>EXP(-LN(2)/35)*Z123+(1-EXP(-LN(2)/35))/(LN(2)/35)*V124*W124*VLOOKUP('Données projet'!$B$9,Paramètres!$A$1:$I$89,3,0)*0.475*44/12</f>
        <v>#N/A</v>
      </c>
      <c r="AA124" s="23" t="e">
        <f>EXP(-LN(2)/25)*AA123+(1-EXP(-LN(2)/25))/(LN(2)/25)*Calculateur!V124*Calculateur!X124*VLOOKUP('Données projet'!$B$9,Paramètres!$A$1:$I$89,3,0)*0.475*44/12</f>
        <v>#N/A</v>
      </c>
      <c r="AB124" s="23" t="e">
        <f>EXP(-LN(2)/2)*AB123+(1-EXP(-LN(2)/2))/(LN(2)/2)*V124*Y124*VLOOKUP('Données projet'!$B$9,Paramètres!$A$1:$I$89,3,0)*0.475*44/12</f>
        <v>#N/A</v>
      </c>
      <c r="AC124" s="24" t="e">
        <f t="shared" si="57"/>
        <v>#N/A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0" t="e">
        <f t="shared" si="59"/>
        <v>#N/A</v>
      </c>
      <c r="AN124" s="60" t="e">
        <f ca="1">AVERAGE(OFFSET($AM$3,0,0,'Données projet'!$E$10+1,1))-AVERAGE(OFFSET($H$3,0,0,'Données projet'!$E$10+1,1))</f>
        <v>#N/A</v>
      </c>
      <c r="AO124" s="60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-1.0818439477588981E-13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357.083670644861</v>
      </c>
      <c r="BJ124" s="60">
        <f t="shared" si="92"/>
        <v>299.88885091109654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-3.694822225952521E-13</v>
      </c>
      <c r="BZ124" s="14">
        <f>BY124*VLOOKUP('Données projet'!$B$12,Paramètres!$A$1:$I$89,3,0)*VLOOKUP('Données projet'!$B$12,Paramètres!$A$1:$I$89,5,0)</f>
        <v>-1.7291768017457797E-13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245.98992992759543</v>
      </c>
      <c r="CE124" s="60">
        <f t="shared" si="94"/>
        <v>145.34368562171613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262.30463999999949</v>
      </c>
      <c r="CV124" s="14">
        <f t="shared" si="95"/>
        <v>63.213381472055985</v>
      </c>
      <c r="CW124" s="22">
        <f t="shared" si="67"/>
        <v>566.94388739716328</v>
      </c>
      <c r="CX124" s="60">
        <f t="shared" si="68"/>
        <v>860.27722073049654</v>
      </c>
      <c r="CY124" s="60">
        <f ca="1">AVERAGE(OFFSET($CX$3,0,0,'Données projet'!$E$13+1,1))-AVERAGE(OFFSET($H$3,0,0,'Données projet'!$E$13+1,1))</f>
        <v>455.50822833641354</v>
      </c>
      <c r="CZ124" s="60">
        <f t="shared" si="96"/>
        <v>261.14722581688039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3.2</v>
      </c>
      <c r="DO124" s="13">
        <f>IF('Données projet'!$A$166&gt;35,DO123+DN124-DW123,IF(A124&lt;'Données projet'!$A$166,$DL$205^A124,IF(A124='Données projet'!$A$166,'Données projet'!$B$166,DO123+DN124-DW123)))</f>
        <v>271.19999999999948</v>
      </c>
      <c r="DP124" s="18">
        <f>DO124*VLOOKUP('Données projet'!$B$14,Paramètres!$A$1:$I$89,3,0)*VLOOKUP('Données projet'!$B$14,Paramètres!$A$1:$I$89,5,0)</f>
        <v>291.9196799999994</v>
      </c>
      <c r="DQ124" s="14">
        <f t="shared" si="97"/>
        <v>69.47983563531173</v>
      </c>
      <c r="DR124" s="22">
        <f t="shared" si="70"/>
        <v>629.43748973150025</v>
      </c>
      <c r="DS124" s="60">
        <f t="shared" si="71"/>
        <v>922.77082306483362</v>
      </c>
      <c r="DT124" s="60">
        <f ca="1">AVERAGE(OFFSET($DS$3,0,0,'Données projet'!$E$14+1,1))-AVERAGE(OFFSET($H$3,0,0,'Données projet'!$E$14+1,1))</f>
        <v>502.07782026233912</v>
      </c>
      <c r="DU124" s="60">
        <f t="shared" si="98"/>
        <v>285.83623046025156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3.2</v>
      </c>
      <c r="EJ124" s="13">
        <f>IF('Données projet'!$A$192&gt;35,EJ123+EI124-ER123,IF(A124&lt;'Données projet'!$A$192,$EG$205^A124,IF(A124='Données projet'!$A$192,'Données projet'!$B$192,EJ123+EI124-ER123)))</f>
        <v>271.19999999999948</v>
      </c>
      <c r="EK124" s="18">
        <f>EJ124*VLOOKUP('Données projet'!$B$15,Paramètres!$A$1:$I$89,3,0)*VLOOKUP('Données projet'!$B$15,Paramètres!$A$1:$I$89,5,0)</f>
        <v>245.3817599999995</v>
      </c>
      <c r="EL124" s="14">
        <f t="shared" si="99"/>
        <v>59.595943661626663</v>
      </c>
      <c r="EM124" s="22">
        <f t="shared" si="73"/>
        <v>531.16950054399888</v>
      </c>
      <c r="EN124" s="60">
        <f t="shared" si="74"/>
        <v>824.50283387733225</v>
      </c>
      <c r="EO124" s="60">
        <f ca="1">AVERAGE(OFFSET($EN$3,0,0,'Données projet'!$E$15+1,1))-AVERAGE(OFFSET($H$3,0,0,'Données projet'!$E$15+1,1))</f>
        <v>428.8489304403459</v>
      </c>
      <c r="EP124" s="60">
        <f t="shared" si="100"/>
        <v>247.01165577562966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 t="e">
        <f>N125*VLOOKUP('Données projet'!$B$9,Paramètres!$A$1:$I$89,3,0)*VLOOKUP('Données projet'!$B$9,Paramètres!$A$1:$I$89,5,0)</f>
        <v>#N/A</v>
      </c>
      <c r="P125" s="14" t="e">
        <f t="shared" si="87"/>
        <v>#N/A</v>
      </c>
      <c r="Q125" s="22" t="e">
        <f t="shared" si="107"/>
        <v>#N/A</v>
      </c>
      <c r="R125" s="60" t="e">
        <f t="shared" si="55"/>
        <v>#N/A</v>
      </c>
      <c r="S125" s="60" t="e">
        <f ca="1">AVERAGE(OFFSET($R$3,0,0,'Données projet'!$E$9+1,1))-AVERAGE(OFFSET($H$3,0,0,'Données projet'!$E$9+1,1))</f>
        <v>#N/A</v>
      </c>
      <c r="T125" s="60" t="e">
        <f t="shared" si="88"/>
        <v>#N/A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 t="e">
        <f>EXP(-LN(2)/35)*Z124+(1-EXP(-LN(2)/35))/(LN(2)/35)*V125*W125*VLOOKUP('Données projet'!$B$9,Paramètres!$A$1:$I$89,3,0)*0.475*44/12</f>
        <v>#N/A</v>
      </c>
      <c r="AA125" s="23" t="e">
        <f>EXP(-LN(2)/25)*AA124+(1-EXP(-LN(2)/25))/(LN(2)/25)*Calculateur!V125*Calculateur!X125*VLOOKUP('Données projet'!$B$9,Paramètres!$A$1:$I$89,3,0)*0.475*44/12</f>
        <v>#N/A</v>
      </c>
      <c r="AB125" s="23" t="e">
        <f>EXP(-LN(2)/2)*AB124+(1-EXP(-LN(2)/2))/(LN(2)/2)*V125*Y125*VLOOKUP('Données projet'!$B$9,Paramètres!$A$1:$I$89,3,0)*0.475*44/12</f>
        <v>#N/A</v>
      </c>
      <c r="AC125" s="24" t="e">
        <f t="shared" si="57"/>
        <v>#N/A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0" t="e">
        <f t="shared" si="59"/>
        <v>#N/A</v>
      </c>
      <c r="AN125" s="60" t="e">
        <f ca="1">AVERAGE(OFFSET($AM$3,0,0,'Données projet'!$E$10+1,1))-AVERAGE(OFFSET($H$3,0,0,'Données projet'!$E$10+1,1))</f>
        <v>#N/A</v>
      </c>
      <c r="AO125" s="60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-1.0818439477588981E-13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357.083670644861</v>
      </c>
      <c r="BJ125" s="60">
        <f t="shared" si="92"/>
        <v>299.88885091109654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-3.694822225952521E-13</v>
      </c>
      <c r="BZ125" s="14">
        <f>BY125*VLOOKUP('Données projet'!$B$12,Paramètres!$A$1:$I$89,3,0)*VLOOKUP('Données projet'!$B$12,Paramètres!$A$1:$I$89,5,0)</f>
        <v>-1.7291768017457797E-13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245.98992992759543</v>
      </c>
      <c r="CE125" s="60">
        <f t="shared" si="94"/>
        <v>145.34368562171613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265.39967999999948</v>
      </c>
      <c r="CV125" s="14">
        <f t="shared" si="95"/>
        <v>63.87199095821434</v>
      </c>
      <c r="CW125" s="22">
        <f t="shared" si="67"/>
        <v>573.48149358555565</v>
      </c>
      <c r="CX125" s="60">
        <f t="shared" si="68"/>
        <v>866.81482691888891</v>
      </c>
      <c r="CY125" s="60">
        <f ca="1">AVERAGE(OFFSET($CX$3,0,0,'Données projet'!$E$13+1,1))-AVERAGE(OFFSET($H$3,0,0,'Données projet'!$E$13+1,1))</f>
        <v>455.50822833641354</v>
      </c>
      <c r="CZ125" s="60">
        <f t="shared" si="96"/>
        <v>261.14722581688039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3.2</v>
      </c>
      <c r="DO125" s="13">
        <f>IF('Données projet'!$A$166&gt;35,DO124+DN125-DW124,IF(A125&lt;'Données projet'!$A$166,$DL$205^A125,IF(A125='Données projet'!$A$166,'Données projet'!$B$166,DO124+DN125-DW124)))</f>
        <v>274.39999999999947</v>
      </c>
      <c r="DP125" s="18">
        <f>DO125*VLOOKUP('Données projet'!$B$14,Paramètres!$A$1:$I$89,3,0)*VLOOKUP('Données projet'!$B$14,Paramètres!$A$1:$I$89,5,0)</f>
        <v>295.3641599999994</v>
      </c>
      <c r="DQ125" s="14">
        <f t="shared" si="97"/>
        <v>70.203734243178047</v>
      </c>
      <c r="DR125" s="22">
        <f t="shared" si="70"/>
        <v>636.6974158068673</v>
      </c>
      <c r="DS125" s="60">
        <f t="shared" si="71"/>
        <v>930.03074914020067</v>
      </c>
      <c r="DT125" s="60">
        <f ca="1">AVERAGE(OFFSET($DS$3,0,0,'Données projet'!$E$14+1,1))-AVERAGE(OFFSET($H$3,0,0,'Données projet'!$E$14+1,1))</f>
        <v>502.07782026233912</v>
      </c>
      <c r="DU125" s="60">
        <f t="shared" si="98"/>
        <v>285.83623046025156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3.2</v>
      </c>
      <c r="EJ125" s="13">
        <f>IF('Données projet'!$A$192&gt;35,EJ124+EI125-ER124,IF(A125&lt;'Données projet'!$A$192,$EG$205^A125,IF(A125='Données projet'!$A$192,'Données projet'!$B$192,EJ124+EI125-ER124)))</f>
        <v>274.39999999999947</v>
      </c>
      <c r="EK125" s="18">
        <f>EJ125*VLOOKUP('Données projet'!$B$15,Paramètres!$A$1:$I$89,3,0)*VLOOKUP('Données projet'!$B$15,Paramètres!$A$1:$I$89,5,0)</f>
        <v>248.27711999999951</v>
      </c>
      <c r="EL125" s="14">
        <f t="shared" si="99"/>
        <v>60.216863677580257</v>
      </c>
      <c r="EM125" s="22">
        <f t="shared" si="73"/>
        <v>537.29368823845141</v>
      </c>
      <c r="EN125" s="60">
        <f t="shared" si="74"/>
        <v>830.62702157178478</v>
      </c>
      <c r="EO125" s="60">
        <f ca="1">AVERAGE(OFFSET($EN$3,0,0,'Données projet'!$E$15+1,1))-AVERAGE(OFFSET($H$3,0,0,'Données projet'!$E$15+1,1))</f>
        <v>428.8489304403459</v>
      </c>
      <c r="EP125" s="60">
        <f t="shared" si="100"/>
        <v>247.01165577562966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 t="e">
        <f>N126*VLOOKUP('Données projet'!$B$9,Paramètres!$A$1:$I$89,3,0)*VLOOKUP('Données projet'!$B$9,Paramètres!$A$1:$I$89,5,0)</f>
        <v>#N/A</v>
      </c>
      <c r="P126" s="14" t="e">
        <f t="shared" si="87"/>
        <v>#N/A</v>
      </c>
      <c r="Q126" s="22" t="e">
        <f t="shared" si="107"/>
        <v>#N/A</v>
      </c>
      <c r="R126" s="60" t="e">
        <f t="shared" si="55"/>
        <v>#N/A</v>
      </c>
      <c r="S126" s="60" t="e">
        <f ca="1">AVERAGE(OFFSET($R$3,0,0,'Données projet'!$E$9+1,1))-AVERAGE(OFFSET($H$3,0,0,'Données projet'!$E$9+1,1))</f>
        <v>#N/A</v>
      </c>
      <c r="T126" s="60" t="e">
        <f t="shared" si="88"/>
        <v>#N/A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 t="e">
        <f>EXP(-LN(2)/35)*Z125+(1-EXP(-LN(2)/35))/(LN(2)/35)*V126*W126*VLOOKUP('Données projet'!$B$9,Paramètres!$A$1:$I$89,3,0)*0.475*44/12</f>
        <v>#N/A</v>
      </c>
      <c r="AA126" s="23" t="e">
        <f>EXP(-LN(2)/25)*AA125+(1-EXP(-LN(2)/25))/(LN(2)/25)*Calculateur!V126*Calculateur!X126*VLOOKUP('Données projet'!$B$9,Paramètres!$A$1:$I$89,3,0)*0.475*44/12</f>
        <v>#N/A</v>
      </c>
      <c r="AB126" s="23" t="e">
        <f>EXP(-LN(2)/2)*AB125+(1-EXP(-LN(2)/2))/(LN(2)/2)*V126*Y126*VLOOKUP('Données projet'!$B$9,Paramètres!$A$1:$I$89,3,0)*0.475*44/12</f>
        <v>#N/A</v>
      </c>
      <c r="AC126" s="24" t="e">
        <f t="shared" si="57"/>
        <v>#N/A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0" t="e">
        <f t="shared" si="59"/>
        <v>#N/A</v>
      </c>
      <c r="AN126" s="60" t="e">
        <f ca="1">AVERAGE(OFFSET($AM$3,0,0,'Données projet'!$E$10+1,1))-AVERAGE(OFFSET($H$3,0,0,'Données projet'!$E$10+1,1))</f>
        <v>#N/A</v>
      </c>
      <c r="AO126" s="60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-1.0818439477588981E-13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357.083670644861</v>
      </c>
      <c r="BJ126" s="60">
        <f t="shared" si="92"/>
        <v>299.88885091109654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-3.694822225952521E-13</v>
      </c>
      <c r="BZ126" s="14">
        <f>BY126*VLOOKUP('Données projet'!$B$12,Paramètres!$A$1:$I$89,3,0)*VLOOKUP('Données projet'!$B$12,Paramètres!$A$1:$I$89,5,0)</f>
        <v>-1.7291768017457797E-13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245.98992992759543</v>
      </c>
      <c r="CE126" s="60">
        <f t="shared" si="94"/>
        <v>145.34368562171613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268.49471999999946</v>
      </c>
      <c r="CV126" s="14">
        <f t="shared" si="95"/>
        <v>64.529707010294615</v>
      </c>
      <c r="CW126" s="22">
        <f t="shared" si="67"/>
        <v>580.01754370959543</v>
      </c>
      <c r="CX126" s="60">
        <f t="shared" si="68"/>
        <v>873.35087704292869</v>
      </c>
      <c r="CY126" s="60">
        <f ca="1">AVERAGE(OFFSET($CX$3,0,0,'Données projet'!$E$13+1,1))-AVERAGE(OFFSET($H$3,0,0,'Données projet'!$E$13+1,1))</f>
        <v>455.50822833641354</v>
      </c>
      <c r="CZ126" s="60">
        <f t="shared" si="96"/>
        <v>261.14722581688039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3.2</v>
      </c>
      <c r="DO126" s="13">
        <f>IF('Données projet'!$A$166&gt;35,DO125+DN126-DW125,IF(A126&lt;'Données projet'!$A$166,$DL$205^A126,IF(A126='Données projet'!$A$166,'Données projet'!$B$166,DO125+DN126-DW125)))</f>
        <v>277.59999999999945</v>
      </c>
      <c r="DP126" s="18">
        <f>DO126*VLOOKUP('Données projet'!$B$14,Paramètres!$A$1:$I$89,3,0)*VLOOKUP('Données projet'!$B$14,Paramètres!$A$1:$I$89,5,0)</f>
        <v>298.8086399999994</v>
      </c>
      <c r="DQ126" s="14">
        <f t="shared" si="97"/>
        <v>70.926650849267929</v>
      </c>
      <c r="DR126" s="22">
        <f t="shared" si="70"/>
        <v>643.95563156247397</v>
      </c>
      <c r="DS126" s="60">
        <f t="shared" si="71"/>
        <v>937.28896489580734</v>
      </c>
      <c r="DT126" s="60">
        <f ca="1">AVERAGE(OFFSET($DS$3,0,0,'Données projet'!$E$14+1,1))-AVERAGE(OFFSET($H$3,0,0,'Données projet'!$E$14+1,1))</f>
        <v>502.07782026233912</v>
      </c>
      <c r="DU126" s="60">
        <f t="shared" si="98"/>
        <v>285.83623046025156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3.2</v>
      </c>
      <c r="EJ126" s="13">
        <f>IF('Données projet'!$A$192&gt;35,EJ125+EI126-ER125,IF(A126&lt;'Données projet'!$A$192,$EG$205^A126,IF(A126='Données projet'!$A$192,'Données projet'!$B$192,EJ125+EI126-ER125)))</f>
        <v>277.59999999999945</v>
      </c>
      <c r="EK126" s="18">
        <f>EJ126*VLOOKUP('Données projet'!$B$15,Paramètres!$A$1:$I$89,3,0)*VLOOKUP('Données projet'!$B$15,Paramètres!$A$1:$I$89,5,0)</f>
        <v>251.1724799999995</v>
      </c>
      <c r="EL126" s="14">
        <f t="shared" si="99"/>
        <v>60.836941386956575</v>
      </c>
      <c r="EM126" s="22">
        <f t="shared" si="73"/>
        <v>543.41640891561519</v>
      </c>
      <c r="EN126" s="60">
        <f t="shared" si="74"/>
        <v>836.74974224894845</v>
      </c>
      <c r="EO126" s="60">
        <f ca="1">AVERAGE(OFFSET($EN$3,0,0,'Données projet'!$E$15+1,1))-AVERAGE(OFFSET($H$3,0,0,'Données projet'!$E$15+1,1))</f>
        <v>428.8489304403459</v>
      </c>
      <c r="EP126" s="60">
        <f t="shared" si="100"/>
        <v>247.01165577562966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 t="e">
        <f>N127*VLOOKUP('Données projet'!$B$9,Paramètres!$A$1:$I$89,3,0)*VLOOKUP('Données projet'!$B$9,Paramètres!$A$1:$I$89,5,0)</f>
        <v>#N/A</v>
      </c>
      <c r="P127" s="14" t="e">
        <f t="shared" si="87"/>
        <v>#N/A</v>
      </c>
      <c r="Q127" s="22" t="e">
        <f t="shared" si="107"/>
        <v>#N/A</v>
      </c>
      <c r="R127" s="60" t="e">
        <f t="shared" si="55"/>
        <v>#N/A</v>
      </c>
      <c r="S127" s="60" t="e">
        <f ca="1">AVERAGE(OFFSET($R$3,0,0,'Données projet'!$E$9+1,1))-AVERAGE(OFFSET($H$3,0,0,'Données projet'!$E$9+1,1))</f>
        <v>#N/A</v>
      </c>
      <c r="T127" s="60" t="e">
        <f t="shared" si="88"/>
        <v>#N/A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 t="e">
        <f>EXP(-LN(2)/35)*Z126+(1-EXP(-LN(2)/35))/(LN(2)/35)*V127*W127*VLOOKUP('Données projet'!$B$9,Paramètres!$A$1:$I$89,3,0)*0.475*44/12</f>
        <v>#N/A</v>
      </c>
      <c r="AA127" s="23" t="e">
        <f>EXP(-LN(2)/25)*AA126+(1-EXP(-LN(2)/25))/(LN(2)/25)*Calculateur!V127*Calculateur!X127*VLOOKUP('Données projet'!$B$9,Paramètres!$A$1:$I$89,3,0)*0.475*44/12</f>
        <v>#N/A</v>
      </c>
      <c r="AB127" s="23" t="e">
        <f>EXP(-LN(2)/2)*AB126+(1-EXP(-LN(2)/2))/(LN(2)/2)*V127*Y127*VLOOKUP('Données projet'!$B$9,Paramètres!$A$1:$I$89,3,0)*0.475*44/12</f>
        <v>#N/A</v>
      </c>
      <c r="AC127" s="24" t="e">
        <f t="shared" si="57"/>
        <v>#N/A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0" t="e">
        <f t="shared" si="59"/>
        <v>#N/A</v>
      </c>
      <c r="AN127" s="60" t="e">
        <f ca="1">AVERAGE(OFFSET($AM$3,0,0,'Données projet'!$E$10+1,1))-AVERAGE(OFFSET($H$3,0,0,'Données projet'!$E$10+1,1))</f>
        <v>#N/A</v>
      </c>
      <c r="AO127" s="60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-1.0818439477588981E-13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357.083670644861</v>
      </c>
      <c r="BJ127" s="60">
        <f t="shared" si="92"/>
        <v>299.88885091109654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-3.694822225952521E-13</v>
      </c>
      <c r="BZ127" s="14">
        <f>BY127*VLOOKUP('Données projet'!$B$12,Paramètres!$A$1:$I$89,3,0)*VLOOKUP('Données projet'!$B$12,Paramètres!$A$1:$I$89,5,0)</f>
        <v>-1.7291768017457797E-13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245.98992992759543</v>
      </c>
      <c r="CE127" s="60">
        <f t="shared" si="94"/>
        <v>145.34368562171613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271.5897599999995</v>
      </c>
      <c r="CV127" s="14">
        <f t="shared" si="95"/>
        <v>65.186541118848012</v>
      </c>
      <c r="CW127" s="22">
        <f t="shared" si="67"/>
        <v>586.55205778199274</v>
      </c>
      <c r="CX127" s="60">
        <f t="shared" si="68"/>
        <v>879.885391115326</v>
      </c>
      <c r="CY127" s="60">
        <f ca="1">AVERAGE(OFFSET($CX$3,0,0,'Données projet'!$E$13+1,1))-AVERAGE(OFFSET($H$3,0,0,'Données projet'!$E$13+1,1))</f>
        <v>455.50822833641354</v>
      </c>
      <c r="CZ127" s="60">
        <f t="shared" si="96"/>
        <v>261.14722581688039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3.2</v>
      </c>
      <c r="DO127" s="13">
        <f>IF('Données projet'!$A$166&gt;35,DO126+DN127-DW126,IF(A127&lt;'Données projet'!$A$166,$DL$205^A127,IF(A127='Données projet'!$A$166,'Données projet'!$B$166,DO126+DN127-DW126)))</f>
        <v>280.79999999999944</v>
      </c>
      <c r="DP127" s="18">
        <f>DO127*VLOOKUP('Données projet'!$B$14,Paramètres!$A$1:$I$89,3,0)*VLOOKUP('Données projet'!$B$14,Paramètres!$A$1:$I$89,5,0)</f>
        <v>302.2531199999994</v>
      </c>
      <c r="DQ127" s="14">
        <f t="shared" si="97"/>
        <v>71.648598083211283</v>
      </c>
      <c r="DR127" s="22">
        <f t="shared" si="70"/>
        <v>651.21215899492529</v>
      </c>
      <c r="DS127" s="60">
        <f t="shared" si="71"/>
        <v>944.54549232825866</v>
      </c>
      <c r="DT127" s="60">
        <f ca="1">AVERAGE(OFFSET($DS$3,0,0,'Données projet'!$E$14+1,1))-AVERAGE(OFFSET($H$3,0,0,'Données projet'!$E$14+1,1))</f>
        <v>502.07782026233912</v>
      </c>
      <c r="DU127" s="60">
        <f t="shared" si="98"/>
        <v>285.83623046025156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3.2</v>
      </c>
      <c r="EJ127" s="13">
        <f>IF('Données projet'!$A$192&gt;35,EJ126+EI127-ER126,IF(A127&lt;'Données projet'!$A$192,$EG$205^A127,IF(A127='Données projet'!$A$192,'Données projet'!$B$192,EJ126+EI127-ER126)))</f>
        <v>280.79999999999944</v>
      </c>
      <c r="EK127" s="18">
        <f>EJ127*VLOOKUP('Données projet'!$B$15,Paramètres!$A$1:$I$89,3,0)*VLOOKUP('Données projet'!$B$15,Paramètres!$A$1:$I$89,5,0)</f>
        <v>254.06783999999948</v>
      </c>
      <c r="EL127" s="14">
        <f t="shared" si="99"/>
        <v>61.456187622750612</v>
      </c>
      <c r="EM127" s="22">
        <f t="shared" si="73"/>
        <v>549.53768144295634</v>
      </c>
      <c r="EN127" s="60">
        <f t="shared" si="74"/>
        <v>842.87101477628971</v>
      </c>
      <c r="EO127" s="60">
        <f ca="1">AVERAGE(OFFSET($EN$3,0,0,'Données projet'!$E$15+1,1))-AVERAGE(OFFSET($H$3,0,0,'Données projet'!$E$15+1,1))</f>
        <v>428.8489304403459</v>
      </c>
      <c r="EP127" s="60">
        <f t="shared" si="100"/>
        <v>247.01165577562966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 t="e">
        <f>N128*VLOOKUP('Données projet'!$B$9,Paramètres!$A$1:$I$89,3,0)*VLOOKUP('Données projet'!$B$9,Paramètres!$A$1:$I$89,5,0)</f>
        <v>#N/A</v>
      </c>
      <c r="P128" s="14" t="e">
        <f t="shared" si="87"/>
        <v>#N/A</v>
      </c>
      <c r="Q128" s="22" t="e">
        <f t="shared" si="107"/>
        <v>#N/A</v>
      </c>
      <c r="R128" s="60" t="e">
        <f t="shared" si="55"/>
        <v>#N/A</v>
      </c>
      <c r="S128" s="60" t="e">
        <f ca="1">AVERAGE(OFFSET($R$3,0,0,'Données projet'!$E$9+1,1))-AVERAGE(OFFSET($H$3,0,0,'Données projet'!$E$9+1,1))</f>
        <v>#N/A</v>
      </c>
      <c r="T128" s="60" t="e">
        <f t="shared" si="88"/>
        <v>#N/A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 t="e">
        <f>EXP(-LN(2)/35)*Z127+(1-EXP(-LN(2)/35))/(LN(2)/35)*V128*W128*VLOOKUP('Données projet'!$B$9,Paramètres!$A$1:$I$89,3,0)*0.475*44/12</f>
        <v>#N/A</v>
      </c>
      <c r="AA128" s="23" t="e">
        <f>EXP(-LN(2)/25)*AA127+(1-EXP(-LN(2)/25))/(LN(2)/25)*Calculateur!V128*Calculateur!X128*VLOOKUP('Données projet'!$B$9,Paramètres!$A$1:$I$89,3,0)*0.475*44/12</f>
        <v>#N/A</v>
      </c>
      <c r="AB128" s="23" t="e">
        <f>EXP(-LN(2)/2)*AB127+(1-EXP(-LN(2)/2))/(LN(2)/2)*V128*Y128*VLOOKUP('Données projet'!$B$9,Paramètres!$A$1:$I$89,3,0)*0.475*44/12</f>
        <v>#N/A</v>
      </c>
      <c r="AC128" s="24" t="e">
        <f t="shared" si="57"/>
        <v>#N/A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0" t="e">
        <f t="shared" si="59"/>
        <v>#N/A</v>
      </c>
      <c r="AN128" s="60" t="e">
        <f ca="1">AVERAGE(OFFSET($AM$3,0,0,'Données projet'!$E$10+1,1))-AVERAGE(OFFSET($H$3,0,0,'Données projet'!$E$10+1,1))</f>
        <v>#N/A</v>
      </c>
      <c r="AO128" s="60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-1.0818439477588981E-13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357.083670644861</v>
      </c>
      <c r="BJ128" s="60">
        <f t="shared" si="92"/>
        <v>299.88885091109654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-3.694822225952521E-13</v>
      </c>
      <c r="BZ128" s="14">
        <f>BY128*VLOOKUP('Données projet'!$B$12,Paramètres!$A$1:$I$89,3,0)*VLOOKUP('Données projet'!$B$12,Paramètres!$A$1:$I$89,5,0)</f>
        <v>-1.7291768017457797E-13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245.98992992759543</v>
      </c>
      <c r="CE128" s="60">
        <f t="shared" si="94"/>
        <v>145.34368562171613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274.68479999999943</v>
      </c>
      <c r="CV128" s="14">
        <f t="shared" si="95"/>
        <v>65.842504497456545</v>
      </c>
      <c r="CW128" s="22">
        <f t="shared" si="67"/>
        <v>593.08505533306914</v>
      </c>
      <c r="CX128" s="60">
        <f t="shared" si="68"/>
        <v>886.41838866640251</v>
      </c>
      <c r="CY128" s="60">
        <f ca="1">AVERAGE(OFFSET($CX$3,0,0,'Données projet'!$E$13+1,1))-AVERAGE(OFFSET($H$3,0,0,'Données projet'!$E$13+1,1))</f>
        <v>455.50822833641354</v>
      </c>
      <c r="CZ128" s="60">
        <f t="shared" si="96"/>
        <v>261.14722581688039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3.2</v>
      </c>
      <c r="DO128" s="13">
        <f>IF('Données projet'!$A$166&gt;35,DO127+DN128-DW127,IF(A128&lt;'Données projet'!$A$166,$DL$205^A128,IF(A128='Données projet'!$A$166,'Données projet'!$B$166,DO127+DN128-DW127)))</f>
        <v>283.99999999999943</v>
      </c>
      <c r="DP128" s="18">
        <f>DO128*VLOOKUP('Données projet'!$B$14,Paramètres!$A$1:$I$89,3,0)*VLOOKUP('Données projet'!$B$14,Paramètres!$A$1:$I$89,5,0)</f>
        <v>305.69759999999934</v>
      </c>
      <c r="DQ128" s="14">
        <f t="shared" si="97"/>
        <v>72.369588270212233</v>
      </c>
      <c r="DR128" s="22">
        <f t="shared" si="70"/>
        <v>658.46701957061839</v>
      </c>
      <c r="DS128" s="60">
        <f t="shared" si="71"/>
        <v>951.80035290395176</v>
      </c>
      <c r="DT128" s="60">
        <f ca="1">AVERAGE(OFFSET($DS$3,0,0,'Données projet'!$E$14+1,1))-AVERAGE(OFFSET($H$3,0,0,'Données projet'!$E$14+1,1))</f>
        <v>502.07782026233912</v>
      </c>
      <c r="DU128" s="60">
        <f t="shared" si="98"/>
        <v>285.83623046025156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3.2</v>
      </c>
      <c r="EJ128" s="13">
        <f>IF('Données projet'!$A$192&gt;35,EJ127+EI128-ER127,IF(A128&lt;'Données projet'!$A$192,$EG$205^A128,IF(A128='Données projet'!$A$192,'Données projet'!$B$192,EJ127+EI128-ER127)))</f>
        <v>283.99999999999943</v>
      </c>
      <c r="EK128" s="18">
        <f>EJ128*VLOOKUP('Données projet'!$B$15,Paramètres!$A$1:$I$89,3,0)*VLOOKUP('Données projet'!$B$15,Paramètres!$A$1:$I$89,5,0)</f>
        <v>256.96319999999946</v>
      </c>
      <c r="EL128" s="14">
        <f t="shared" si="99"/>
        <v>62.07461295683791</v>
      </c>
      <c r="EM128" s="22">
        <f t="shared" si="73"/>
        <v>555.65752423315837</v>
      </c>
      <c r="EN128" s="60">
        <f t="shared" si="74"/>
        <v>848.99085756649174</v>
      </c>
      <c r="EO128" s="60">
        <f ca="1">AVERAGE(OFFSET($EN$3,0,0,'Données projet'!$E$15+1,1))-AVERAGE(OFFSET($H$3,0,0,'Données projet'!$E$15+1,1))</f>
        <v>428.8489304403459</v>
      </c>
      <c r="EP128" s="60">
        <f t="shared" si="100"/>
        <v>247.01165577562966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 t="e">
        <f>N129*VLOOKUP('Données projet'!$B$9,Paramètres!$A$1:$I$89,3,0)*VLOOKUP('Données projet'!$B$9,Paramètres!$A$1:$I$89,5,0)</f>
        <v>#N/A</v>
      </c>
      <c r="P129" s="14" t="e">
        <f t="shared" si="87"/>
        <v>#N/A</v>
      </c>
      <c r="Q129" s="22" t="e">
        <f t="shared" si="107"/>
        <v>#N/A</v>
      </c>
      <c r="R129" s="60" t="e">
        <f t="shared" si="55"/>
        <v>#N/A</v>
      </c>
      <c r="S129" s="60" t="e">
        <f ca="1">AVERAGE(OFFSET($R$3,0,0,'Données projet'!$E$9+1,1))-AVERAGE(OFFSET($H$3,0,0,'Données projet'!$E$9+1,1))</f>
        <v>#N/A</v>
      </c>
      <c r="T129" s="60" t="e">
        <f t="shared" si="88"/>
        <v>#N/A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 t="e">
        <f>EXP(-LN(2)/35)*Z128+(1-EXP(-LN(2)/35))/(LN(2)/35)*V129*W129*VLOOKUP('Données projet'!$B$9,Paramètres!$A$1:$I$89,3,0)*0.475*44/12</f>
        <v>#N/A</v>
      </c>
      <c r="AA129" s="23" t="e">
        <f>EXP(-LN(2)/25)*AA128+(1-EXP(-LN(2)/25))/(LN(2)/25)*Calculateur!V129*Calculateur!X129*VLOOKUP('Données projet'!$B$9,Paramètres!$A$1:$I$89,3,0)*0.475*44/12</f>
        <v>#N/A</v>
      </c>
      <c r="AB129" s="23" t="e">
        <f>EXP(-LN(2)/2)*AB128+(1-EXP(-LN(2)/2))/(LN(2)/2)*V129*Y129*VLOOKUP('Données projet'!$B$9,Paramètres!$A$1:$I$89,3,0)*0.475*44/12</f>
        <v>#N/A</v>
      </c>
      <c r="AC129" s="24" t="e">
        <f t="shared" si="57"/>
        <v>#N/A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0" t="e">
        <f t="shared" si="59"/>
        <v>#N/A</v>
      </c>
      <c r="AN129" s="60" t="e">
        <f ca="1">AVERAGE(OFFSET($AM$3,0,0,'Données projet'!$E$10+1,1))-AVERAGE(OFFSET($H$3,0,0,'Données projet'!$E$10+1,1))</f>
        <v>#N/A</v>
      </c>
      <c r="AO129" s="60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-1.0818439477588981E-13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357.083670644861</v>
      </c>
      <c r="BJ129" s="60">
        <f t="shared" si="92"/>
        <v>299.88885091109654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-3.694822225952521E-13</v>
      </c>
      <c r="BZ129" s="14">
        <f>BY129*VLOOKUP('Données projet'!$B$12,Paramètres!$A$1:$I$89,3,0)*VLOOKUP('Données projet'!$B$12,Paramètres!$A$1:$I$89,5,0)</f>
        <v>-1.7291768017457797E-13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245.98992992759543</v>
      </c>
      <c r="CE129" s="60">
        <f t="shared" si="94"/>
        <v>145.34368562171613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277.77983999999947</v>
      </c>
      <c r="CV129" s="14">
        <f t="shared" si="95"/>
        <v>66.497608092453063</v>
      </c>
      <c r="CW129" s="22">
        <f t="shared" si="67"/>
        <v>599.61655542768813</v>
      </c>
      <c r="CX129" s="60">
        <f t="shared" si="68"/>
        <v>892.94988876102138</v>
      </c>
      <c r="CY129" s="60">
        <f ca="1">AVERAGE(OFFSET($CX$3,0,0,'Données projet'!$E$13+1,1))-AVERAGE(OFFSET($H$3,0,0,'Données projet'!$E$13+1,1))</f>
        <v>455.50822833641354</v>
      </c>
      <c r="CZ129" s="60">
        <f t="shared" si="96"/>
        <v>261.14722581688039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3.2</v>
      </c>
      <c r="DO129" s="13">
        <f>IF('Données projet'!$A$166&gt;35,DO128+DN129-DW128,IF(A129&lt;'Données projet'!$A$166,$DL$205^A129,IF(A129='Données projet'!$A$166,'Données projet'!$B$166,DO128+DN129-DW128)))</f>
        <v>287.19999999999942</v>
      </c>
      <c r="DP129" s="18">
        <f>DO129*VLOOKUP('Données projet'!$B$14,Paramètres!$A$1:$I$89,3,0)*VLOOKUP('Données projet'!$B$14,Paramètres!$A$1:$I$89,5,0)</f>
        <v>309.14207999999934</v>
      </c>
      <c r="DQ129" s="14">
        <f t="shared" si="97"/>
        <v>73.089633441733085</v>
      </c>
      <c r="DR129" s="22">
        <f t="shared" si="70"/>
        <v>665.72023424435065</v>
      </c>
      <c r="DS129" s="60">
        <f t="shared" si="71"/>
        <v>959.05356757768391</v>
      </c>
      <c r="DT129" s="60">
        <f ca="1">AVERAGE(OFFSET($DS$3,0,0,'Données projet'!$E$14+1,1))-AVERAGE(OFFSET($H$3,0,0,'Données projet'!$E$14+1,1))</f>
        <v>502.07782026233912</v>
      </c>
      <c r="DU129" s="60">
        <f t="shared" si="98"/>
        <v>285.83623046025156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3.2</v>
      </c>
      <c r="EJ129" s="13">
        <f>IF('Données projet'!$A$192&gt;35,EJ128+EI129-ER128,IF(A129&lt;'Données projet'!$A$192,$EG$205^A129,IF(A129='Données projet'!$A$192,'Données projet'!$B$192,EJ128+EI129-ER128)))</f>
        <v>287.19999999999942</v>
      </c>
      <c r="EK129" s="18">
        <f>EJ129*VLOOKUP('Données projet'!$B$15,Paramètres!$A$1:$I$89,3,0)*VLOOKUP('Données projet'!$B$15,Paramètres!$A$1:$I$89,5,0)</f>
        <v>259.85855999999944</v>
      </c>
      <c r="EL129" s="14">
        <f t="shared" si="99"/>
        <v>62.692227709138365</v>
      </c>
      <c r="EM129" s="22">
        <f t="shared" si="73"/>
        <v>561.77595526008167</v>
      </c>
      <c r="EN129" s="60">
        <f t="shared" si="74"/>
        <v>855.10928859341493</v>
      </c>
      <c r="EO129" s="60">
        <f ca="1">AVERAGE(OFFSET($EN$3,0,0,'Données projet'!$E$15+1,1))-AVERAGE(OFFSET($H$3,0,0,'Données projet'!$E$15+1,1))</f>
        <v>428.8489304403459</v>
      </c>
      <c r="EP129" s="60">
        <f t="shared" si="100"/>
        <v>247.01165577562966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 t="e">
        <f>N130*VLOOKUP('Données projet'!$B$9,Paramètres!$A$1:$I$89,3,0)*VLOOKUP('Données projet'!$B$9,Paramètres!$A$1:$I$89,5,0)</f>
        <v>#N/A</v>
      </c>
      <c r="P130" s="14" t="e">
        <f t="shared" si="87"/>
        <v>#N/A</v>
      </c>
      <c r="Q130" s="22" t="e">
        <f t="shared" si="107"/>
        <v>#N/A</v>
      </c>
      <c r="R130" s="60" t="e">
        <f t="shared" si="55"/>
        <v>#N/A</v>
      </c>
      <c r="S130" s="60" t="e">
        <f ca="1">AVERAGE(OFFSET($R$3,0,0,'Données projet'!$E$9+1,1))-AVERAGE(OFFSET($H$3,0,0,'Données projet'!$E$9+1,1))</f>
        <v>#N/A</v>
      </c>
      <c r="T130" s="60" t="e">
        <f t="shared" si="88"/>
        <v>#N/A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 t="e">
        <f>EXP(-LN(2)/35)*Z129+(1-EXP(-LN(2)/35))/(LN(2)/35)*V130*W130*VLOOKUP('Données projet'!$B$9,Paramètres!$A$1:$I$89,3,0)*0.475*44/12</f>
        <v>#N/A</v>
      </c>
      <c r="AA130" s="23" t="e">
        <f>EXP(-LN(2)/25)*AA129+(1-EXP(-LN(2)/25))/(LN(2)/25)*Calculateur!V130*Calculateur!X130*VLOOKUP('Données projet'!$B$9,Paramètres!$A$1:$I$89,3,0)*0.475*44/12</f>
        <v>#N/A</v>
      </c>
      <c r="AB130" s="23" t="e">
        <f>EXP(-LN(2)/2)*AB129+(1-EXP(-LN(2)/2))/(LN(2)/2)*V130*Y130*VLOOKUP('Données projet'!$B$9,Paramètres!$A$1:$I$89,3,0)*0.475*44/12</f>
        <v>#N/A</v>
      </c>
      <c r="AC130" s="24" t="e">
        <f t="shared" si="57"/>
        <v>#N/A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0" t="e">
        <f t="shared" si="59"/>
        <v>#N/A</v>
      </c>
      <c r="AN130" s="60" t="e">
        <f ca="1">AVERAGE(OFFSET($AM$3,0,0,'Données projet'!$E$10+1,1))-AVERAGE(OFFSET($H$3,0,0,'Données projet'!$E$10+1,1))</f>
        <v>#N/A</v>
      </c>
      <c r="AO130" s="60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-1.0818439477588981E-13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357.083670644861</v>
      </c>
      <c r="BJ130" s="60">
        <f t="shared" si="92"/>
        <v>299.88885091109654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-3.694822225952521E-13</v>
      </c>
      <c r="BZ130" s="14">
        <f>BY130*VLOOKUP('Données projet'!$B$12,Paramètres!$A$1:$I$89,3,0)*VLOOKUP('Données projet'!$B$12,Paramètres!$A$1:$I$89,5,0)</f>
        <v>-1.7291768017457797E-13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245.98992992759543</v>
      </c>
      <c r="CE130" s="60">
        <f t="shared" si="94"/>
        <v>145.34368562171613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280.87487999999945</v>
      </c>
      <c r="CV130" s="14">
        <f t="shared" si="95"/>
        <v>67.151862592195727</v>
      </c>
      <c r="CW130" s="22">
        <f t="shared" si="67"/>
        <v>606.1465766814066</v>
      </c>
      <c r="CX130" s="60">
        <f t="shared" si="68"/>
        <v>899.47991001473997</v>
      </c>
      <c r="CY130" s="60">
        <f ca="1">AVERAGE(OFFSET($CX$3,0,0,'Données projet'!$E$13+1,1))-AVERAGE(OFFSET($H$3,0,0,'Données projet'!$E$13+1,1))</f>
        <v>455.50822833641354</v>
      </c>
      <c r="CZ130" s="60">
        <f t="shared" si="96"/>
        <v>261.14722581688039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3.2</v>
      </c>
      <c r="DO130" s="13">
        <f>IF('Données projet'!$A$166&gt;35,DO129+DN130-DW129,IF(A130&lt;'Données projet'!$A$166,$DL$205^A130,IF(A130='Données projet'!$A$166,'Données projet'!$B$166,DO129+DN130-DW129)))</f>
        <v>290.39999999999941</v>
      </c>
      <c r="DP130" s="18">
        <f>DO130*VLOOKUP('Données projet'!$B$14,Paramètres!$A$1:$I$89,3,0)*VLOOKUP('Données projet'!$B$14,Paramètres!$A$1:$I$89,5,0)</f>
        <v>312.58655999999934</v>
      </c>
      <c r="DQ130" s="14">
        <f t="shared" si="97"/>
        <v>73.808745345687839</v>
      </c>
      <c r="DR130" s="22">
        <f t="shared" si="70"/>
        <v>672.97182347707178</v>
      </c>
      <c r="DS130" s="60">
        <f t="shared" si="71"/>
        <v>966.30515681040515</v>
      </c>
      <c r="DT130" s="60">
        <f ca="1">AVERAGE(OFFSET($DS$3,0,0,'Données projet'!$E$14+1,1))-AVERAGE(OFFSET($H$3,0,0,'Données projet'!$E$14+1,1))</f>
        <v>502.07782026233912</v>
      </c>
      <c r="DU130" s="60">
        <f t="shared" si="98"/>
        <v>285.83623046025156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3.2</v>
      </c>
      <c r="EJ130" s="13">
        <f>IF('Données projet'!$A$192&gt;35,EJ129+EI130-ER129,IF(A130&lt;'Données projet'!$A$192,$EG$205^A130,IF(A130='Données projet'!$A$192,'Données projet'!$B$192,EJ129+EI130-ER129)))</f>
        <v>290.39999999999941</v>
      </c>
      <c r="EK130" s="18">
        <f>EJ130*VLOOKUP('Données projet'!$B$15,Paramètres!$A$1:$I$89,3,0)*VLOOKUP('Données projet'!$B$15,Paramètres!$A$1:$I$89,5,0)</f>
        <v>262.75391999999948</v>
      </c>
      <c r="EL130" s="14">
        <f t="shared" si="99"/>
        <v>63.309041956360211</v>
      </c>
      <c r="EM130" s="22">
        <f t="shared" si="73"/>
        <v>567.89299207399313</v>
      </c>
      <c r="EN130" s="60">
        <f t="shared" si="74"/>
        <v>861.22632540732639</v>
      </c>
      <c r="EO130" s="60">
        <f ca="1">AVERAGE(OFFSET($EN$3,0,0,'Données projet'!$E$15+1,1))-AVERAGE(OFFSET($H$3,0,0,'Données projet'!$E$15+1,1))</f>
        <v>428.8489304403459</v>
      </c>
      <c r="EP130" s="60">
        <f t="shared" si="100"/>
        <v>247.01165577562966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 t="e">
        <f>N131*VLOOKUP('Données projet'!$B$9,Paramètres!$A$1:$I$89,3,0)*VLOOKUP('Données projet'!$B$9,Paramètres!$A$1:$I$89,5,0)</f>
        <v>#N/A</v>
      </c>
      <c r="P131" s="14" t="e">
        <f t="shared" si="87"/>
        <v>#N/A</v>
      </c>
      <c r="Q131" s="22" t="e">
        <f t="shared" ref="Q131:Q153" si="108">(O131+P131)*0.475*44/12</f>
        <v>#N/A</v>
      </c>
      <c r="R131" s="60" t="e">
        <f t="shared" ref="R131:R194" si="109">Q131+(I131+J131)*44/12</f>
        <v>#N/A</v>
      </c>
      <c r="S131" s="60" t="e">
        <f ca="1">AVERAGE(OFFSET($R$3,0,0,'Données projet'!$E$9+1,1))-AVERAGE(OFFSET($H$3,0,0,'Données projet'!$E$9+1,1))</f>
        <v>#N/A</v>
      </c>
      <c r="T131" s="60" t="e">
        <f t="shared" si="88"/>
        <v>#N/A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 t="e">
        <f>EXP(-LN(2)/35)*Z130+(1-EXP(-LN(2)/35))/(LN(2)/35)*V131*W131*VLOOKUP('Données projet'!$B$9,Paramètres!$A$1:$I$89,3,0)*0.475*44/12</f>
        <v>#N/A</v>
      </c>
      <c r="AA131" s="23" t="e">
        <f>EXP(-LN(2)/25)*AA130+(1-EXP(-LN(2)/25))/(LN(2)/25)*Calculateur!V131*Calculateur!X131*VLOOKUP('Données projet'!$B$9,Paramètres!$A$1:$I$89,3,0)*0.475*44/12</f>
        <v>#N/A</v>
      </c>
      <c r="AB131" s="23" t="e">
        <f>EXP(-LN(2)/2)*AB130+(1-EXP(-LN(2)/2))/(LN(2)/2)*V131*Y131*VLOOKUP('Données projet'!$B$9,Paramètres!$A$1:$I$89,3,0)*0.475*44/12</f>
        <v>#N/A</v>
      </c>
      <c r="AC131" s="24" t="e">
        <f t="shared" si="57"/>
        <v>#N/A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0" t="e">
        <f t="shared" si="59"/>
        <v>#N/A</v>
      </c>
      <c r="AN131" s="60" t="e">
        <f ca="1">AVERAGE(OFFSET($AM$3,0,0,'Données projet'!$E$10+1,1))-AVERAGE(OFFSET($H$3,0,0,'Données projet'!$E$10+1,1))</f>
        <v>#N/A</v>
      </c>
      <c r="AO131" s="60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-1.0818439477588981E-13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357.083670644861</v>
      </c>
      <c r="BJ131" s="60">
        <f t="shared" si="92"/>
        <v>299.88885091109654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-3.694822225952521E-13</v>
      </c>
      <c r="BZ131" s="14">
        <f>BY131*VLOOKUP('Données projet'!$B$12,Paramètres!$A$1:$I$89,3,0)*VLOOKUP('Données projet'!$B$12,Paramètres!$A$1:$I$89,5,0)</f>
        <v>-1.7291768017457797E-13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245.98992992759543</v>
      </c>
      <c r="CE131" s="60">
        <f t="shared" si="94"/>
        <v>145.34368562171613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283.96991999999943</v>
      </c>
      <c r="CV131" s="14">
        <f t="shared" si="95"/>
        <v>67.805278435922148</v>
      </c>
      <c r="CW131" s="22">
        <f t="shared" si="67"/>
        <v>612.67513727589676</v>
      </c>
      <c r="CX131" s="60">
        <f t="shared" si="68"/>
        <v>906.00847060923002</v>
      </c>
      <c r="CY131" s="60">
        <f ca="1">AVERAGE(OFFSET($CX$3,0,0,'Données projet'!$E$13+1,1))-AVERAGE(OFFSET($H$3,0,0,'Données projet'!$E$13+1,1))</f>
        <v>455.50822833641354</v>
      </c>
      <c r="CZ131" s="60">
        <f t="shared" si="96"/>
        <v>261.14722581688039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3.2</v>
      </c>
      <c r="DO131" s="13">
        <f>IF('Données projet'!$A$166&gt;35,DO130+DN131-DW130,IF(A131&lt;'Données projet'!$A$166,$DL$205^A131,IF(A131='Données projet'!$A$166,'Données projet'!$B$166,DO130+DN131-DW130)))</f>
        <v>293.5999999999994</v>
      </c>
      <c r="DP131" s="18">
        <f>DO131*VLOOKUP('Données projet'!$B$14,Paramètres!$A$1:$I$89,3,0)*VLOOKUP('Données projet'!$B$14,Paramètres!$A$1:$I$89,5,0)</f>
        <v>316.03103999999934</v>
      </c>
      <c r="DQ131" s="14">
        <f t="shared" si="97"/>
        <v>74.526935456174002</v>
      </c>
      <c r="DR131" s="22">
        <f t="shared" si="70"/>
        <v>680.22180725283522</v>
      </c>
      <c r="DS131" s="60">
        <f t="shared" si="71"/>
        <v>973.55514058616859</v>
      </c>
      <c r="DT131" s="60">
        <f ca="1">AVERAGE(OFFSET($DS$3,0,0,'Données projet'!$E$14+1,1))-AVERAGE(OFFSET($H$3,0,0,'Données projet'!$E$14+1,1))</f>
        <v>502.07782026233912</v>
      </c>
      <c r="DU131" s="60">
        <f t="shared" si="98"/>
        <v>285.83623046025156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3.2</v>
      </c>
      <c r="EJ131" s="13">
        <f>IF('Données projet'!$A$192&gt;35,EJ130+EI131-ER130,IF(A131&lt;'Données projet'!$A$192,$EG$205^A131,IF(A131='Données projet'!$A$192,'Données projet'!$B$192,EJ130+EI131-ER130)))</f>
        <v>293.5999999999994</v>
      </c>
      <c r="EK131" s="18">
        <f>EJ131*VLOOKUP('Données projet'!$B$15,Paramètres!$A$1:$I$89,3,0)*VLOOKUP('Données projet'!$B$15,Paramètres!$A$1:$I$89,5,0)</f>
        <v>265.64927999999946</v>
      </c>
      <c r="EL131" s="14">
        <f t="shared" si="99"/>
        <v>63.925065540346907</v>
      </c>
      <c r="EM131" s="22">
        <f t="shared" si="73"/>
        <v>574.00865181610322</v>
      </c>
      <c r="EN131" s="60">
        <f t="shared" si="74"/>
        <v>867.3419851494366</v>
      </c>
      <c r="EO131" s="60">
        <f ca="1">AVERAGE(OFFSET($EN$3,0,0,'Données projet'!$E$15+1,1))-AVERAGE(OFFSET($H$3,0,0,'Données projet'!$E$15+1,1))</f>
        <v>428.8489304403459</v>
      </c>
      <c r="EP131" s="60">
        <f t="shared" si="100"/>
        <v>247.01165577562966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 t="e">
        <f>N132*VLOOKUP('Données projet'!$B$9,Paramètres!$A$1:$I$89,3,0)*VLOOKUP('Données projet'!$B$9,Paramètres!$A$1:$I$89,5,0)</f>
        <v>#N/A</v>
      </c>
      <c r="P132" s="14" t="e">
        <f t="shared" si="87"/>
        <v>#N/A</v>
      </c>
      <c r="Q132" s="22" t="e">
        <f t="shared" si="108"/>
        <v>#N/A</v>
      </c>
      <c r="R132" s="60" t="e">
        <f t="shared" si="109"/>
        <v>#N/A</v>
      </c>
      <c r="S132" s="60" t="e">
        <f ca="1">AVERAGE(OFFSET($R$3,0,0,'Données projet'!$E$9+1,1))-AVERAGE(OFFSET($H$3,0,0,'Données projet'!$E$9+1,1))</f>
        <v>#N/A</v>
      </c>
      <c r="T132" s="60" t="e">
        <f t="shared" si="88"/>
        <v>#N/A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 t="e">
        <f>EXP(-LN(2)/35)*Z131+(1-EXP(-LN(2)/35))/(LN(2)/35)*V132*W132*VLOOKUP('Données projet'!$B$9,Paramètres!$A$1:$I$89,3,0)*0.475*44/12</f>
        <v>#N/A</v>
      </c>
      <c r="AA132" s="23" t="e">
        <f>EXP(-LN(2)/25)*AA131+(1-EXP(-LN(2)/25))/(LN(2)/25)*Calculateur!V132*Calculateur!X132*VLOOKUP('Données projet'!$B$9,Paramètres!$A$1:$I$89,3,0)*0.475*44/12</f>
        <v>#N/A</v>
      </c>
      <c r="AB132" s="23" t="e">
        <f>EXP(-LN(2)/2)*AB131+(1-EXP(-LN(2)/2))/(LN(2)/2)*V132*Y132*VLOOKUP('Données projet'!$B$9,Paramètres!$A$1:$I$89,3,0)*0.475*44/12</f>
        <v>#N/A</v>
      </c>
      <c r="AC132" s="24" t="e">
        <f t="shared" ref="AC132:AC153" si="111">SUM(Z132:AB132)</f>
        <v>#N/A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0" t="e">
        <f t="shared" ref="AM132:AM195" si="113">AL132+(AD132+AE132)*44/12</f>
        <v>#N/A</v>
      </c>
      <c r="AN132" s="60" t="e">
        <f ca="1">AVERAGE(OFFSET($AM$3,0,0,'Données projet'!$E$10+1,1))-AVERAGE(OFFSET($H$3,0,0,'Données projet'!$E$10+1,1))</f>
        <v>#N/A</v>
      </c>
      <c r="AO132" s="60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-1.0818439477588981E-13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357.083670644861</v>
      </c>
      <c r="BJ132" s="60">
        <f t="shared" si="92"/>
        <v>299.88885091109654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-3.694822225952521E-13</v>
      </c>
      <c r="BZ132" s="14">
        <f>BY132*VLOOKUP('Données projet'!$B$12,Paramètres!$A$1:$I$89,3,0)*VLOOKUP('Données projet'!$B$12,Paramètres!$A$1:$I$89,5,0)</f>
        <v>-1.7291768017457797E-13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245.98992992759543</v>
      </c>
      <c r="CE132" s="60">
        <f t="shared" si="94"/>
        <v>145.34368562171613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287.06495999999942</v>
      </c>
      <c r="CV132" s="14">
        <f t="shared" si="95"/>
        <v>68.457865822206202</v>
      </c>
      <c r="CW132" s="22">
        <f t="shared" ref="CW132:CW153" si="121">(CU132+CV132)*0.475*44/12</f>
        <v>619.20225497367471</v>
      </c>
      <c r="CX132" s="60">
        <f t="shared" ref="CX132:CX195" si="122">CW132+(CO132+CP132)*44/12</f>
        <v>912.53558830700808</v>
      </c>
      <c r="CY132" s="60">
        <f ca="1">AVERAGE(OFFSET($CX$3,0,0,'Données projet'!$E$13+1,1))-AVERAGE(OFFSET($H$3,0,0,'Données projet'!$E$13+1,1))</f>
        <v>455.50822833641354</v>
      </c>
      <c r="CZ132" s="60">
        <f t="shared" si="96"/>
        <v>261.14722581688039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3.2</v>
      </c>
      <c r="DO132" s="13">
        <f>IF('Données projet'!$A$166&gt;35,DO131+DN132-DW131,IF(A132&lt;'Données projet'!$A$166,$DL$205^A132,IF(A132='Données projet'!$A$166,'Données projet'!$B$166,DO131+DN132-DW131)))</f>
        <v>296.79999999999939</v>
      </c>
      <c r="DP132" s="18">
        <f>DO132*VLOOKUP('Données projet'!$B$14,Paramètres!$A$1:$I$89,3,0)*VLOOKUP('Données projet'!$B$14,Paramètres!$A$1:$I$89,5,0)</f>
        <v>319.47551999999928</v>
      </c>
      <c r="DQ132" s="14">
        <f t="shared" si="97"/>
        <v>75.244214982768113</v>
      </c>
      <c r="DR132" s="22">
        <f t="shared" ref="DR132:DR153" si="124">(DP132+DQ132)*0.475*44/12</f>
        <v>687.47020509498645</v>
      </c>
      <c r="DS132" s="60">
        <f t="shared" ref="DS132:DS195" si="125">DR132+(DJ132+DK132)*44/12</f>
        <v>980.80353842831983</v>
      </c>
      <c r="DT132" s="60">
        <f ca="1">AVERAGE(OFFSET($DS$3,0,0,'Données projet'!$E$14+1,1))-AVERAGE(OFFSET($H$3,0,0,'Données projet'!$E$14+1,1))</f>
        <v>502.07782026233912</v>
      </c>
      <c r="DU132" s="60">
        <f t="shared" si="98"/>
        <v>285.83623046025156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3.2</v>
      </c>
      <c r="EJ132" s="13">
        <f>IF('Données projet'!$A$192&gt;35,EJ131+EI132-ER131,IF(A132&lt;'Données projet'!$A$192,$EG$205^A132,IF(A132='Données projet'!$A$192,'Données projet'!$B$192,EJ131+EI132-ER131)))</f>
        <v>296.79999999999939</v>
      </c>
      <c r="EK132" s="18">
        <f>EJ132*VLOOKUP('Données projet'!$B$15,Paramètres!$A$1:$I$89,3,0)*VLOOKUP('Données projet'!$B$15,Paramètres!$A$1:$I$89,5,0)</f>
        <v>268.54463999999945</v>
      </c>
      <c r="EL132" s="14">
        <f t="shared" si="99"/>
        <v>64.540308076050593</v>
      </c>
      <c r="EM132" s="22">
        <f t="shared" ref="EM132:EM153" si="127">(EK132+EL132)*0.475*44/12</f>
        <v>580.12295123245383</v>
      </c>
      <c r="EN132" s="60">
        <f t="shared" ref="EN132:EN195" si="128">EM132+(EE132+EF132)*44/12</f>
        <v>873.4562845657872</v>
      </c>
      <c r="EO132" s="60">
        <f ca="1">AVERAGE(OFFSET($EN$3,0,0,'Données projet'!$E$15+1,1))-AVERAGE(OFFSET($H$3,0,0,'Données projet'!$E$15+1,1))</f>
        <v>428.8489304403459</v>
      </c>
      <c r="EP132" s="60">
        <f t="shared" si="100"/>
        <v>247.01165577562966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 t="e">
        <f>N133*VLOOKUP('Données projet'!$B$9,Paramètres!$A$1:$I$89,3,0)*VLOOKUP('Données projet'!$B$9,Paramètres!$A$1:$I$89,5,0)</f>
        <v>#N/A</v>
      </c>
      <c r="P133" s="14" t="e">
        <f t="shared" ref="P133:P196" si="141">EXP(-1.0587+0.8836*LN(O133)+0.284)</f>
        <v>#N/A</v>
      </c>
      <c r="Q133" s="22" t="e">
        <f t="shared" si="108"/>
        <v>#N/A</v>
      </c>
      <c r="R133" s="60" t="e">
        <f t="shared" si="109"/>
        <v>#N/A</v>
      </c>
      <c r="S133" s="60" t="e">
        <f ca="1">AVERAGE(OFFSET($R$3,0,0,'Données projet'!$E$9+1,1))-AVERAGE(OFFSET($H$3,0,0,'Données projet'!$E$9+1,1))</f>
        <v>#N/A</v>
      </c>
      <c r="T133" s="60" t="e">
        <f t="shared" ref="T133:T196" si="142">$T$3</f>
        <v>#N/A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 t="e">
        <f>EXP(-LN(2)/35)*Z132+(1-EXP(-LN(2)/35))/(LN(2)/35)*V133*W133*VLOOKUP('Données projet'!$B$9,Paramètres!$A$1:$I$89,3,0)*0.475*44/12</f>
        <v>#N/A</v>
      </c>
      <c r="AA133" s="23" t="e">
        <f>EXP(-LN(2)/25)*AA132+(1-EXP(-LN(2)/25))/(LN(2)/25)*Calculateur!V133*Calculateur!X133*VLOOKUP('Données projet'!$B$9,Paramètres!$A$1:$I$89,3,0)*0.475*44/12</f>
        <v>#N/A</v>
      </c>
      <c r="AB133" s="23" t="e">
        <f>EXP(-LN(2)/2)*AB132+(1-EXP(-LN(2)/2))/(LN(2)/2)*V133*Y133*VLOOKUP('Données projet'!$B$9,Paramètres!$A$1:$I$89,3,0)*0.475*44/12</f>
        <v>#N/A</v>
      </c>
      <c r="AC133" s="24" t="e">
        <f t="shared" si="111"/>
        <v>#N/A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0" t="e">
        <f t="shared" si="113"/>
        <v>#N/A</v>
      </c>
      <c r="AN133" s="60" t="e">
        <f ca="1">AVERAGE(OFFSET($AM$3,0,0,'Données projet'!$E$10+1,1))-AVERAGE(OFFSET($H$3,0,0,'Données projet'!$E$10+1,1))</f>
        <v>#N/A</v>
      </c>
      <c r="AO133" s="60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-1.0818439477588981E-13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357.083670644861</v>
      </c>
      <c r="BJ133" s="60">
        <f t="shared" ref="BJ133:BJ196" si="146">$BJ$3</f>
        <v>299.88885091109654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-3.694822225952521E-13</v>
      </c>
      <c r="BZ133" s="14">
        <f>BY133*VLOOKUP('Données projet'!$B$12,Paramètres!$A$1:$I$89,3,0)*VLOOKUP('Données projet'!$B$12,Paramètres!$A$1:$I$89,5,0)</f>
        <v>-1.7291768017457797E-13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245.98992992759543</v>
      </c>
      <c r="CE133" s="60">
        <f t="shared" ref="CE133:CE196" si="148">$CE$3</f>
        <v>145.34368562171613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290.1599999999994</v>
      </c>
      <c r="CV133" s="14">
        <f t="shared" ref="CV133:CV153" si="149">EXP(-1.0587+0.8836*LN(CU133)+0.284)</f>
        <v>69.10963471703981</v>
      </c>
      <c r="CW133" s="22">
        <f t="shared" si="121"/>
        <v>625.72794713217661</v>
      </c>
      <c r="CX133" s="60">
        <f t="shared" si="122"/>
        <v>919.06128046550998</v>
      </c>
      <c r="CY133" s="60">
        <f ca="1">AVERAGE(OFFSET($CX$3,0,0,'Données projet'!$E$13+1,1))-AVERAGE(OFFSET($H$3,0,0,'Données projet'!$E$13+1,1))</f>
        <v>455.50822833641354</v>
      </c>
      <c r="CZ133" s="60">
        <f t="shared" ref="CZ133:CZ196" si="150">$CZ$3</f>
        <v>261.14722581688039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300</v>
      </c>
      <c r="DM133" s="13">
        <f>VLOOKUP(A133,'Données projet'!$A$165:$I$185,9,0)</f>
        <v>3.2</v>
      </c>
      <c r="DN133" s="13">
        <f t="array" ref="DN133">INDEX(DM:DM,MIN(IF(ISNUMBER(DM133:DM329),ROW(DM133:DM329),"")))</f>
        <v>3.2</v>
      </c>
      <c r="DO133" s="13">
        <f>IF('Données projet'!$A$166&gt;35,DO132+DN133-DW132,IF(A133&lt;'Données projet'!$A$166,$DL$205^A133,IF(A133='Données projet'!$A$166,'Données projet'!$B$166,DO132+DN133-DW132)))</f>
        <v>299.99999999999937</v>
      </c>
      <c r="DP133" s="18">
        <f>DO133*VLOOKUP('Données projet'!$B$14,Paramètres!$A$1:$I$89,3,0)*VLOOKUP('Données projet'!$B$14,Paramètres!$A$1:$I$89,5,0)</f>
        <v>322.91999999999928</v>
      </c>
      <c r="DQ133" s="14">
        <f t="shared" ref="DQ133:DQ153" si="151">EXP(-1.0587+0.8836*LN(DP133)+0.284)</f>
        <v>75.960594879408617</v>
      </c>
      <c r="DR133" s="22">
        <f t="shared" si="124"/>
        <v>694.71703608163534</v>
      </c>
      <c r="DS133" s="60">
        <f t="shared" si="125"/>
        <v>988.0503694149686</v>
      </c>
      <c r="DT133" s="60">
        <f ca="1">AVERAGE(OFFSET($DS$3,0,0,'Données projet'!$E$14+1,1))-AVERAGE(OFFSET($H$3,0,0,'Données projet'!$E$14+1,1))</f>
        <v>502.07782026233912</v>
      </c>
      <c r="DU133" s="60">
        <f t="shared" ref="DU133:DU196" si="152">$DU$3</f>
        <v>285.83623046025156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300</v>
      </c>
      <c r="EH133" s="13">
        <f>VLOOKUP(A133,'Données projet'!$A$191:$I$211,9,0)</f>
        <v>3.2</v>
      </c>
      <c r="EI133" s="13">
        <f t="array" ref="EI133">INDEX(EH:EH,MIN(IF(ISNUMBER(EH133:EH329),ROW(EH133:EH329),"")))</f>
        <v>3.2</v>
      </c>
      <c r="EJ133" s="13">
        <f>IF('Données projet'!$A$192&gt;35,EJ132+EI133-ER132,IF(A133&lt;'Données projet'!$A$192,$EG$205^A133,IF(A133='Données projet'!$A$192,'Données projet'!$B$192,EJ132+EI133-ER132)))</f>
        <v>299.99999999999937</v>
      </c>
      <c r="EK133" s="18">
        <f>EJ133*VLOOKUP('Données projet'!$B$15,Paramètres!$A$1:$I$89,3,0)*VLOOKUP('Données projet'!$B$15,Paramètres!$A$1:$I$89,5,0)</f>
        <v>271.43999999999943</v>
      </c>
      <c r="EL133" s="14">
        <f t="shared" ref="EL133:EL153" si="153">EXP(-1.0587+0.8836*LN(EK133)+0.284)</f>
        <v>65.154778959151116</v>
      </c>
      <c r="EM133" s="22">
        <f t="shared" si="127"/>
        <v>586.23590668718714</v>
      </c>
      <c r="EN133" s="60">
        <f t="shared" si="128"/>
        <v>879.56924002052051</v>
      </c>
      <c r="EO133" s="60">
        <f ca="1">AVERAGE(OFFSET($EN$3,0,0,'Données projet'!$E$15+1,1))-AVERAGE(OFFSET($H$3,0,0,'Données projet'!$E$15+1,1))</f>
        <v>428.8489304403459</v>
      </c>
      <c r="EP133" s="60">
        <f t="shared" ref="EP133:EP196" si="154">$EP$3</f>
        <v>247.01165577562966</v>
      </c>
      <c r="EQ133" s="16">
        <f>IF(ISNA(VLOOKUP(A133,'Données projet'!$A$191:$I$211,3,0)),0,VLOOKUP(A133,'Données projet'!$A$191:$I$211,3,0))</f>
        <v>11</v>
      </c>
      <c r="ER133" s="16">
        <f>IF(ISNA(VLOOKUP(A133,'Données projet'!$A$191:$I$211,4,0)),0,VLOOKUP(A133,'Données projet'!$A$191:$I$211,4,0))</f>
        <v>31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 t="e">
        <f>N134*VLOOKUP('Données projet'!$B$9,Paramètres!$A$1:$I$89,3,0)*VLOOKUP('Données projet'!$B$9,Paramètres!$A$1:$I$89,5,0)</f>
        <v>#N/A</v>
      </c>
      <c r="P134" s="14" t="e">
        <f t="shared" si="141"/>
        <v>#N/A</v>
      </c>
      <c r="Q134" s="22" t="e">
        <f t="shared" si="108"/>
        <v>#N/A</v>
      </c>
      <c r="R134" s="60" t="e">
        <f t="shared" si="109"/>
        <v>#N/A</v>
      </c>
      <c r="S134" s="60" t="e">
        <f ca="1">AVERAGE(OFFSET($R$3,0,0,'Données projet'!$E$9+1,1))-AVERAGE(OFFSET($H$3,0,0,'Données projet'!$E$9+1,1))</f>
        <v>#N/A</v>
      </c>
      <c r="T134" s="60" t="e">
        <f t="shared" si="142"/>
        <v>#N/A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 t="e">
        <f>EXP(-LN(2)/35)*Z133+(1-EXP(-LN(2)/35))/(LN(2)/35)*V134*W134*VLOOKUP('Données projet'!$B$9,Paramètres!$A$1:$I$89,3,0)*0.475*44/12</f>
        <v>#N/A</v>
      </c>
      <c r="AA134" s="23" t="e">
        <f>EXP(-LN(2)/25)*AA133+(1-EXP(-LN(2)/25))/(LN(2)/25)*Calculateur!V134*Calculateur!X134*VLOOKUP('Données projet'!$B$9,Paramètres!$A$1:$I$89,3,0)*0.475*44/12</f>
        <v>#N/A</v>
      </c>
      <c r="AB134" s="23" t="e">
        <f>EXP(-LN(2)/2)*AB133+(1-EXP(-LN(2)/2))/(LN(2)/2)*V134*Y134*VLOOKUP('Données projet'!$B$9,Paramètres!$A$1:$I$89,3,0)*0.475*44/12</f>
        <v>#N/A</v>
      </c>
      <c r="AC134" s="24" t="e">
        <f t="shared" si="111"/>
        <v>#N/A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0" t="e">
        <f t="shared" si="113"/>
        <v>#N/A</v>
      </c>
      <c r="AN134" s="60" t="e">
        <f ca="1">AVERAGE(OFFSET($AM$3,0,0,'Données projet'!$E$10+1,1))-AVERAGE(OFFSET($H$3,0,0,'Données projet'!$E$10+1,1))</f>
        <v>#N/A</v>
      </c>
      <c r="AO134" s="60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-1.0818439477588981E-13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357.083670644861</v>
      </c>
      <c r="BJ134" s="60">
        <f t="shared" si="146"/>
        <v>299.88885091109654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-3.694822225952521E-13</v>
      </c>
      <c r="BZ134" s="14">
        <f>BY134*VLOOKUP('Données projet'!$B$12,Paramètres!$A$1:$I$89,3,0)*VLOOKUP('Données projet'!$B$12,Paramètres!$A$1:$I$89,5,0)</f>
        <v>-1.7291768017457797E-13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245.98992992759543</v>
      </c>
      <c r="CE134" s="60">
        <f t="shared" si="148"/>
        <v>145.34368562171613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262.7882399999994</v>
      </c>
      <c r="CV134" s="14">
        <f t="shared" si="149"/>
        <v>63.316348571334714</v>
      </c>
      <c r="CW134" s="22">
        <f t="shared" si="121"/>
        <v>567.96549176174028</v>
      </c>
      <c r="CX134" s="60">
        <f t="shared" si="122"/>
        <v>861.29882509507365</v>
      </c>
      <c r="CY134" s="60">
        <f ca="1">AVERAGE(OFFSET($CX$3,0,0,'Données projet'!$E$13+1,1))-AVERAGE(OFFSET($H$3,0,0,'Données projet'!$E$13+1,1))</f>
        <v>455.50822833641354</v>
      </c>
      <c r="CZ134" s="60">
        <f t="shared" si="150"/>
        <v>261.14722581688039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2.7</v>
      </c>
      <c r="DO134" s="13">
        <f>IF('Données projet'!$A$166&gt;35,DO133+DN134-DW133,IF(A134&lt;'Données projet'!$A$166,$DL$205^A134,IF(A134='Données projet'!$A$166,'Données projet'!$B$166,DO133+DN134-DW133)))</f>
        <v>271.69999999999936</v>
      </c>
      <c r="DP134" s="18">
        <f>DO134*VLOOKUP('Données projet'!$B$14,Paramètres!$A$1:$I$89,3,0)*VLOOKUP('Données projet'!$B$14,Paramètres!$A$1:$I$89,5,0)</f>
        <v>292.45787999999931</v>
      </c>
      <c r="DQ134" s="14">
        <f t="shared" si="151"/>
        <v>69.59301004501954</v>
      </c>
      <c r="DR134" s="22">
        <f t="shared" si="124"/>
        <v>630.57196682840777</v>
      </c>
      <c r="DS134" s="60">
        <f t="shared" si="125"/>
        <v>923.90530016174102</v>
      </c>
      <c r="DT134" s="60">
        <f ca="1">AVERAGE(OFFSET($DS$3,0,0,'Données projet'!$E$14+1,1))-AVERAGE(OFFSET($H$3,0,0,'Données projet'!$E$14+1,1))</f>
        <v>502.07782026233912</v>
      </c>
      <c r="DU134" s="60">
        <f t="shared" si="152"/>
        <v>285.83623046025156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2.7</v>
      </c>
      <c r="EJ134" s="13">
        <f>IF('Données projet'!$A$192&gt;35,EJ133+EI134-ER133,IF(A134&lt;'Données projet'!$A$192,$EG$205^A134,IF(A134='Données projet'!$A$192,'Données projet'!$B$192,EJ133+EI134-ER133)))</f>
        <v>271.69999999999936</v>
      </c>
      <c r="EK134" s="18">
        <f>EJ134*VLOOKUP('Données projet'!$B$15,Paramètres!$A$1:$I$89,3,0)*VLOOKUP('Données projet'!$B$15,Paramètres!$A$1:$I$89,5,0)</f>
        <v>245.8341599999994</v>
      </c>
      <c r="EL134" s="14">
        <f t="shared" si="153"/>
        <v>59.693018383856675</v>
      </c>
      <c r="EM134" s="22">
        <f t="shared" si="127"/>
        <v>532.12650235188266</v>
      </c>
      <c r="EN134" s="60">
        <f t="shared" si="128"/>
        <v>825.45983568521592</v>
      </c>
      <c r="EO134" s="60">
        <f ca="1">AVERAGE(OFFSET($EN$3,0,0,'Données projet'!$E$15+1,1))-AVERAGE(OFFSET($H$3,0,0,'Données projet'!$E$15+1,1))</f>
        <v>428.8489304403459</v>
      </c>
      <c r="EP134" s="60">
        <f t="shared" si="154"/>
        <v>247.01165577562966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 t="e">
        <f>N135*VLOOKUP('Données projet'!$B$9,Paramètres!$A$1:$I$89,3,0)*VLOOKUP('Données projet'!$B$9,Paramètres!$A$1:$I$89,5,0)</f>
        <v>#N/A</v>
      </c>
      <c r="P135" s="14" t="e">
        <f t="shared" si="141"/>
        <v>#N/A</v>
      </c>
      <c r="Q135" s="22" t="e">
        <f t="shared" si="108"/>
        <v>#N/A</v>
      </c>
      <c r="R135" s="60" t="e">
        <f t="shared" si="109"/>
        <v>#N/A</v>
      </c>
      <c r="S135" s="60" t="e">
        <f ca="1">AVERAGE(OFFSET($R$3,0,0,'Données projet'!$E$9+1,1))-AVERAGE(OFFSET($H$3,0,0,'Données projet'!$E$9+1,1))</f>
        <v>#N/A</v>
      </c>
      <c r="T135" s="60" t="e">
        <f t="shared" si="142"/>
        <v>#N/A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 t="e">
        <f>EXP(-LN(2)/35)*Z134+(1-EXP(-LN(2)/35))/(LN(2)/35)*V135*W135*VLOOKUP('Données projet'!$B$9,Paramètres!$A$1:$I$89,3,0)*0.475*44/12</f>
        <v>#N/A</v>
      </c>
      <c r="AA135" s="23" t="e">
        <f>EXP(-LN(2)/25)*AA134+(1-EXP(-LN(2)/25))/(LN(2)/25)*Calculateur!V135*Calculateur!X135*VLOOKUP('Données projet'!$B$9,Paramètres!$A$1:$I$89,3,0)*0.475*44/12</f>
        <v>#N/A</v>
      </c>
      <c r="AB135" s="23" t="e">
        <f>EXP(-LN(2)/2)*AB134+(1-EXP(-LN(2)/2))/(LN(2)/2)*V135*Y135*VLOOKUP('Données projet'!$B$9,Paramètres!$A$1:$I$89,3,0)*0.475*44/12</f>
        <v>#N/A</v>
      </c>
      <c r="AC135" s="24" t="e">
        <f t="shared" si="111"/>
        <v>#N/A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0" t="e">
        <f t="shared" si="113"/>
        <v>#N/A</v>
      </c>
      <c r="AN135" s="60" t="e">
        <f ca="1">AVERAGE(OFFSET($AM$3,0,0,'Données projet'!$E$10+1,1))-AVERAGE(OFFSET($H$3,0,0,'Données projet'!$E$10+1,1))</f>
        <v>#N/A</v>
      </c>
      <c r="AO135" s="60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-1.0818439477588981E-13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357.083670644861</v>
      </c>
      <c r="BJ135" s="60">
        <f t="shared" si="146"/>
        <v>299.88885091109654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-3.694822225952521E-13</v>
      </c>
      <c r="BZ135" s="14">
        <f>BY135*VLOOKUP('Données projet'!$B$12,Paramètres!$A$1:$I$89,3,0)*VLOOKUP('Données projet'!$B$12,Paramètres!$A$1:$I$89,5,0)</f>
        <v>-1.7291768017457797E-13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245.98992992759543</v>
      </c>
      <c r="CE135" s="60">
        <f t="shared" si="148"/>
        <v>145.34368562171613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265.39967999999936</v>
      </c>
      <c r="CV135" s="14">
        <f t="shared" si="149"/>
        <v>63.87199095821434</v>
      </c>
      <c r="CW135" s="22">
        <f t="shared" si="121"/>
        <v>573.48149358555554</v>
      </c>
      <c r="CX135" s="60">
        <f t="shared" si="122"/>
        <v>866.81482691888891</v>
      </c>
      <c r="CY135" s="60">
        <f ca="1">AVERAGE(OFFSET($CX$3,0,0,'Données projet'!$E$13+1,1))-AVERAGE(OFFSET($H$3,0,0,'Données projet'!$E$13+1,1))</f>
        <v>455.50822833641354</v>
      </c>
      <c r="CZ135" s="60">
        <f t="shared" si="150"/>
        <v>261.14722581688039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2.7</v>
      </c>
      <c r="DO135" s="13">
        <f>IF('Données projet'!$A$166&gt;35,DO134+DN135-DW134,IF(A135&lt;'Données projet'!$A$166,$DL$205^A135,IF(A135='Données projet'!$A$166,'Données projet'!$B$166,DO134+DN135-DW134)))</f>
        <v>274.39999999999935</v>
      </c>
      <c r="DP135" s="18">
        <f>DO135*VLOOKUP('Données projet'!$B$14,Paramètres!$A$1:$I$89,3,0)*VLOOKUP('Données projet'!$B$14,Paramètres!$A$1:$I$89,5,0)</f>
        <v>295.36415999999929</v>
      </c>
      <c r="DQ135" s="14">
        <f t="shared" si="151"/>
        <v>70.203734243177976</v>
      </c>
      <c r="DR135" s="22">
        <f t="shared" si="124"/>
        <v>636.69741580686696</v>
      </c>
      <c r="DS135" s="60">
        <f t="shared" si="125"/>
        <v>930.03074914020021</v>
      </c>
      <c r="DT135" s="60">
        <f ca="1">AVERAGE(OFFSET($DS$3,0,0,'Données projet'!$E$14+1,1))-AVERAGE(OFFSET($H$3,0,0,'Données projet'!$E$14+1,1))</f>
        <v>502.07782026233912</v>
      </c>
      <c r="DU135" s="60">
        <f t="shared" si="152"/>
        <v>285.83623046025156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2.7</v>
      </c>
      <c r="EJ135" s="13">
        <f>IF('Données projet'!$A$192&gt;35,EJ134+EI135-ER134,IF(A135&lt;'Données projet'!$A$192,$EG$205^A135,IF(A135='Données projet'!$A$192,'Données projet'!$B$192,EJ134+EI135-ER134)))</f>
        <v>274.39999999999935</v>
      </c>
      <c r="EK135" s="18">
        <f>EJ135*VLOOKUP('Données projet'!$B$15,Paramètres!$A$1:$I$89,3,0)*VLOOKUP('Données projet'!$B$15,Paramètres!$A$1:$I$89,5,0)</f>
        <v>248.2771199999994</v>
      </c>
      <c r="EL135" s="14">
        <f t="shared" si="153"/>
        <v>60.216863677580257</v>
      </c>
      <c r="EM135" s="22">
        <f t="shared" si="127"/>
        <v>537.29368823845118</v>
      </c>
      <c r="EN135" s="60">
        <f t="shared" si="128"/>
        <v>830.62702157178455</v>
      </c>
      <c r="EO135" s="60">
        <f ca="1">AVERAGE(OFFSET($EN$3,0,0,'Données projet'!$E$15+1,1))-AVERAGE(OFFSET($H$3,0,0,'Données projet'!$E$15+1,1))</f>
        <v>428.8489304403459</v>
      </c>
      <c r="EP135" s="60">
        <f t="shared" si="154"/>
        <v>247.01165577562966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 t="e">
        <f>N136*VLOOKUP('Données projet'!$B$9,Paramètres!$A$1:$I$89,3,0)*VLOOKUP('Données projet'!$B$9,Paramètres!$A$1:$I$89,5,0)</f>
        <v>#N/A</v>
      </c>
      <c r="P136" s="14" t="e">
        <f t="shared" si="141"/>
        <v>#N/A</v>
      </c>
      <c r="Q136" s="22" t="e">
        <f t="shared" si="108"/>
        <v>#N/A</v>
      </c>
      <c r="R136" s="60" t="e">
        <f t="shared" si="109"/>
        <v>#N/A</v>
      </c>
      <c r="S136" s="60" t="e">
        <f ca="1">AVERAGE(OFFSET($R$3,0,0,'Données projet'!$E$9+1,1))-AVERAGE(OFFSET($H$3,0,0,'Données projet'!$E$9+1,1))</f>
        <v>#N/A</v>
      </c>
      <c r="T136" s="60" t="e">
        <f t="shared" si="142"/>
        <v>#N/A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 t="e">
        <f>EXP(-LN(2)/35)*Z135+(1-EXP(-LN(2)/35))/(LN(2)/35)*V136*W136*VLOOKUP('Données projet'!$B$9,Paramètres!$A$1:$I$89,3,0)*0.475*44/12</f>
        <v>#N/A</v>
      </c>
      <c r="AA136" s="23" t="e">
        <f>EXP(-LN(2)/25)*AA135+(1-EXP(-LN(2)/25))/(LN(2)/25)*Calculateur!V136*Calculateur!X136*VLOOKUP('Données projet'!$B$9,Paramètres!$A$1:$I$89,3,0)*0.475*44/12</f>
        <v>#N/A</v>
      </c>
      <c r="AB136" s="23" t="e">
        <f>EXP(-LN(2)/2)*AB135+(1-EXP(-LN(2)/2))/(LN(2)/2)*V136*Y136*VLOOKUP('Données projet'!$B$9,Paramètres!$A$1:$I$89,3,0)*0.475*44/12</f>
        <v>#N/A</v>
      </c>
      <c r="AC136" s="24" t="e">
        <f t="shared" si="111"/>
        <v>#N/A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0" t="e">
        <f t="shared" si="113"/>
        <v>#N/A</v>
      </c>
      <c r="AN136" s="60" t="e">
        <f ca="1">AVERAGE(OFFSET($AM$3,0,0,'Données projet'!$E$10+1,1))-AVERAGE(OFFSET($H$3,0,0,'Données projet'!$E$10+1,1))</f>
        <v>#N/A</v>
      </c>
      <c r="AO136" s="60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-1.0818439477588981E-13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357.083670644861</v>
      </c>
      <c r="BJ136" s="60">
        <f t="shared" si="146"/>
        <v>299.88885091109654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-3.694822225952521E-13</v>
      </c>
      <c r="BZ136" s="14">
        <f>BY136*VLOOKUP('Données projet'!$B$12,Paramètres!$A$1:$I$89,3,0)*VLOOKUP('Données projet'!$B$12,Paramètres!$A$1:$I$89,5,0)</f>
        <v>-1.7291768017457797E-13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245.98992992759543</v>
      </c>
      <c r="CE136" s="60">
        <f t="shared" si="148"/>
        <v>145.34368562171613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268.01111999999938</v>
      </c>
      <c r="CV136" s="14">
        <f t="shared" si="149"/>
        <v>64.426997301716739</v>
      </c>
      <c r="CW136" s="22">
        <f t="shared" si="121"/>
        <v>578.99638763382234</v>
      </c>
      <c r="CX136" s="60">
        <f t="shared" si="122"/>
        <v>872.32972096715571</v>
      </c>
      <c r="CY136" s="60">
        <f ca="1">AVERAGE(OFFSET($CX$3,0,0,'Données projet'!$E$13+1,1))-AVERAGE(OFFSET($H$3,0,0,'Données projet'!$E$13+1,1))</f>
        <v>455.50822833641354</v>
      </c>
      <c r="CZ136" s="60">
        <f t="shared" si="150"/>
        <v>261.14722581688039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2.7</v>
      </c>
      <c r="DO136" s="13">
        <f>IF('Données projet'!$A$166&gt;35,DO135+DN136-DW135,IF(A136&lt;'Données projet'!$A$166,$DL$205^A136,IF(A136='Données projet'!$A$166,'Données projet'!$B$166,DO135+DN136-DW135)))</f>
        <v>277.09999999999934</v>
      </c>
      <c r="DP136" s="18">
        <f>DO136*VLOOKUP('Données projet'!$B$14,Paramètres!$A$1:$I$89,3,0)*VLOOKUP('Données projet'!$B$14,Paramètres!$A$1:$I$89,5,0)</f>
        <v>298.27043999999927</v>
      </c>
      <c r="DQ136" s="14">
        <f t="shared" si="151"/>
        <v>70.813759345855843</v>
      </c>
      <c r="DR136" s="22">
        <f t="shared" si="124"/>
        <v>642.8216471940309</v>
      </c>
      <c r="DS136" s="60">
        <f t="shared" si="125"/>
        <v>936.15498052736416</v>
      </c>
      <c r="DT136" s="60">
        <f ca="1">AVERAGE(OFFSET($DS$3,0,0,'Données projet'!$E$14+1,1))-AVERAGE(OFFSET($H$3,0,0,'Données projet'!$E$14+1,1))</f>
        <v>502.07782026233912</v>
      </c>
      <c r="DU136" s="60">
        <f t="shared" si="152"/>
        <v>285.83623046025156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2.7</v>
      </c>
      <c r="EJ136" s="13">
        <f>IF('Données projet'!$A$192&gt;35,EJ135+EI136-ER135,IF(A136&lt;'Données projet'!$A$192,$EG$205^A136,IF(A136='Données projet'!$A$192,'Données projet'!$B$192,EJ135+EI136-ER135)))</f>
        <v>277.09999999999934</v>
      </c>
      <c r="EK136" s="18">
        <f>EJ136*VLOOKUP('Données projet'!$B$15,Paramètres!$A$1:$I$89,3,0)*VLOOKUP('Données projet'!$B$15,Paramètres!$A$1:$I$89,5,0)</f>
        <v>250.72007999999943</v>
      </c>
      <c r="EL136" s="14">
        <f t="shared" si="153"/>
        <v>60.740109326032709</v>
      </c>
      <c r="EM136" s="22">
        <f t="shared" si="127"/>
        <v>542.45982974283925</v>
      </c>
      <c r="EN136" s="60">
        <f t="shared" si="128"/>
        <v>835.7931630761725</v>
      </c>
      <c r="EO136" s="60">
        <f ca="1">AVERAGE(OFFSET($EN$3,0,0,'Données projet'!$E$15+1,1))-AVERAGE(OFFSET($H$3,0,0,'Données projet'!$E$15+1,1))</f>
        <v>428.8489304403459</v>
      </c>
      <c r="EP136" s="60">
        <f t="shared" si="154"/>
        <v>247.01165577562966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 t="e">
        <f>N137*VLOOKUP('Données projet'!$B$9,Paramètres!$A$1:$I$89,3,0)*VLOOKUP('Données projet'!$B$9,Paramètres!$A$1:$I$89,5,0)</f>
        <v>#N/A</v>
      </c>
      <c r="P137" s="14" t="e">
        <f t="shared" si="141"/>
        <v>#N/A</v>
      </c>
      <c r="Q137" s="22" t="e">
        <f t="shared" si="108"/>
        <v>#N/A</v>
      </c>
      <c r="R137" s="60" t="e">
        <f t="shared" si="109"/>
        <v>#N/A</v>
      </c>
      <c r="S137" s="60" t="e">
        <f ca="1">AVERAGE(OFFSET($R$3,0,0,'Données projet'!$E$9+1,1))-AVERAGE(OFFSET($H$3,0,0,'Données projet'!$E$9+1,1))</f>
        <v>#N/A</v>
      </c>
      <c r="T137" s="60" t="e">
        <f t="shared" si="142"/>
        <v>#N/A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 t="e">
        <f>EXP(-LN(2)/35)*Z136+(1-EXP(-LN(2)/35))/(LN(2)/35)*V137*W137*VLOOKUP('Données projet'!$B$9,Paramètres!$A$1:$I$89,3,0)*0.475*44/12</f>
        <v>#N/A</v>
      </c>
      <c r="AA137" s="23" t="e">
        <f>EXP(-LN(2)/25)*AA136+(1-EXP(-LN(2)/25))/(LN(2)/25)*Calculateur!V137*Calculateur!X137*VLOOKUP('Données projet'!$B$9,Paramètres!$A$1:$I$89,3,0)*0.475*44/12</f>
        <v>#N/A</v>
      </c>
      <c r="AB137" s="23" t="e">
        <f>EXP(-LN(2)/2)*AB136+(1-EXP(-LN(2)/2))/(LN(2)/2)*V137*Y137*VLOOKUP('Données projet'!$B$9,Paramètres!$A$1:$I$89,3,0)*0.475*44/12</f>
        <v>#N/A</v>
      </c>
      <c r="AC137" s="24" t="e">
        <f t="shared" si="111"/>
        <v>#N/A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0" t="e">
        <f t="shared" si="113"/>
        <v>#N/A</v>
      </c>
      <c r="AN137" s="60" t="e">
        <f ca="1">AVERAGE(OFFSET($AM$3,0,0,'Données projet'!$E$10+1,1))-AVERAGE(OFFSET($H$3,0,0,'Données projet'!$E$10+1,1))</f>
        <v>#N/A</v>
      </c>
      <c r="AO137" s="60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-1.0818439477588981E-13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357.083670644861</v>
      </c>
      <c r="BJ137" s="60">
        <f t="shared" si="146"/>
        <v>299.88885091109654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-3.694822225952521E-13</v>
      </c>
      <c r="BZ137" s="14">
        <f>BY137*VLOOKUP('Données projet'!$B$12,Paramètres!$A$1:$I$89,3,0)*VLOOKUP('Données projet'!$B$12,Paramètres!$A$1:$I$89,5,0)</f>
        <v>-1.7291768017457797E-13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245.98992992759543</v>
      </c>
      <c r="CE137" s="60">
        <f t="shared" si="148"/>
        <v>145.34368562171613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270.62255999999934</v>
      </c>
      <c r="CV137" s="14">
        <f t="shared" si="149"/>
        <v>64.981374516987898</v>
      </c>
      <c r="CW137" s="22">
        <f t="shared" si="121"/>
        <v>584.51018595041944</v>
      </c>
      <c r="CX137" s="60">
        <f t="shared" si="122"/>
        <v>877.84351928375281</v>
      </c>
      <c r="CY137" s="60">
        <f ca="1">AVERAGE(OFFSET($CX$3,0,0,'Données projet'!$E$13+1,1))-AVERAGE(OFFSET($H$3,0,0,'Données projet'!$E$13+1,1))</f>
        <v>455.50822833641354</v>
      </c>
      <c r="CZ137" s="60">
        <f t="shared" si="150"/>
        <v>261.14722581688039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2.7</v>
      </c>
      <c r="DO137" s="13">
        <f>IF('Données projet'!$A$166&gt;35,DO136+DN137-DW136,IF(A137&lt;'Données projet'!$A$166,$DL$205^A137,IF(A137='Données projet'!$A$166,'Données projet'!$B$166,DO136+DN137-DW136)))</f>
        <v>279.79999999999933</v>
      </c>
      <c r="DP137" s="18">
        <f>DO137*VLOOKUP('Données projet'!$B$14,Paramètres!$A$1:$I$89,3,0)*VLOOKUP('Données projet'!$B$14,Paramètres!$A$1:$I$89,5,0)</f>
        <v>301.17671999999925</v>
      </c>
      <c r="DQ137" s="14">
        <f t="shared" si="151"/>
        <v>71.423092953709514</v>
      </c>
      <c r="DR137" s="22">
        <f t="shared" si="124"/>
        <v>648.94467422770936</v>
      </c>
      <c r="DS137" s="60">
        <f t="shared" si="125"/>
        <v>942.27800756104261</v>
      </c>
      <c r="DT137" s="60">
        <f ca="1">AVERAGE(OFFSET($DS$3,0,0,'Données projet'!$E$14+1,1))-AVERAGE(OFFSET($H$3,0,0,'Données projet'!$E$14+1,1))</f>
        <v>502.07782026233912</v>
      </c>
      <c r="DU137" s="60">
        <f t="shared" si="152"/>
        <v>285.83623046025156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2.7</v>
      </c>
      <c r="EJ137" s="13">
        <f>IF('Données projet'!$A$192&gt;35,EJ136+EI137-ER136,IF(A137&lt;'Données projet'!$A$192,$EG$205^A137,IF(A137='Données projet'!$A$192,'Données projet'!$B$192,EJ136+EI137-ER136)))</f>
        <v>279.79999999999933</v>
      </c>
      <c r="EK137" s="18">
        <f>EJ137*VLOOKUP('Données projet'!$B$15,Paramètres!$A$1:$I$89,3,0)*VLOOKUP('Données projet'!$B$15,Paramètres!$A$1:$I$89,5,0)</f>
        <v>253.16303999999937</v>
      </c>
      <c r="EL137" s="14">
        <f t="shared" si="153"/>
        <v>61.262761848634923</v>
      </c>
      <c r="EM137" s="22">
        <f t="shared" si="127"/>
        <v>547.62493821970475</v>
      </c>
      <c r="EN137" s="60">
        <f t="shared" si="128"/>
        <v>840.958271553038</v>
      </c>
      <c r="EO137" s="60">
        <f ca="1">AVERAGE(OFFSET($EN$3,0,0,'Données projet'!$E$15+1,1))-AVERAGE(OFFSET($H$3,0,0,'Données projet'!$E$15+1,1))</f>
        <v>428.8489304403459</v>
      </c>
      <c r="EP137" s="60">
        <f t="shared" si="154"/>
        <v>247.01165577562966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 t="e">
        <f>N138*VLOOKUP('Données projet'!$B$9,Paramètres!$A$1:$I$89,3,0)*VLOOKUP('Données projet'!$B$9,Paramètres!$A$1:$I$89,5,0)</f>
        <v>#N/A</v>
      </c>
      <c r="P138" s="14" t="e">
        <f t="shared" si="141"/>
        <v>#N/A</v>
      </c>
      <c r="Q138" s="22" t="e">
        <f t="shared" si="108"/>
        <v>#N/A</v>
      </c>
      <c r="R138" s="60" t="e">
        <f t="shared" si="109"/>
        <v>#N/A</v>
      </c>
      <c r="S138" s="60" t="e">
        <f ca="1">AVERAGE(OFFSET($R$3,0,0,'Données projet'!$E$9+1,1))-AVERAGE(OFFSET($H$3,0,0,'Données projet'!$E$9+1,1))</f>
        <v>#N/A</v>
      </c>
      <c r="T138" s="60" t="e">
        <f t="shared" si="142"/>
        <v>#N/A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 t="e">
        <f>EXP(-LN(2)/35)*Z137+(1-EXP(-LN(2)/35))/(LN(2)/35)*V138*W138*VLOOKUP('Données projet'!$B$9,Paramètres!$A$1:$I$89,3,0)*0.475*44/12</f>
        <v>#N/A</v>
      </c>
      <c r="AA138" s="23" t="e">
        <f>EXP(-LN(2)/25)*AA137+(1-EXP(-LN(2)/25))/(LN(2)/25)*Calculateur!V138*Calculateur!X138*VLOOKUP('Données projet'!$B$9,Paramètres!$A$1:$I$89,3,0)*0.475*44/12</f>
        <v>#N/A</v>
      </c>
      <c r="AB138" s="23" t="e">
        <f>EXP(-LN(2)/2)*AB137+(1-EXP(-LN(2)/2))/(LN(2)/2)*V138*Y138*VLOOKUP('Données projet'!$B$9,Paramètres!$A$1:$I$89,3,0)*0.475*44/12</f>
        <v>#N/A</v>
      </c>
      <c r="AC138" s="24" t="e">
        <f t="shared" si="111"/>
        <v>#N/A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0" t="e">
        <f t="shared" si="113"/>
        <v>#N/A</v>
      </c>
      <c r="AN138" s="60" t="e">
        <f ca="1">AVERAGE(OFFSET($AM$3,0,0,'Données projet'!$E$10+1,1))-AVERAGE(OFFSET($H$3,0,0,'Données projet'!$E$10+1,1))</f>
        <v>#N/A</v>
      </c>
      <c r="AO138" s="60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-1.0818439477588981E-13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357.083670644861</v>
      </c>
      <c r="BJ138" s="60">
        <f t="shared" si="146"/>
        <v>299.88885091109654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-3.694822225952521E-13</v>
      </c>
      <c r="BZ138" s="14">
        <f>BY138*VLOOKUP('Données projet'!$B$12,Paramètres!$A$1:$I$89,3,0)*VLOOKUP('Données projet'!$B$12,Paramètres!$A$1:$I$89,5,0)</f>
        <v>-1.7291768017457797E-13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245.98992992759543</v>
      </c>
      <c r="CE138" s="60">
        <f t="shared" si="148"/>
        <v>145.34368562171613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273.23399999999936</v>
      </c>
      <c r="CV138" s="14">
        <f t="shared" si="149"/>
        <v>65.535129378020301</v>
      </c>
      <c r="CW138" s="22">
        <f t="shared" si="121"/>
        <v>590.0229003333842</v>
      </c>
      <c r="CX138" s="60">
        <f t="shared" si="122"/>
        <v>883.35623366671757</v>
      </c>
      <c r="CY138" s="60">
        <f ca="1">AVERAGE(OFFSET($CX$3,0,0,'Données projet'!$E$13+1,1))-AVERAGE(OFFSET($H$3,0,0,'Données projet'!$E$13+1,1))</f>
        <v>455.50822833641354</v>
      </c>
      <c r="CZ138" s="60">
        <f t="shared" si="150"/>
        <v>261.14722581688039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2.7</v>
      </c>
      <c r="DO138" s="13">
        <f>IF('Données projet'!$A$166&gt;35,DO137+DN138-DW137,IF(A138&lt;'Données projet'!$A$166,$DL$205^A138,IF(A138='Données projet'!$A$166,'Données projet'!$B$166,DO137+DN138-DW137)))</f>
        <v>282.49999999999932</v>
      </c>
      <c r="DP138" s="18">
        <f>DO138*VLOOKUP('Données projet'!$B$14,Paramètres!$A$1:$I$89,3,0)*VLOOKUP('Données projet'!$B$14,Paramètres!$A$1:$I$89,5,0)</f>
        <v>304.08299999999929</v>
      </c>
      <c r="DQ138" s="14">
        <f t="shared" si="151"/>
        <v>72.031742512249494</v>
      </c>
      <c r="DR138" s="22">
        <f t="shared" si="124"/>
        <v>655.06650987549995</v>
      </c>
      <c r="DS138" s="60">
        <f t="shared" si="125"/>
        <v>948.39984320883332</v>
      </c>
      <c r="DT138" s="60">
        <f ca="1">AVERAGE(OFFSET($DS$3,0,0,'Données projet'!$E$14+1,1))-AVERAGE(OFFSET($H$3,0,0,'Données projet'!$E$14+1,1))</f>
        <v>502.07782026233912</v>
      </c>
      <c r="DU138" s="60">
        <f t="shared" si="152"/>
        <v>285.83623046025156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2.7</v>
      </c>
      <c r="EJ138" s="13">
        <f>IF('Données projet'!$A$192&gt;35,EJ137+EI138-ER137,IF(A138&lt;'Données projet'!$A$192,$EG$205^A138,IF(A138='Données projet'!$A$192,'Données projet'!$B$192,EJ137+EI138-ER137)))</f>
        <v>282.49999999999932</v>
      </c>
      <c r="EK138" s="18">
        <f>EJ138*VLOOKUP('Données projet'!$B$15,Paramètres!$A$1:$I$89,3,0)*VLOOKUP('Données projet'!$B$15,Paramètres!$A$1:$I$89,5,0)</f>
        <v>255.60599999999937</v>
      </c>
      <c r="EL138" s="14">
        <f t="shared" si="153"/>
        <v>61.784827631732192</v>
      </c>
      <c r="EM138" s="22">
        <f t="shared" si="127"/>
        <v>552.78902479193243</v>
      </c>
      <c r="EN138" s="60">
        <f t="shared" si="128"/>
        <v>846.12235812526569</v>
      </c>
      <c r="EO138" s="60">
        <f ca="1">AVERAGE(OFFSET($EN$3,0,0,'Données projet'!$E$15+1,1))-AVERAGE(OFFSET($H$3,0,0,'Données projet'!$E$15+1,1))</f>
        <v>428.8489304403459</v>
      </c>
      <c r="EP138" s="60">
        <f t="shared" si="154"/>
        <v>247.01165577562966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 t="e">
        <f>N139*VLOOKUP('Données projet'!$B$9,Paramètres!$A$1:$I$89,3,0)*VLOOKUP('Données projet'!$B$9,Paramètres!$A$1:$I$89,5,0)</f>
        <v>#N/A</v>
      </c>
      <c r="P139" s="14" t="e">
        <f t="shared" si="141"/>
        <v>#N/A</v>
      </c>
      <c r="Q139" s="22" t="e">
        <f t="shared" si="108"/>
        <v>#N/A</v>
      </c>
      <c r="R139" s="60" t="e">
        <f t="shared" si="109"/>
        <v>#N/A</v>
      </c>
      <c r="S139" s="60" t="e">
        <f ca="1">AVERAGE(OFFSET($R$3,0,0,'Données projet'!$E$9+1,1))-AVERAGE(OFFSET($H$3,0,0,'Données projet'!$E$9+1,1))</f>
        <v>#N/A</v>
      </c>
      <c r="T139" s="60" t="e">
        <f t="shared" si="142"/>
        <v>#N/A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 t="e">
        <f>EXP(-LN(2)/35)*Z138+(1-EXP(-LN(2)/35))/(LN(2)/35)*V139*W139*VLOOKUP('Données projet'!$B$9,Paramètres!$A$1:$I$89,3,0)*0.475*44/12</f>
        <v>#N/A</v>
      </c>
      <c r="AA139" s="23" t="e">
        <f>EXP(-LN(2)/25)*AA138+(1-EXP(-LN(2)/25))/(LN(2)/25)*Calculateur!V139*Calculateur!X139*VLOOKUP('Données projet'!$B$9,Paramètres!$A$1:$I$89,3,0)*0.475*44/12</f>
        <v>#N/A</v>
      </c>
      <c r="AB139" s="23" t="e">
        <f>EXP(-LN(2)/2)*AB138+(1-EXP(-LN(2)/2))/(LN(2)/2)*V139*Y139*VLOOKUP('Données projet'!$B$9,Paramètres!$A$1:$I$89,3,0)*0.475*44/12</f>
        <v>#N/A</v>
      </c>
      <c r="AC139" s="24" t="e">
        <f t="shared" si="111"/>
        <v>#N/A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0" t="e">
        <f t="shared" si="113"/>
        <v>#N/A</v>
      </c>
      <c r="AN139" s="60" t="e">
        <f ca="1">AVERAGE(OFFSET($AM$3,0,0,'Données projet'!$E$10+1,1))-AVERAGE(OFFSET($H$3,0,0,'Données projet'!$E$10+1,1))</f>
        <v>#N/A</v>
      </c>
      <c r="AO139" s="60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-1.0818439477588981E-13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357.083670644861</v>
      </c>
      <c r="BJ139" s="60">
        <f t="shared" si="146"/>
        <v>299.88885091109654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-3.694822225952521E-13</v>
      </c>
      <c r="BZ139" s="14">
        <f>BY139*VLOOKUP('Données projet'!$B$12,Paramètres!$A$1:$I$89,3,0)*VLOOKUP('Données projet'!$B$12,Paramètres!$A$1:$I$89,5,0)</f>
        <v>-1.7291768017457797E-13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245.98992992759543</v>
      </c>
      <c r="CE139" s="60">
        <f t="shared" si="148"/>
        <v>145.34368562171613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275.84543999999931</v>
      </c>
      <c r="CV139" s="14">
        <f t="shared" si="149"/>
        <v>66.088268521855113</v>
      </c>
      <c r="CW139" s="22">
        <f t="shared" si="121"/>
        <v>595.53454234222977</v>
      </c>
      <c r="CX139" s="60">
        <f t="shared" si="122"/>
        <v>888.86787567556303</v>
      </c>
      <c r="CY139" s="60">
        <f ca="1">AVERAGE(OFFSET($CX$3,0,0,'Données projet'!$E$13+1,1))-AVERAGE(OFFSET($H$3,0,0,'Données projet'!$E$13+1,1))</f>
        <v>455.50822833641354</v>
      </c>
      <c r="CZ139" s="60">
        <f t="shared" si="150"/>
        <v>261.14722581688039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2.7</v>
      </c>
      <c r="DO139" s="13">
        <f>IF('Données projet'!$A$166&gt;35,DO138+DN139-DW138,IF(A139&lt;'Données projet'!$A$166,$DL$205^A139,IF(A139='Données projet'!$A$166,'Données projet'!$B$166,DO138+DN139-DW138)))</f>
        <v>285.19999999999931</v>
      </c>
      <c r="DP139" s="18">
        <f>DO139*VLOOKUP('Données projet'!$B$14,Paramètres!$A$1:$I$89,3,0)*VLOOKUP('Données projet'!$B$14,Paramètres!$A$1:$I$89,5,0)</f>
        <v>306.98927999999921</v>
      </c>
      <c r="DQ139" s="14">
        <f t="shared" si="151"/>
        <v>72.639715316458506</v>
      </c>
      <c r="DR139" s="22">
        <f t="shared" si="124"/>
        <v>661.18716684283038</v>
      </c>
      <c r="DS139" s="60">
        <f t="shared" si="125"/>
        <v>954.52050017616375</v>
      </c>
      <c r="DT139" s="60">
        <f ca="1">AVERAGE(OFFSET($DS$3,0,0,'Données projet'!$E$14+1,1))-AVERAGE(OFFSET($H$3,0,0,'Données projet'!$E$14+1,1))</f>
        <v>502.07782026233912</v>
      </c>
      <c r="DU139" s="60">
        <f t="shared" si="152"/>
        <v>285.83623046025156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2.7</v>
      </c>
      <c r="EJ139" s="13">
        <f>IF('Données projet'!$A$192&gt;35,EJ138+EI139-ER138,IF(A139&lt;'Données projet'!$A$192,$EG$205^A139,IF(A139='Données projet'!$A$192,'Données projet'!$B$192,EJ138+EI139-ER138)))</f>
        <v>285.19999999999931</v>
      </c>
      <c r="EK139" s="18">
        <f>EJ139*VLOOKUP('Données projet'!$B$15,Paramètres!$A$1:$I$89,3,0)*VLOOKUP('Données projet'!$B$15,Paramètres!$A$1:$I$89,5,0)</f>
        <v>258.0489599999994</v>
      </c>
      <c r="EL139" s="14">
        <f t="shared" si="153"/>
        <v>62.306312932555649</v>
      </c>
      <c r="EM139" s="22">
        <f t="shared" si="127"/>
        <v>557.95210035753337</v>
      </c>
      <c r="EN139" s="60">
        <f t="shared" si="128"/>
        <v>851.28543369086674</v>
      </c>
      <c r="EO139" s="60">
        <f ca="1">AVERAGE(OFFSET($EN$3,0,0,'Données projet'!$E$15+1,1))-AVERAGE(OFFSET($H$3,0,0,'Données projet'!$E$15+1,1))</f>
        <v>428.8489304403459</v>
      </c>
      <c r="EP139" s="60">
        <f t="shared" si="154"/>
        <v>247.01165577562966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 t="e">
        <f>N140*VLOOKUP('Données projet'!$B$9,Paramètres!$A$1:$I$89,3,0)*VLOOKUP('Données projet'!$B$9,Paramètres!$A$1:$I$89,5,0)</f>
        <v>#N/A</v>
      </c>
      <c r="P140" s="14" t="e">
        <f t="shared" si="141"/>
        <v>#N/A</v>
      </c>
      <c r="Q140" s="22" t="e">
        <f t="shared" si="108"/>
        <v>#N/A</v>
      </c>
      <c r="R140" s="60" t="e">
        <f t="shared" si="109"/>
        <v>#N/A</v>
      </c>
      <c r="S140" s="60" t="e">
        <f ca="1">AVERAGE(OFFSET($R$3,0,0,'Données projet'!$E$9+1,1))-AVERAGE(OFFSET($H$3,0,0,'Données projet'!$E$9+1,1))</f>
        <v>#N/A</v>
      </c>
      <c r="T140" s="60" t="e">
        <f t="shared" si="142"/>
        <v>#N/A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 t="e">
        <f>EXP(-LN(2)/35)*Z139+(1-EXP(-LN(2)/35))/(LN(2)/35)*V140*W140*VLOOKUP('Données projet'!$B$9,Paramètres!$A$1:$I$89,3,0)*0.475*44/12</f>
        <v>#N/A</v>
      </c>
      <c r="AA140" s="23" t="e">
        <f>EXP(-LN(2)/25)*AA139+(1-EXP(-LN(2)/25))/(LN(2)/25)*Calculateur!V140*Calculateur!X140*VLOOKUP('Données projet'!$B$9,Paramètres!$A$1:$I$89,3,0)*0.475*44/12</f>
        <v>#N/A</v>
      </c>
      <c r="AB140" s="23" t="e">
        <f>EXP(-LN(2)/2)*AB139+(1-EXP(-LN(2)/2))/(LN(2)/2)*V140*Y140*VLOOKUP('Données projet'!$B$9,Paramètres!$A$1:$I$89,3,0)*0.475*44/12</f>
        <v>#N/A</v>
      </c>
      <c r="AC140" s="24" t="e">
        <f t="shared" si="111"/>
        <v>#N/A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0" t="e">
        <f t="shared" si="113"/>
        <v>#N/A</v>
      </c>
      <c r="AN140" s="60" t="e">
        <f ca="1">AVERAGE(OFFSET($AM$3,0,0,'Données projet'!$E$10+1,1))-AVERAGE(OFFSET($H$3,0,0,'Données projet'!$E$10+1,1))</f>
        <v>#N/A</v>
      </c>
      <c r="AO140" s="60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-1.0818439477588981E-13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357.083670644861</v>
      </c>
      <c r="BJ140" s="60">
        <f t="shared" si="146"/>
        <v>299.88885091109654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-3.694822225952521E-13</v>
      </c>
      <c r="BZ140" s="14">
        <f>BY140*VLOOKUP('Données projet'!$B$12,Paramètres!$A$1:$I$89,3,0)*VLOOKUP('Données projet'!$B$12,Paramètres!$A$1:$I$89,5,0)</f>
        <v>-1.7291768017457797E-13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245.98992992759543</v>
      </c>
      <c r="CE140" s="60">
        <f t="shared" si="148"/>
        <v>145.34368562171613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278.45687999999933</v>
      </c>
      <c r="CV140" s="14">
        <f t="shared" si="149"/>
        <v>66.640798452620999</v>
      </c>
      <c r="CW140" s="22">
        <f t="shared" si="121"/>
        <v>601.04512330498039</v>
      </c>
      <c r="CX140" s="60">
        <f t="shared" si="122"/>
        <v>894.37845663831376</v>
      </c>
      <c r="CY140" s="60">
        <f ca="1">AVERAGE(OFFSET($CX$3,0,0,'Données projet'!$E$13+1,1))-AVERAGE(OFFSET($H$3,0,0,'Données projet'!$E$13+1,1))</f>
        <v>455.50822833641354</v>
      </c>
      <c r="CZ140" s="60">
        <f t="shared" si="150"/>
        <v>261.14722581688039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2.7</v>
      </c>
      <c r="DO140" s="13">
        <f>IF('Données projet'!$A$166&gt;35,DO139+DN140-DW139,IF(A140&lt;'Données projet'!$A$166,$DL$205^A140,IF(A140='Données projet'!$A$166,'Données projet'!$B$166,DO139+DN140-DW139)))</f>
        <v>287.8999999999993</v>
      </c>
      <c r="DP140" s="18">
        <f>DO140*VLOOKUP('Données projet'!$B$14,Paramètres!$A$1:$I$89,3,0)*VLOOKUP('Données projet'!$B$14,Paramètres!$A$1:$I$89,5,0)</f>
        <v>309.89555999999925</v>
      </c>
      <c r="DQ140" s="14">
        <f t="shared" si="151"/>
        <v>73.247018515231034</v>
      </c>
      <c r="DR140" s="22">
        <f t="shared" si="124"/>
        <v>667.30665758069279</v>
      </c>
      <c r="DS140" s="60">
        <f t="shared" si="125"/>
        <v>960.63999091402616</v>
      </c>
      <c r="DT140" s="60">
        <f ca="1">AVERAGE(OFFSET($DS$3,0,0,'Données projet'!$E$14+1,1))-AVERAGE(OFFSET($H$3,0,0,'Données projet'!$E$14+1,1))</f>
        <v>502.07782026233912</v>
      </c>
      <c r="DU140" s="60">
        <f t="shared" si="152"/>
        <v>285.83623046025156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2.7</v>
      </c>
      <c r="EJ140" s="13">
        <f>IF('Données projet'!$A$192&gt;35,EJ139+EI140-ER139,IF(A140&lt;'Données projet'!$A$192,$EG$205^A140,IF(A140='Données projet'!$A$192,'Données projet'!$B$192,EJ139+EI140-ER139)))</f>
        <v>287.8999999999993</v>
      </c>
      <c r="EK140" s="18">
        <f>EJ140*VLOOKUP('Données projet'!$B$15,Paramètres!$A$1:$I$89,3,0)*VLOOKUP('Données projet'!$B$15,Paramètres!$A$1:$I$89,5,0)</f>
        <v>260.49191999999937</v>
      </c>
      <c r="EL140" s="14">
        <f t="shared" si="153"/>
        <v>62.827223883029681</v>
      </c>
      <c r="EM140" s="22">
        <f t="shared" si="127"/>
        <v>563.11417559627546</v>
      </c>
      <c r="EN140" s="60">
        <f t="shared" si="128"/>
        <v>856.44750892960883</v>
      </c>
      <c r="EO140" s="60">
        <f ca="1">AVERAGE(OFFSET($EN$3,0,0,'Données projet'!$E$15+1,1))-AVERAGE(OFFSET($H$3,0,0,'Données projet'!$E$15+1,1))</f>
        <v>428.8489304403459</v>
      </c>
      <c r="EP140" s="60">
        <f t="shared" si="154"/>
        <v>247.01165577562966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 t="e">
        <f>N141*VLOOKUP('Données projet'!$B$9,Paramètres!$A$1:$I$89,3,0)*VLOOKUP('Données projet'!$B$9,Paramètres!$A$1:$I$89,5,0)</f>
        <v>#N/A</v>
      </c>
      <c r="P141" s="14" t="e">
        <f t="shared" si="141"/>
        <v>#N/A</v>
      </c>
      <c r="Q141" s="22" t="e">
        <f t="shared" si="108"/>
        <v>#N/A</v>
      </c>
      <c r="R141" s="60" t="e">
        <f t="shared" si="109"/>
        <v>#N/A</v>
      </c>
      <c r="S141" s="60" t="e">
        <f ca="1">AVERAGE(OFFSET($R$3,0,0,'Données projet'!$E$9+1,1))-AVERAGE(OFFSET($H$3,0,0,'Données projet'!$E$9+1,1))</f>
        <v>#N/A</v>
      </c>
      <c r="T141" s="60" t="e">
        <f t="shared" si="142"/>
        <v>#N/A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 t="e">
        <f>EXP(-LN(2)/35)*Z140+(1-EXP(-LN(2)/35))/(LN(2)/35)*V141*W141*VLOOKUP('Données projet'!$B$9,Paramètres!$A$1:$I$89,3,0)*0.475*44/12</f>
        <v>#N/A</v>
      </c>
      <c r="AA141" s="23" t="e">
        <f>EXP(-LN(2)/25)*AA140+(1-EXP(-LN(2)/25))/(LN(2)/25)*Calculateur!V141*Calculateur!X141*VLOOKUP('Données projet'!$B$9,Paramètres!$A$1:$I$89,3,0)*0.475*44/12</f>
        <v>#N/A</v>
      </c>
      <c r="AB141" s="23" t="e">
        <f>EXP(-LN(2)/2)*AB140+(1-EXP(-LN(2)/2))/(LN(2)/2)*V141*Y141*VLOOKUP('Données projet'!$B$9,Paramètres!$A$1:$I$89,3,0)*0.475*44/12</f>
        <v>#N/A</v>
      </c>
      <c r="AC141" s="24" t="e">
        <f t="shared" si="111"/>
        <v>#N/A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0" t="e">
        <f t="shared" si="113"/>
        <v>#N/A</v>
      </c>
      <c r="AN141" s="60" t="e">
        <f ca="1">AVERAGE(OFFSET($AM$3,0,0,'Données projet'!$E$10+1,1))-AVERAGE(OFFSET($H$3,0,0,'Données projet'!$E$10+1,1))</f>
        <v>#N/A</v>
      </c>
      <c r="AO141" s="60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-1.0818439477588981E-13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357.083670644861</v>
      </c>
      <c r="BJ141" s="60">
        <f t="shared" si="146"/>
        <v>299.88885091109654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-3.694822225952521E-13</v>
      </c>
      <c r="BZ141" s="14">
        <f>BY141*VLOOKUP('Données projet'!$B$12,Paramètres!$A$1:$I$89,3,0)*VLOOKUP('Données projet'!$B$12,Paramètres!$A$1:$I$89,5,0)</f>
        <v>-1.7291768017457797E-13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245.98992992759543</v>
      </c>
      <c r="CE141" s="60">
        <f t="shared" si="148"/>
        <v>145.34368562171613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281.06831999999929</v>
      </c>
      <c r="CV141" s="14">
        <f t="shared" si="149"/>
        <v>67.192725545416536</v>
      </c>
      <c r="CW141" s="22">
        <f t="shared" si="121"/>
        <v>606.55465432493247</v>
      </c>
      <c r="CX141" s="60">
        <f t="shared" si="122"/>
        <v>899.88798765826573</v>
      </c>
      <c r="CY141" s="60">
        <f ca="1">AVERAGE(OFFSET($CX$3,0,0,'Données projet'!$E$13+1,1))-AVERAGE(OFFSET($H$3,0,0,'Données projet'!$E$13+1,1))</f>
        <v>455.50822833641354</v>
      </c>
      <c r="CZ141" s="60">
        <f t="shared" si="150"/>
        <v>261.14722581688039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2.7</v>
      </c>
      <c r="DO141" s="13">
        <f>IF('Données projet'!$A$166&gt;35,DO140+DN141-DW140,IF(A141&lt;'Données projet'!$A$166,$DL$205^A141,IF(A141='Données projet'!$A$166,'Données projet'!$B$166,DO140+DN141-DW140)))</f>
        <v>290.59999999999928</v>
      </c>
      <c r="DP141" s="18">
        <f>DO141*VLOOKUP('Données projet'!$B$14,Paramètres!$A$1:$I$89,3,0)*VLOOKUP('Données projet'!$B$14,Paramètres!$A$1:$I$89,5,0)</f>
        <v>312.80183999999923</v>
      </c>
      <c r="DQ141" s="14">
        <f t="shared" si="151"/>
        <v>73.853659115640255</v>
      </c>
      <c r="DR141" s="22">
        <f t="shared" si="124"/>
        <v>673.42499429307202</v>
      </c>
      <c r="DS141" s="60">
        <f t="shared" si="125"/>
        <v>966.75832762640539</v>
      </c>
      <c r="DT141" s="60">
        <f ca="1">AVERAGE(OFFSET($DS$3,0,0,'Données projet'!$E$14+1,1))-AVERAGE(OFFSET($H$3,0,0,'Données projet'!$E$14+1,1))</f>
        <v>502.07782026233912</v>
      </c>
      <c r="DU141" s="60">
        <f t="shared" si="152"/>
        <v>285.83623046025156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2.7</v>
      </c>
      <c r="EJ141" s="13">
        <f>IF('Données projet'!$A$192&gt;35,EJ140+EI141-ER140,IF(A141&lt;'Données projet'!$A$192,$EG$205^A141,IF(A141='Données projet'!$A$192,'Données projet'!$B$192,EJ140+EI141-ER140)))</f>
        <v>290.59999999999928</v>
      </c>
      <c r="EK141" s="18">
        <f>EJ141*VLOOKUP('Données projet'!$B$15,Paramètres!$A$1:$I$89,3,0)*VLOOKUP('Données projet'!$B$15,Paramètres!$A$1:$I$89,5,0)</f>
        <v>262.93487999999934</v>
      </c>
      <c r="EL141" s="14">
        <f t="shared" si="153"/>
        <v>63.347566493432652</v>
      </c>
      <c r="EM141" s="22">
        <f t="shared" si="127"/>
        <v>568.27526097606062</v>
      </c>
      <c r="EN141" s="60">
        <f t="shared" si="128"/>
        <v>861.60859430939399</v>
      </c>
      <c r="EO141" s="60">
        <f ca="1">AVERAGE(OFFSET($EN$3,0,0,'Données projet'!$E$15+1,1))-AVERAGE(OFFSET($H$3,0,0,'Données projet'!$E$15+1,1))</f>
        <v>428.8489304403459</v>
      </c>
      <c r="EP141" s="60">
        <f t="shared" si="154"/>
        <v>247.01165577562966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 t="e">
        <f>N142*VLOOKUP('Données projet'!$B$9,Paramètres!$A$1:$I$89,3,0)*VLOOKUP('Données projet'!$B$9,Paramètres!$A$1:$I$89,5,0)</f>
        <v>#N/A</v>
      </c>
      <c r="P142" s="14" t="e">
        <f t="shared" si="141"/>
        <v>#N/A</v>
      </c>
      <c r="Q142" s="22" t="e">
        <f t="shared" si="108"/>
        <v>#N/A</v>
      </c>
      <c r="R142" s="60" t="e">
        <f t="shared" si="109"/>
        <v>#N/A</v>
      </c>
      <c r="S142" s="60" t="e">
        <f ca="1">AVERAGE(OFFSET($R$3,0,0,'Données projet'!$E$9+1,1))-AVERAGE(OFFSET($H$3,0,0,'Données projet'!$E$9+1,1))</f>
        <v>#N/A</v>
      </c>
      <c r="T142" s="60" t="e">
        <f t="shared" si="142"/>
        <v>#N/A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 t="e">
        <f>EXP(-LN(2)/35)*Z141+(1-EXP(-LN(2)/35))/(LN(2)/35)*V142*W142*VLOOKUP('Données projet'!$B$9,Paramètres!$A$1:$I$89,3,0)*0.475*44/12</f>
        <v>#N/A</v>
      </c>
      <c r="AA142" s="23" t="e">
        <f>EXP(-LN(2)/25)*AA141+(1-EXP(-LN(2)/25))/(LN(2)/25)*Calculateur!V142*Calculateur!X142*VLOOKUP('Données projet'!$B$9,Paramètres!$A$1:$I$89,3,0)*0.475*44/12</f>
        <v>#N/A</v>
      </c>
      <c r="AB142" s="23" t="e">
        <f>EXP(-LN(2)/2)*AB141+(1-EXP(-LN(2)/2))/(LN(2)/2)*V142*Y142*VLOOKUP('Données projet'!$B$9,Paramètres!$A$1:$I$89,3,0)*0.475*44/12</f>
        <v>#N/A</v>
      </c>
      <c r="AC142" s="24" t="e">
        <f t="shared" si="111"/>
        <v>#N/A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0" t="e">
        <f t="shared" si="113"/>
        <v>#N/A</v>
      </c>
      <c r="AN142" s="60" t="e">
        <f ca="1">AVERAGE(OFFSET($AM$3,0,0,'Données projet'!$E$10+1,1))-AVERAGE(OFFSET($H$3,0,0,'Données projet'!$E$10+1,1))</f>
        <v>#N/A</v>
      </c>
      <c r="AO142" s="60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-1.0818439477588981E-13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357.083670644861</v>
      </c>
      <c r="BJ142" s="60">
        <f t="shared" si="146"/>
        <v>299.88885091109654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-3.694822225952521E-13</v>
      </c>
      <c r="BZ142" s="14">
        <f>BY142*VLOOKUP('Données projet'!$B$12,Paramètres!$A$1:$I$89,3,0)*VLOOKUP('Données projet'!$B$12,Paramètres!$A$1:$I$89,5,0)</f>
        <v>-1.7291768017457797E-13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245.98992992759543</v>
      </c>
      <c r="CE142" s="60">
        <f t="shared" si="148"/>
        <v>145.34368562171613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283.67975999999931</v>
      </c>
      <c r="CV142" s="14">
        <f t="shared" si="149"/>
        <v>67.74405605004435</v>
      </c>
      <c r="CW142" s="22">
        <f t="shared" si="121"/>
        <v>612.06314628715938</v>
      </c>
      <c r="CX142" s="60">
        <f t="shared" si="122"/>
        <v>905.39647962049276</v>
      </c>
      <c r="CY142" s="60">
        <f ca="1">AVERAGE(OFFSET($CX$3,0,0,'Données projet'!$E$13+1,1))-AVERAGE(OFFSET($H$3,0,0,'Données projet'!$E$13+1,1))</f>
        <v>455.50822833641354</v>
      </c>
      <c r="CZ142" s="60">
        <f t="shared" si="150"/>
        <v>261.14722581688039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2.7</v>
      </c>
      <c r="DO142" s="13">
        <f>IF('Données projet'!$A$166&gt;35,DO141+DN142-DW141,IF(A142&lt;'Données projet'!$A$166,$DL$205^A142,IF(A142='Données projet'!$A$166,'Données projet'!$B$166,DO141+DN142-DW141)))</f>
        <v>293.29999999999927</v>
      </c>
      <c r="DP142" s="18">
        <f>DO142*VLOOKUP('Données projet'!$B$14,Paramètres!$A$1:$I$89,3,0)*VLOOKUP('Données projet'!$B$14,Paramètres!$A$1:$I$89,5,0)</f>
        <v>315.70811999999916</v>
      </c>
      <c r="DQ142" s="14">
        <f t="shared" si="151"/>
        <v>74.459643987042966</v>
      </c>
      <c r="DR142" s="22">
        <f t="shared" si="124"/>
        <v>679.54218894409837</v>
      </c>
      <c r="DS142" s="60">
        <f t="shared" si="125"/>
        <v>972.87552227743163</v>
      </c>
      <c r="DT142" s="60">
        <f ca="1">AVERAGE(OFFSET($DS$3,0,0,'Données projet'!$E$14+1,1))-AVERAGE(OFFSET($H$3,0,0,'Données projet'!$E$14+1,1))</f>
        <v>502.07782026233912</v>
      </c>
      <c r="DU142" s="60">
        <f t="shared" si="152"/>
        <v>285.83623046025156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2.7</v>
      </c>
      <c r="EJ142" s="13">
        <f>IF('Données projet'!$A$192&gt;35,EJ141+EI142-ER141,IF(A142&lt;'Données projet'!$A$192,$EG$205^A142,IF(A142='Données projet'!$A$192,'Données projet'!$B$192,EJ141+EI142-ER141)))</f>
        <v>293.29999999999927</v>
      </c>
      <c r="EK142" s="18">
        <f>EJ142*VLOOKUP('Données projet'!$B$15,Paramètres!$A$1:$I$89,3,0)*VLOOKUP('Données projet'!$B$15,Paramètres!$A$1:$I$89,5,0)</f>
        <v>265.37783999999937</v>
      </c>
      <c r="EL142" s="14">
        <f t="shared" si="153"/>
        <v>63.867346655917089</v>
      </c>
      <c r="EM142" s="22">
        <f t="shared" si="127"/>
        <v>573.43536675905443</v>
      </c>
      <c r="EN142" s="60">
        <f t="shared" si="128"/>
        <v>866.76870009238769</v>
      </c>
      <c r="EO142" s="60">
        <f ca="1">AVERAGE(OFFSET($EN$3,0,0,'Données projet'!$E$15+1,1))-AVERAGE(OFFSET($H$3,0,0,'Données projet'!$E$15+1,1))</f>
        <v>428.8489304403459</v>
      </c>
      <c r="EP142" s="60">
        <f t="shared" si="154"/>
        <v>247.01165577562966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 t="e">
        <f>N143*VLOOKUP('Données projet'!$B$9,Paramètres!$A$1:$I$89,3,0)*VLOOKUP('Données projet'!$B$9,Paramètres!$A$1:$I$89,5,0)</f>
        <v>#N/A</v>
      </c>
      <c r="P143" s="14" t="e">
        <f t="shared" si="141"/>
        <v>#N/A</v>
      </c>
      <c r="Q143" s="22" t="e">
        <f t="shared" si="108"/>
        <v>#N/A</v>
      </c>
      <c r="R143" s="60" t="e">
        <f t="shared" si="109"/>
        <v>#N/A</v>
      </c>
      <c r="S143" s="60" t="e">
        <f ca="1">AVERAGE(OFFSET($R$3,0,0,'Données projet'!$E$9+1,1))-AVERAGE(OFFSET($H$3,0,0,'Données projet'!$E$9+1,1))</f>
        <v>#N/A</v>
      </c>
      <c r="T143" s="60" t="e">
        <f t="shared" si="142"/>
        <v>#N/A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 t="e">
        <f>EXP(-LN(2)/35)*Z142+(1-EXP(-LN(2)/35))/(LN(2)/35)*V143*W143*VLOOKUP('Données projet'!$B$9,Paramètres!$A$1:$I$89,3,0)*0.475*44/12</f>
        <v>#N/A</v>
      </c>
      <c r="AA143" s="23" t="e">
        <f>EXP(-LN(2)/25)*AA142+(1-EXP(-LN(2)/25))/(LN(2)/25)*Calculateur!V143*Calculateur!X143*VLOOKUP('Données projet'!$B$9,Paramètres!$A$1:$I$89,3,0)*0.475*44/12</f>
        <v>#N/A</v>
      </c>
      <c r="AB143" s="23" t="e">
        <f>EXP(-LN(2)/2)*AB142+(1-EXP(-LN(2)/2))/(LN(2)/2)*V143*Y143*VLOOKUP('Données projet'!$B$9,Paramètres!$A$1:$I$89,3,0)*0.475*44/12</f>
        <v>#N/A</v>
      </c>
      <c r="AC143" s="24" t="e">
        <f t="shared" si="111"/>
        <v>#N/A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0" t="e">
        <f t="shared" si="113"/>
        <v>#N/A</v>
      </c>
      <c r="AN143" s="60" t="e">
        <f ca="1">AVERAGE(OFFSET($AM$3,0,0,'Données projet'!$E$10+1,1))-AVERAGE(OFFSET($H$3,0,0,'Données projet'!$E$10+1,1))</f>
        <v>#N/A</v>
      </c>
      <c r="AO143" s="60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-1.0818439477588981E-13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357.083670644861</v>
      </c>
      <c r="BJ143" s="60">
        <f t="shared" si="146"/>
        <v>299.88885091109654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-3.694822225952521E-13</v>
      </c>
      <c r="BZ143" s="14">
        <f>BY143*VLOOKUP('Données projet'!$B$12,Paramètres!$A$1:$I$89,3,0)*VLOOKUP('Données projet'!$B$12,Paramètres!$A$1:$I$89,5,0)</f>
        <v>-1.7291768017457797E-13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245.98992992759543</v>
      </c>
      <c r="CE143" s="60">
        <f t="shared" si="148"/>
        <v>145.34368562171613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286.29119999999926</v>
      </c>
      <c r="CV143" s="14">
        <f t="shared" si="149"/>
        <v>68.294796094604223</v>
      </c>
      <c r="CW143" s="22">
        <f t="shared" si="121"/>
        <v>617.57060986476779</v>
      </c>
      <c r="CX143" s="60">
        <f t="shared" si="122"/>
        <v>910.90394319810116</v>
      </c>
      <c r="CY143" s="60">
        <f ca="1">AVERAGE(OFFSET($CX$3,0,0,'Données projet'!$E$13+1,1))-AVERAGE(OFFSET($H$3,0,0,'Données projet'!$E$13+1,1))</f>
        <v>455.50822833641354</v>
      </c>
      <c r="CZ143" s="60">
        <f t="shared" si="150"/>
        <v>261.14722581688039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296</v>
      </c>
      <c r="DM143" s="13">
        <f>VLOOKUP(A143,'Données projet'!$A$165:$I$185,9,0)</f>
        <v>2.7</v>
      </c>
      <c r="DN143" s="13">
        <f t="array" ref="DN143">INDEX(DM:DM,MIN(IF(ISNUMBER(DM143:DM339),ROW(DM143:DM339),"")))</f>
        <v>2.7</v>
      </c>
      <c r="DO143" s="13">
        <f>IF('Données projet'!$A$166&gt;35,DO142+DN143-DW142,IF(A143&lt;'Données projet'!$A$166,$DL$205^A143,IF(A143='Données projet'!$A$166,'Données projet'!$B$166,DO142+DN143-DW142)))</f>
        <v>295.99999999999926</v>
      </c>
      <c r="DP143" s="18">
        <f>DO143*VLOOKUP('Données projet'!$B$14,Paramètres!$A$1:$I$89,3,0)*VLOOKUP('Données projet'!$B$14,Paramètres!$A$1:$I$89,5,0)</f>
        <v>318.61439999999919</v>
      </c>
      <c r="DQ143" s="14">
        <f t="shared" si="151"/>
        <v>75.064979865028292</v>
      </c>
      <c r="DR143" s="22">
        <f t="shared" si="124"/>
        <v>685.65825326492302</v>
      </c>
      <c r="DS143" s="60">
        <f t="shared" si="125"/>
        <v>978.99158659825639</v>
      </c>
      <c r="DT143" s="60">
        <f ca="1">AVERAGE(OFFSET($DS$3,0,0,'Données projet'!$E$14+1,1))-AVERAGE(OFFSET($H$3,0,0,'Données projet'!$E$14+1,1))</f>
        <v>502.07782026233912</v>
      </c>
      <c r="DU143" s="60">
        <f t="shared" si="152"/>
        <v>285.83623046025156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27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>
        <f>VLOOKUP(A143,'Données projet'!$A$191:$I$211,2,0)</f>
        <v>296</v>
      </c>
      <c r="EH143" s="13">
        <f>VLOOKUP(A143,'Données projet'!$A$191:$I$211,9,0)</f>
        <v>2.7</v>
      </c>
      <c r="EI143" s="13">
        <f t="array" ref="EI143">INDEX(EH:EH,MIN(IF(ISNUMBER(EH143:EH339),ROW(EH143:EH339),"")))</f>
        <v>2.7</v>
      </c>
      <c r="EJ143" s="13">
        <f>IF('Données projet'!$A$192&gt;35,EJ142+EI143-ER142,IF(A143&lt;'Données projet'!$A$192,$EG$205^A143,IF(A143='Données projet'!$A$192,'Données projet'!$B$192,EJ142+EI143-ER142)))</f>
        <v>295.99999999999926</v>
      </c>
      <c r="EK143" s="18">
        <f>EJ143*VLOOKUP('Données projet'!$B$15,Paramètres!$A$1:$I$89,3,0)*VLOOKUP('Données projet'!$B$15,Paramètres!$A$1:$I$89,5,0)</f>
        <v>267.82079999999934</v>
      </c>
      <c r="EL143" s="14">
        <f t="shared" si="153"/>
        <v>64.386570147897245</v>
      </c>
      <c r="EM143" s="22">
        <f t="shared" si="127"/>
        <v>578.59450300758647</v>
      </c>
      <c r="EN143" s="60">
        <f t="shared" si="128"/>
        <v>871.92783634091984</v>
      </c>
      <c r="EO143" s="60">
        <f ca="1">AVERAGE(OFFSET($EN$3,0,0,'Données projet'!$E$15+1,1))-AVERAGE(OFFSET($H$3,0,0,'Données projet'!$E$15+1,1))</f>
        <v>428.8489304403459</v>
      </c>
      <c r="EP143" s="60">
        <f t="shared" si="154"/>
        <v>247.01165577562966</v>
      </c>
      <c r="EQ143" s="16">
        <f>IF(ISNA(VLOOKUP(A143,'Données projet'!$A$191:$I$211,3,0)),0,VLOOKUP(A143,'Données projet'!$A$191:$I$211,3,0))</f>
        <v>12</v>
      </c>
      <c r="ER143" s="16">
        <f>IF(ISNA(VLOOKUP(A143,'Données projet'!$A$191:$I$211,4,0)),0,VLOOKUP(A143,'Données projet'!$A$191:$I$211,4,0))</f>
        <v>27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 t="e">
        <f>N144*VLOOKUP('Données projet'!$B$9,Paramètres!$A$1:$I$89,3,0)*VLOOKUP('Données projet'!$B$9,Paramètres!$A$1:$I$89,5,0)</f>
        <v>#N/A</v>
      </c>
      <c r="P144" s="14" t="e">
        <f t="shared" si="141"/>
        <v>#N/A</v>
      </c>
      <c r="Q144" s="22" t="e">
        <f t="shared" si="108"/>
        <v>#N/A</v>
      </c>
      <c r="R144" s="60" t="e">
        <f t="shared" si="109"/>
        <v>#N/A</v>
      </c>
      <c r="S144" s="60" t="e">
        <f ca="1">AVERAGE(OFFSET($R$3,0,0,'Données projet'!$E$9+1,1))-AVERAGE(OFFSET($H$3,0,0,'Données projet'!$E$9+1,1))</f>
        <v>#N/A</v>
      </c>
      <c r="T144" s="60" t="e">
        <f t="shared" si="142"/>
        <v>#N/A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 t="e">
        <f>EXP(-LN(2)/35)*Z143+(1-EXP(-LN(2)/35))/(LN(2)/35)*V144*W144*VLOOKUP('Données projet'!$B$9,Paramètres!$A$1:$I$89,3,0)*0.475*44/12</f>
        <v>#N/A</v>
      </c>
      <c r="AA144" s="23" t="e">
        <f>EXP(-LN(2)/25)*AA143+(1-EXP(-LN(2)/25))/(LN(2)/25)*Calculateur!V144*Calculateur!X144*VLOOKUP('Données projet'!$B$9,Paramètres!$A$1:$I$89,3,0)*0.475*44/12</f>
        <v>#N/A</v>
      </c>
      <c r="AB144" s="23" t="e">
        <f>EXP(-LN(2)/2)*AB143+(1-EXP(-LN(2)/2))/(LN(2)/2)*V144*Y144*VLOOKUP('Données projet'!$B$9,Paramètres!$A$1:$I$89,3,0)*0.475*44/12</f>
        <v>#N/A</v>
      </c>
      <c r="AC144" s="24" t="e">
        <f t="shared" si="111"/>
        <v>#N/A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0" t="e">
        <f t="shared" si="113"/>
        <v>#N/A</v>
      </c>
      <c r="AN144" s="60" t="e">
        <f ca="1">AVERAGE(OFFSET($AM$3,0,0,'Données projet'!$E$10+1,1))-AVERAGE(OFFSET($H$3,0,0,'Données projet'!$E$10+1,1))</f>
        <v>#N/A</v>
      </c>
      <c r="AO144" s="60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-1.0818439477588981E-13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357.083670644861</v>
      </c>
      <c r="BJ144" s="60">
        <f t="shared" si="146"/>
        <v>299.88885091109654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-3.694822225952521E-13</v>
      </c>
      <c r="BZ144" s="14">
        <f>BY144*VLOOKUP('Données projet'!$B$12,Paramètres!$A$1:$I$89,3,0)*VLOOKUP('Données projet'!$B$12,Paramètres!$A$1:$I$89,5,0)</f>
        <v>-1.7291768017457797E-13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245.98992992759543</v>
      </c>
      <c r="CE144" s="60">
        <f t="shared" si="148"/>
        <v>145.34368562171613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262.49807999999928</v>
      </c>
      <c r="CV144" s="14">
        <f t="shared" si="149"/>
        <v>63.254570961137979</v>
      </c>
      <c r="CW144" s="22">
        <f t="shared" si="121"/>
        <v>567.35253375731406</v>
      </c>
      <c r="CX144" s="60">
        <f t="shared" si="122"/>
        <v>860.68586709064743</v>
      </c>
      <c r="CY144" s="60">
        <f ca="1">AVERAGE(OFFSET($CX$3,0,0,'Données projet'!$E$13+1,1))-AVERAGE(OFFSET($H$3,0,0,'Données projet'!$E$13+1,1))</f>
        <v>455.50822833641354</v>
      </c>
      <c r="CZ144" s="60">
        <f t="shared" si="150"/>
        <v>261.14722581688039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2.4</v>
      </c>
      <c r="DO144" s="13">
        <f>IF('Données projet'!$A$166&gt;35,DO143+DN144-DW143,IF(A144&lt;'Données projet'!$A$166,$DL$205^A144,IF(A144='Données projet'!$A$166,'Données projet'!$B$166,DO143+DN144-DW143)))</f>
        <v>271.39999999999924</v>
      </c>
      <c r="DP144" s="18">
        <f>DO144*VLOOKUP('Données projet'!$B$14,Paramètres!$A$1:$I$89,3,0)*VLOOKUP('Données projet'!$B$14,Paramètres!$A$1:$I$89,5,0)</f>
        <v>292.13495999999913</v>
      </c>
      <c r="DQ144" s="14">
        <f t="shared" si="151"/>
        <v>69.525108311202104</v>
      </c>
      <c r="DR144" s="22">
        <f t="shared" si="124"/>
        <v>629.89128564200882</v>
      </c>
      <c r="DS144" s="60">
        <f t="shared" si="125"/>
        <v>923.22461897534208</v>
      </c>
      <c r="DT144" s="60">
        <f ca="1">AVERAGE(OFFSET($DS$3,0,0,'Données projet'!$E$14+1,1))-AVERAGE(OFFSET($H$3,0,0,'Données projet'!$E$14+1,1))</f>
        <v>502.07782026233912</v>
      </c>
      <c r="DU144" s="60">
        <f t="shared" si="152"/>
        <v>285.83623046025156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2.4</v>
      </c>
      <c r="EJ144" s="13">
        <f>IF('Données projet'!$A$192&gt;35,EJ143+EI144-ER143,IF(A144&lt;'Données projet'!$A$192,$EG$205^A144,IF(A144='Données projet'!$A$192,'Données projet'!$B$192,EJ143+EI144-ER143)))</f>
        <v>271.39999999999924</v>
      </c>
      <c r="EK144" s="18">
        <f>EJ144*VLOOKUP('Données projet'!$B$15,Paramètres!$A$1:$I$89,3,0)*VLOOKUP('Données projet'!$B$15,Paramètres!$A$1:$I$89,5,0)</f>
        <v>245.5627199999993</v>
      </c>
      <c r="EL144" s="14">
        <f t="shared" si="153"/>
        <v>59.634776048276741</v>
      </c>
      <c r="EM144" s="22">
        <f t="shared" si="127"/>
        <v>531.55230561741405</v>
      </c>
      <c r="EN144" s="60">
        <f t="shared" si="128"/>
        <v>824.88563895074731</v>
      </c>
      <c r="EO144" s="60">
        <f ca="1">AVERAGE(OFFSET($EN$3,0,0,'Données projet'!$E$15+1,1))-AVERAGE(OFFSET($H$3,0,0,'Données projet'!$E$15+1,1))</f>
        <v>428.8489304403459</v>
      </c>
      <c r="EP144" s="60">
        <f t="shared" si="154"/>
        <v>247.01165577562966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 t="e">
        <f>N145*VLOOKUP('Données projet'!$B$9,Paramètres!$A$1:$I$89,3,0)*VLOOKUP('Données projet'!$B$9,Paramètres!$A$1:$I$89,5,0)</f>
        <v>#N/A</v>
      </c>
      <c r="P145" s="14" t="e">
        <f t="shared" si="141"/>
        <v>#N/A</v>
      </c>
      <c r="Q145" s="22" t="e">
        <f t="shared" si="108"/>
        <v>#N/A</v>
      </c>
      <c r="R145" s="60" t="e">
        <f t="shared" si="109"/>
        <v>#N/A</v>
      </c>
      <c r="S145" s="60" t="e">
        <f ca="1">AVERAGE(OFFSET($R$3,0,0,'Données projet'!$E$9+1,1))-AVERAGE(OFFSET($H$3,0,0,'Données projet'!$E$9+1,1))</f>
        <v>#N/A</v>
      </c>
      <c r="T145" s="60" t="e">
        <f t="shared" si="142"/>
        <v>#N/A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 t="e">
        <f>EXP(-LN(2)/35)*Z144+(1-EXP(-LN(2)/35))/(LN(2)/35)*V145*W145*VLOOKUP('Données projet'!$B$9,Paramètres!$A$1:$I$89,3,0)*0.475*44/12</f>
        <v>#N/A</v>
      </c>
      <c r="AA145" s="23" t="e">
        <f>EXP(-LN(2)/25)*AA144+(1-EXP(-LN(2)/25))/(LN(2)/25)*Calculateur!V145*Calculateur!X145*VLOOKUP('Données projet'!$B$9,Paramètres!$A$1:$I$89,3,0)*0.475*44/12</f>
        <v>#N/A</v>
      </c>
      <c r="AB145" s="23" t="e">
        <f>EXP(-LN(2)/2)*AB144+(1-EXP(-LN(2)/2))/(LN(2)/2)*V145*Y145*VLOOKUP('Données projet'!$B$9,Paramètres!$A$1:$I$89,3,0)*0.475*44/12</f>
        <v>#N/A</v>
      </c>
      <c r="AC145" s="24" t="e">
        <f t="shared" si="111"/>
        <v>#N/A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0" t="e">
        <f t="shared" si="113"/>
        <v>#N/A</v>
      </c>
      <c r="AN145" s="60" t="e">
        <f ca="1">AVERAGE(OFFSET($AM$3,0,0,'Données projet'!$E$10+1,1))-AVERAGE(OFFSET($H$3,0,0,'Données projet'!$E$10+1,1))</f>
        <v>#N/A</v>
      </c>
      <c r="AO145" s="60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-1.0818439477588981E-13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357.083670644861</v>
      </c>
      <c r="BJ145" s="60">
        <f t="shared" si="146"/>
        <v>299.88885091109654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-3.694822225952521E-13</v>
      </c>
      <c r="BZ145" s="14">
        <f>BY145*VLOOKUP('Données projet'!$B$12,Paramètres!$A$1:$I$89,3,0)*VLOOKUP('Données projet'!$B$12,Paramètres!$A$1:$I$89,5,0)</f>
        <v>-1.7291768017457797E-13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245.98992992759543</v>
      </c>
      <c r="CE145" s="60">
        <f t="shared" si="148"/>
        <v>145.34368562171613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264.81935999999928</v>
      </c>
      <c r="CV145" s="14">
        <f t="shared" si="149"/>
        <v>63.748570085236892</v>
      </c>
      <c r="CW145" s="22">
        <f t="shared" si="121"/>
        <v>572.25581156511964</v>
      </c>
      <c r="CX145" s="60">
        <f t="shared" si="122"/>
        <v>865.58914489845301</v>
      </c>
      <c r="CY145" s="60">
        <f ca="1">AVERAGE(OFFSET($CX$3,0,0,'Données projet'!$E$13+1,1))-AVERAGE(OFFSET($H$3,0,0,'Données projet'!$E$13+1,1))</f>
        <v>455.50822833641354</v>
      </c>
      <c r="CZ145" s="60">
        <f t="shared" si="150"/>
        <v>261.14722581688039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2.4</v>
      </c>
      <c r="DO145" s="13">
        <f>IF('Données projet'!$A$166&gt;35,DO144+DN145-DW144,IF(A145&lt;'Données projet'!$A$166,$DL$205^A145,IF(A145='Données projet'!$A$166,'Données projet'!$B$166,DO144+DN145-DW144)))</f>
        <v>273.79999999999922</v>
      </c>
      <c r="DP145" s="18">
        <f>DO145*VLOOKUP('Données projet'!$B$14,Paramètres!$A$1:$I$89,3,0)*VLOOKUP('Données projet'!$B$14,Paramètres!$A$1:$I$89,5,0)</f>
        <v>294.71831999999915</v>
      </c>
      <c r="DQ145" s="14">
        <f t="shared" si="151"/>
        <v>70.068078441055917</v>
      </c>
      <c r="DR145" s="22">
        <f t="shared" si="124"/>
        <v>635.33631061817096</v>
      </c>
      <c r="DS145" s="60">
        <f t="shared" si="125"/>
        <v>928.66964395150421</v>
      </c>
      <c r="DT145" s="60">
        <f ca="1">AVERAGE(OFFSET($DS$3,0,0,'Données projet'!$E$14+1,1))-AVERAGE(OFFSET($H$3,0,0,'Données projet'!$E$14+1,1))</f>
        <v>502.07782026233912</v>
      </c>
      <c r="DU145" s="60">
        <f t="shared" si="152"/>
        <v>285.83623046025156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2.4</v>
      </c>
      <c r="EJ145" s="13">
        <f>IF('Données projet'!$A$192&gt;35,EJ144+EI145-ER144,IF(A145&lt;'Données projet'!$A$192,$EG$205^A145,IF(A145='Données projet'!$A$192,'Données projet'!$B$192,EJ144+EI145-ER144)))</f>
        <v>273.79999999999922</v>
      </c>
      <c r="EK145" s="18">
        <f>EJ145*VLOOKUP('Données projet'!$B$15,Paramètres!$A$1:$I$89,3,0)*VLOOKUP('Données projet'!$B$15,Paramètres!$A$1:$I$89,5,0)</f>
        <v>247.73423999999929</v>
      </c>
      <c r="EL145" s="14">
        <f t="shared" si="153"/>
        <v>60.100505665694953</v>
      </c>
      <c r="EM145" s="22">
        <f t="shared" si="127"/>
        <v>536.14551536775082</v>
      </c>
      <c r="EN145" s="60">
        <f t="shared" si="128"/>
        <v>829.47884870108419</v>
      </c>
      <c r="EO145" s="60">
        <f ca="1">AVERAGE(OFFSET($EN$3,0,0,'Données projet'!$E$15+1,1))-AVERAGE(OFFSET($H$3,0,0,'Données projet'!$E$15+1,1))</f>
        <v>428.8489304403459</v>
      </c>
      <c r="EP145" s="60">
        <f t="shared" si="154"/>
        <v>247.01165577562966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 t="e">
        <f>N146*VLOOKUP('Données projet'!$B$9,Paramètres!$A$1:$I$89,3,0)*VLOOKUP('Données projet'!$B$9,Paramètres!$A$1:$I$89,5,0)</f>
        <v>#N/A</v>
      </c>
      <c r="P146" s="14" t="e">
        <f t="shared" si="141"/>
        <v>#N/A</v>
      </c>
      <c r="Q146" s="22" t="e">
        <f t="shared" si="108"/>
        <v>#N/A</v>
      </c>
      <c r="R146" s="60" t="e">
        <f t="shared" si="109"/>
        <v>#N/A</v>
      </c>
      <c r="S146" s="60" t="e">
        <f ca="1">AVERAGE(OFFSET($R$3,0,0,'Données projet'!$E$9+1,1))-AVERAGE(OFFSET($H$3,0,0,'Données projet'!$E$9+1,1))</f>
        <v>#N/A</v>
      </c>
      <c r="T146" s="60" t="e">
        <f t="shared" si="142"/>
        <v>#N/A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 t="e">
        <f>EXP(-LN(2)/35)*Z145+(1-EXP(-LN(2)/35))/(LN(2)/35)*V146*W146*VLOOKUP('Données projet'!$B$9,Paramètres!$A$1:$I$89,3,0)*0.475*44/12</f>
        <v>#N/A</v>
      </c>
      <c r="AA146" s="23" t="e">
        <f>EXP(-LN(2)/25)*AA145+(1-EXP(-LN(2)/25))/(LN(2)/25)*Calculateur!V146*Calculateur!X146*VLOOKUP('Données projet'!$B$9,Paramètres!$A$1:$I$89,3,0)*0.475*44/12</f>
        <v>#N/A</v>
      </c>
      <c r="AB146" s="23" t="e">
        <f>EXP(-LN(2)/2)*AB145+(1-EXP(-LN(2)/2))/(LN(2)/2)*V146*Y146*VLOOKUP('Données projet'!$B$9,Paramètres!$A$1:$I$89,3,0)*0.475*44/12</f>
        <v>#N/A</v>
      </c>
      <c r="AC146" s="24" t="e">
        <f t="shared" si="111"/>
        <v>#N/A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0" t="e">
        <f t="shared" si="113"/>
        <v>#N/A</v>
      </c>
      <c r="AN146" s="60" t="e">
        <f ca="1">AVERAGE(OFFSET($AM$3,0,0,'Données projet'!$E$10+1,1))-AVERAGE(OFFSET($H$3,0,0,'Données projet'!$E$10+1,1))</f>
        <v>#N/A</v>
      </c>
      <c r="AO146" s="60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-1.0818439477588981E-13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357.083670644861</v>
      </c>
      <c r="BJ146" s="60">
        <f t="shared" si="146"/>
        <v>299.88885091109654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-3.694822225952521E-13</v>
      </c>
      <c r="BZ146" s="14">
        <f>BY146*VLOOKUP('Données projet'!$B$12,Paramètres!$A$1:$I$89,3,0)*VLOOKUP('Données projet'!$B$12,Paramètres!$A$1:$I$89,5,0)</f>
        <v>-1.7291768017457797E-13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245.98992992759543</v>
      </c>
      <c r="CE146" s="60">
        <f t="shared" si="148"/>
        <v>145.34368562171613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267.14063999999922</v>
      </c>
      <c r="CV146" s="14">
        <f t="shared" si="149"/>
        <v>64.242065428895785</v>
      </c>
      <c r="CW146" s="22">
        <f t="shared" si="121"/>
        <v>577.15821195532533</v>
      </c>
      <c r="CX146" s="60">
        <f t="shared" si="122"/>
        <v>870.4915452886587</v>
      </c>
      <c r="CY146" s="60">
        <f ca="1">AVERAGE(OFFSET($CX$3,0,0,'Données projet'!$E$13+1,1))-AVERAGE(OFFSET($H$3,0,0,'Données projet'!$E$13+1,1))</f>
        <v>455.50822833641354</v>
      </c>
      <c r="CZ146" s="60">
        <f t="shared" si="150"/>
        <v>261.14722581688039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2.4</v>
      </c>
      <c r="DO146" s="13">
        <f>IF('Données projet'!$A$166&gt;35,DO145+DN146-DW145,IF(A146&lt;'Données projet'!$A$166,$DL$205^A146,IF(A146='Données projet'!$A$166,'Données projet'!$B$166,DO145+DN146-DW145)))</f>
        <v>276.19999999999919</v>
      </c>
      <c r="DP146" s="18">
        <f>DO146*VLOOKUP('Données projet'!$B$14,Paramètres!$A$1:$I$89,3,0)*VLOOKUP('Données projet'!$B$14,Paramètres!$A$1:$I$89,5,0)</f>
        <v>297.30167999999912</v>
      </c>
      <c r="DQ146" s="14">
        <f t="shared" si="151"/>
        <v>70.610494849824818</v>
      </c>
      <c r="DR146" s="22">
        <f t="shared" si="124"/>
        <v>640.78037119677663</v>
      </c>
      <c r="DS146" s="60">
        <f t="shared" si="125"/>
        <v>934.11370453011</v>
      </c>
      <c r="DT146" s="60">
        <f ca="1">AVERAGE(OFFSET($DS$3,0,0,'Données projet'!$E$14+1,1))-AVERAGE(OFFSET($H$3,0,0,'Données projet'!$E$14+1,1))</f>
        <v>502.07782026233912</v>
      </c>
      <c r="DU146" s="60">
        <f t="shared" si="152"/>
        <v>285.83623046025156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2.4</v>
      </c>
      <c r="EJ146" s="13">
        <f>IF('Données projet'!$A$192&gt;35,EJ145+EI146-ER145,IF(A146&lt;'Données projet'!$A$192,$EG$205^A146,IF(A146='Données projet'!$A$192,'Données projet'!$B$192,EJ145+EI146-ER145)))</f>
        <v>276.19999999999919</v>
      </c>
      <c r="EK146" s="18">
        <f>EJ146*VLOOKUP('Données projet'!$B$15,Paramètres!$A$1:$I$89,3,0)*VLOOKUP('Données projet'!$B$15,Paramètres!$A$1:$I$89,5,0)</f>
        <v>249.90575999999925</v>
      </c>
      <c r="EL146" s="14">
        <f t="shared" si="153"/>
        <v>60.565760331923727</v>
      </c>
      <c r="EM146" s="22">
        <f t="shared" si="127"/>
        <v>540.73789791143247</v>
      </c>
      <c r="EN146" s="60">
        <f t="shared" si="128"/>
        <v>834.07123124476584</v>
      </c>
      <c r="EO146" s="60">
        <f ca="1">AVERAGE(OFFSET($EN$3,0,0,'Données projet'!$E$15+1,1))-AVERAGE(OFFSET($H$3,0,0,'Données projet'!$E$15+1,1))</f>
        <v>428.8489304403459</v>
      </c>
      <c r="EP146" s="60">
        <f t="shared" si="154"/>
        <v>247.01165577562966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 t="e">
        <f>N147*VLOOKUP('Données projet'!$B$9,Paramètres!$A$1:$I$89,3,0)*VLOOKUP('Données projet'!$B$9,Paramètres!$A$1:$I$89,5,0)</f>
        <v>#N/A</v>
      </c>
      <c r="P147" s="14" t="e">
        <f t="shared" si="141"/>
        <v>#N/A</v>
      </c>
      <c r="Q147" s="22" t="e">
        <f t="shared" si="108"/>
        <v>#N/A</v>
      </c>
      <c r="R147" s="60" t="e">
        <f t="shared" si="109"/>
        <v>#N/A</v>
      </c>
      <c r="S147" s="60" t="e">
        <f ca="1">AVERAGE(OFFSET($R$3,0,0,'Données projet'!$E$9+1,1))-AVERAGE(OFFSET($H$3,0,0,'Données projet'!$E$9+1,1))</f>
        <v>#N/A</v>
      </c>
      <c r="T147" s="60" t="e">
        <f t="shared" si="142"/>
        <v>#N/A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 t="e">
        <f>EXP(-LN(2)/35)*Z146+(1-EXP(-LN(2)/35))/(LN(2)/35)*V147*W147*VLOOKUP('Données projet'!$B$9,Paramètres!$A$1:$I$89,3,0)*0.475*44/12</f>
        <v>#N/A</v>
      </c>
      <c r="AA147" s="23" t="e">
        <f>EXP(-LN(2)/25)*AA146+(1-EXP(-LN(2)/25))/(LN(2)/25)*Calculateur!V147*Calculateur!X147*VLOOKUP('Données projet'!$B$9,Paramètres!$A$1:$I$89,3,0)*0.475*44/12</f>
        <v>#N/A</v>
      </c>
      <c r="AB147" s="23" t="e">
        <f>EXP(-LN(2)/2)*AB146+(1-EXP(-LN(2)/2))/(LN(2)/2)*V147*Y147*VLOOKUP('Données projet'!$B$9,Paramètres!$A$1:$I$89,3,0)*0.475*44/12</f>
        <v>#N/A</v>
      </c>
      <c r="AC147" s="24" t="e">
        <f t="shared" si="111"/>
        <v>#N/A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0" t="e">
        <f t="shared" si="113"/>
        <v>#N/A</v>
      </c>
      <c r="AN147" s="60" t="e">
        <f ca="1">AVERAGE(OFFSET($AM$3,0,0,'Données projet'!$E$10+1,1))-AVERAGE(OFFSET($H$3,0,0,'Données projet'!$E$10+1,1))</f>
        <v>#N/A</v>
      </c>
      <c r="AO147" s="60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-1.0818439477588981E-13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357.083670644861</v>
      </c>
      <c r="BJ147" s="60">
        <f t="shared" si="146"/>
        <v>299.88885091109654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-3.694822225952521E-13</v>
      </c>
      <c r="BZ147" s="14">
        <f>BY147*VLOOKUP('Données projet'!$B$12,Paramètres!$A$1:$I$89,3,0)*VLOOKUP('Données projet'!$B$12,Paramètres!$A$1:$I$89,5,0)</f>
        <v>-1.7291768017457797E-13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245.98992992759543</v>
      </c>
      <c r="CE147" s="60">
        <f t="shared" si="148"/>
        <v>145.34368562171613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269.46191999999922</v>
      </c>
      <c r="CV147" s="14">
        <f t="shared" si="149"/>
        <v>64.735061876838927</v>
      </c>
      <c r="CW147" s="22">
        <f t="shared" si="121"/>
        <v>582.05974343549315</v>
      </c>
      <c r="CX147" s="60">
        <f t="shared" si="122"/>
        <v>875.3930767688264</v>
      </c>
      <c r="CY147" s="60">
        <f ca="1">AVERAGE(OFFSET($CX$3,0,0,'Données projet'!$E$13+1,1))-AVERAGE(OFFSET($H$3,0,0,'Données projet'!$E$13+1,1))</f>
        <v>455.50822833641354</v>
      </c>
      <c r="CZ147" s="60">
        <f t="shared" si="150"/>
        <v>261.14722581688039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2.4</v>
      </c>
      <c r="DO147" s="13">
        <f>IF('Données projet'!$A$166&gt;35,DO146+DN147-DW146,IF(A147&lt;'Données projet'!$A$166,$DL$205^A147,IF(A147='Données projet'!$A$166,'Données projet'!$B$166,DO146+DN147-DW146)))</f>
        <v>278.59999999999917</v>
      </c>
      <c r="DP147" s="18">
        <f>DO147*VLOOKUP('Données projet'!$B$14,Paramètres!$A$1:$I$89,3,0)*VLOOKUP('Données projet'!$B$14,Paramètres!$A$1:$I$89,5,0)</f>
        <v>299.88503999999909</v>
      </c>
      <c r="DQ147" s="14">
        <f t="shared" si="151"/>
        <v>71.152362906464447</v>
      </c>
      <c r="DR147" s="22">
        <f t="shared" si="124"/>
        <v>646.2234767287573</v>
      </c>
      <c r="DS147" s="60">
        <f t="shared" si="125"/>
        <v>939.55681006209056</v>
      </c>
      <c r="DT147" s="60">
        <f ca="1">AVERAGE(OFFSET($DS$3,0,0,'Données projet'!$E$14+1,1))-AVERAGE(OFFSET($H$3,0,0,'Données projet'!$E$14+1,1))</f>
        <v>502.07782026233912</v>
      </c>
      <c r="DU147" s="60">
        <f t="shared" si="152"/>
        <v>285.83623046025156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2.4</v>
      </c>
      <c r="EJ147" s="13">
        <f>IF('Données projet'!$A$192&gt;35,EJ146+EI147-ER146,IF(A147&lt;'Données projet'!$A$192,$EG$205^A147,IF(A147='Données projet'!$A$192,'Données projet'!$B$192,EJ146+EI147-ER146)))</f>
        <v>278.59999999999917</v>
      </c>
      <c r="EK147" s="18">
        <f>EJ147*VLOOKUP('Données projet'!$B$15,Paramètres!$A$1:$I$89,3,0)*VLOOKUP('Données projet'!$B$15,Paramètres!$A$1:$I$89,5,0)</f>
        <v>252.07727999999923</v>
      </c>
      <c r="EL147" s="14">
        <f t="shared" si="153"/>
        <v>61.030544652154823</v>
      </c>
      <c r="EM147" s="22">
        <f t="shared" si="127"/>
        <v>545.32946126916829</v>
      </c>
      <c r="EN147" s="60">
        <f t="shared" si="128"/>
        <v>838.66279460250166</v>
      </c>
      <c r="EO147" s="60">
        <f ca="1">AVERAGE(OFFSET($EN$3,0,0,'Données projet'!$E$15+1,1))-AVERAGE(OFFSET($H$3,0,0,'Données projet'!$E$15+1,1))</f>
        <v>428.8489304403459</v>
      </c>
      <c r="EP147" s="60">
        <f t="shared" si="154"/>
        <v>247.01165577562966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 t="e">
        <f>N148*VLOOKUP('Données projet'!$B$9,Paramètres!$A$1:$I$89,3,0)*VLOOKUP('Données projet'!$B$9,Paramètres!$A$1:$I$89,5,0)</f>
        <v>#N/A</v>
      </c>
      <c r="P148" s="14" t="e">
        <f t="shared" si="141"/>
        <v>#N/A</v>
      </c>
      <c r="Q148" s="22" t="e">
        <f t="shared" si="108"/>
        <v>#N/A</v>
      </c>
      <c r="R148" s="60" t="e">
        <f t="shared" si="109"/>
        <v>#N/A</v>
      </c>
      <c r="S148" s="60" t="e">
        <f ca="1">AVERAGE(OFFSET($R$3,0,0,'Données projet'!$E$9+1,1))-AVERAGE(OFFSET($H$3,0,0,'Données projet'!$E$9+1,1))</f>
        <v>#N/A</v>
      </c>
      <c r="T148" s="60" t="e">
        <f t="shared" si="142"/>
        <v>#N/A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 t="e">
        <f>EXP(-LN(2)/35)*Z147+(1-EXP(-LN(2)/35))/(LN(2)/35)*V148*W148*VLOOKUP('Données projet'!$B$9,Paramètres!$A$1:$I$89,3,0)*0.475*44/12</f>
        <v>#N/A</v>
      </c>
      <c r="AA148" s="23" t="e">
        <f>EXP(-LN(2)/25)*AA147+(1-EXP(-LN(2)/25))/(LN(2)/25)*Calculateur!V148*Calculateur!X148*VLOOKUP('Données projet'!$B$9,Paramètres!$A$1:$I$89,3,0)*0.475*44/12</f>
        <v>#N/A</v>
      </c>
      <c r="AB148" s="23" t="e">
        <f>EXP(-LN(2)/2)*AB147+(1-EXP(-LN(2)/2))/(LN(2)/2)*V148*Y148*VLOOKUP('Données projet'!$B$9,Paramètres!$A$1:$I$89,3,0)*0.475*44/12</f>
        <v>#N/A</v>
      </c>
      <c r="AC148" s="24" t="e">
        <f t="shared" si="111"/>
        <v>#N/A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0" t="e">
        <f t="shared" si="113"/>
        <v>#N/A</v>
      </c>
      <c r="AN148" s="60" t="e">
        <f ca="1">AVERAGE(OFFSET($AM$3,0,0,'Données projet'!$E$10+1,1))-AVERAGE(OFFSET($H$3,0,0,'Données projet'!$E$10+1,1))</f>
        <v>#N/A</v>
      </c>
      <c r="AO148" s="60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-1.0818439477588981E-13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357.083670644861</v>
      </c>
      <c r="BJ148" s="60">
        <f t="shared" si="146"/>
        <v>299.88885091109654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-3.694822225952521E-13</v>
      </c>
      <c r="BZ148" s="14">
        <f>BY148*VLOOKUP('Données projet'!$B$12,Paramètres!$A$1:$I$89,3,0)*VLOOKUP('Données projet'!$B$12,Paramètres!$A$1:$I$89,5,0)</f>
        <v>-1.7291768017457797E-13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245.98992992759543</v>
      </c>
      <c r="CE148" s="60">
        <f t="shared" si="148"/>
        <v>145.34368562171613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271.78319999999917</v>
      </c>
      <c r="CV148" s="14">
        <f t="shared" si="149"/>
        <v>65.227564224775008</v>
      </c>
      <c r="CW148" s="22">
        <f t="shared" si="121"/>
        <v>586.96041435814834</v>
      </c>
      <c r="CX148" s="60">
        <f t="shared" si="122"/>
        <v>880.29374769148171</v>
      </c>
      <c r="CY148" s="60">
        <f ca="1">AVERAGE(OFFSET($CX$3,0,0,'Données projet'!$E$13+1,1))-AVERAGE(OFFSET($H$3,0,0,'Données projet'!$E$13+1,1))</f>
        <v>455.50822833641354</v>
      </c>
      <c r="CZ148" s="60">
        <f t="shared" si="150"/>
        <v>261.14722581688039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2.4</v>
      </c>
      <c r="DO148" s="13">
        <f>IF('Données projet'!$A$166&gt;35,DO147+DN148-DW147,IF(A148&lt;'Données projet'!$A$166,$DL$205^A148,IF(A148='Données projet'!$A$166,'Données projet'!$B$166,DO147+DN148-DW147)))</f>
        <v>280.99999999999915</v>
      </c>
      <c r="DP148" s="18">
        <f>DO148*VLOOKUP('Données projet'!$B$14,Paramètres!$A$1:$I$89,3,0)*VLOOKUP('Données projet'!$B$14,Paramètres!$A$1:$I$89,5,0)</f>
        <v>302.46839999999906</v>
      </c>
      <c r="DQ148" s="14">
        <f t="shared" si="151"/>
        <v>71.693687882090543</v>
      </c>
      <c r="DR148" s="22">
        <f t="shared" si="124"/>
        <v>651.66563639463936</v>
      </c>
      <c r="DS148" s="60">
        <f t="shared" si="125"/>
        <v>944.99896972797274</v>
      </c>
      <c r="DT148" s="60">
        <f ca="1">AVERAGE(OFFSET($DS$3,0,0,'Données projet'!$E$14+1,1))-AVERAGE(OFFSET($H$3,0,0,'Données projet'!$E$14+1,1))</f>
        <v>502.07782026233912</v>
      </c>
      <c r="DU148" s="60">
        <f t="shared" si="152"/>
        <v>285.83623046025156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2.4</v>
      </c>
      <c r="EJ148" s="13">
        <f>IF('Données projet'!$A$192&gt;35,EJ147+EI148-ER147,IF(A148&lt;'Données projet'!$A$192,$EG$205^A148,IF(A148='Données projet'!$A$192,'Données projet'!$B$192,EJ147+EI148-ER147)))</f>
        <v>280.99999999999915</v>
      </c>
      <c r="EK148" s="18">
        <f>EJ148*VLOOKUP('Données projet'!$B$15,Paramètres!$A$1:$I$89,3,0)*VLOOKUP('Données projet'!$B$15,Paramètres!$A$1:$I$89,5,0)</f>
        <v>254.24879999999925</v>
      </c>
      <c r="EL148" s="14">
        <f t="shared" si="153"/>
        <v>61.494863147658698</v>
      </c>
      <c r="EM148" s="22">
        <f t="shared" si="127"/>
        <v>549.92021331550427</v>
      </c>
      <c r="EN148" s="60">
        <f t="shared" si="128"/>
        <v>843.25354664883753</v>
      </c>
      <c r="EO148" s="60">
        <f ca="1">AVERAGE(OFFSET($EN$3,0,0,'Données projet'!$E$15+1,1))-AVERAGE(OFFSET($H$3,0,0,'Données projet'!$E$15+1,1))</f>
        <v>428.8489304403459</v>
      </c>
      <c r="EP148" s="60">
        <f t="shared" si="154"/>
        <v>247.01165577562966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 t="e">
        <f>N149*VLOOKUP('Données projet'!$B$9,Paramètres!$A$1:$I$89,3,0)*VLOOKUP('Données projet'!$B$9,Paramètres!$A$1:$I$89,5,0)</f>
        <v>#N/A</v>
      </c>
      <c r="P149" s="14" t="e">
        <f t="shared" si="141"/>
        <v>#N/A</v>
      </c>
      <c r="Q149" s="22" t="e">
        <f t="shared" si="108"/>
        <v>#N/A</v>
      </c>
      <c r="R149" s="60" t="e">
        <f t="shared" si="109"/>
        <v>#N/A</v>
      </c>
      <c r="S149" s="60" t="e">
        <f ca="1">AVERAGE(OFFSET($R$3,0,0,'Données projet'!$E$9+1,1))-AVERAGE(OFFSET($H$3,0,0,'Données projet'!$E$9+1,1))</f>
        <v>#N/A</v>
      </c>
      <c r="T149" s="60" t="e">
        <f t="shared" si="142"/>
        <v>#N/A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 t="e">
        <f>EXP(-LN(2)/35)*Z148+(1-EXP(-LN(2)/35))/(LN(2)/35)*V149*W149*VLOOKUP('Données projet'!$B$9,Paramètres!$A$1:$I$89,3,0)*0.475*44/12</f>
        <v>#N/A</v>
      </c>
      <c r="AA149" s="23" t="e">
        <f>EXP(-LN(2)/25)*AA148+(1-EXP(-LN(2)/25))/(LN(2)/25)*Calculateur!V149*Calculateur!X149*VLOOKUP('Données projet'!$B$9,Paramètres!$A$1:$I$89,3,0)*0.475*44/12</f>
        <v>#N/A</v>
      </c>
      <c r="AB149" s="23" t="e">
        <f>EXP(-LN(2)/2)*AB148+(1-EXP(-LN(2)/2))/(LN(2)/2)*V149*Y149*VLOOKUP('Données projet'!$B$9,Paramètres!$A$1:$I$89,3,0)*0.475*44/12</f>
        <v>#N/A</v>
      </c>
      <c r="AC149" s="24" t="e">
        <f t="shared" si="111"/>
        <v>#N/A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0" t="e">
        <f t="shared" si="113"/>
        <v>#N/A</v>
      </c>
      <c r="AN149" s="60" t="e">
        <f ca="1">AVERAGE(OFFSET($AM$3,0,0,'Données projet'!$E$10+1,1))-AVERAGE(OFFSET($H$3,0,0,'Données projet'!$E$10+1,1))</f>
        <v>#N/A</v>
      </c>
      <c r="AO149" s="60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-1.0818439477588981E-13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357.083670644861</v>
      </c>
      <c r="BJ149" s="60">
        <f t="shared" si="146"/>
        <v>299.88885091109654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-3.694822225952521E-13</v>
      </c>
      <c r="BZ149" s="14">
        <f>BY149*VLOOKUP('Données projet'!$B$12,Paramètres!$A$1:$I$89,3,0)*VLOOKUP('Données projet'!$B$12,Paramètres!$A$1:$I$89,5,0)</f>
        <v>-1.7291768017457797E-13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245.98992992759543</v>
      </c>
      <c r="CE149" s="60">
        <f t="shared" si="148"/>
        <v>145.34368562171613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274.10447999999917</v>
      </c>
      <c r="CV149" s="14">
        <f t="shared" si="149"/>
        <v>65.719577181765331</v>
      </c>
      <c r="CW149" s="22">
        <f t="shared" si="121"/>
        <v>591.86023292490643</v>
      </c>
      <c r="CX149" s="60">
        <f t="shared" si="122"/>
        <v>885.1935662582398</v>
      </c>
      <c r="CY149" s="60">
        <f ca="1">AVERAGE(OFFSET($CX$3,0,0,'Données projet'!$E$13+1,1))-AVERAGE(OFFSET($H$3,0,0,'Données projet'!$E$13+1,1))</f>
        <v>455.50822833641354</v>
      </c>
      <c r="CZ149" s="60">
        <f t="shared" si="150"/>
        <v>261.14722581688039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2.4</v>
      </c>
      <c r="DO149" s="13">
        <f>IF('Données projet'!$A$166&gt;35,DO148+DN149-DW148,IF(A149&lt;'Données projet'!$A$166,$DL$205^A149,IF(A149='Données projet'!$A$166,'Données projet'!$B$166,DO148+DN149-DW148)))</f>
        <v>283.39999999999912</v>
      </c>
      <c r="DP149" s="18">
        <f>DO149*VLOOKUP('Données projet'!$B$14,Paramètres!$A$1:$I$89,3,0)*VLOOKUP('Données projet'!$B$14,Paramètres!$A$1:$I$89,5,0)</f>
        <v>305.05175999999904</v>
      </c>
      <c r="DQ149" s="14">
        <f t="shared" si="151"/>
        <v>72.234474952581991</v>
      </c>
      <c r="DR149" s="22">
        <f t="shared" si="124"/>
        <v>657.10685920907861</v>
      </c>
      <c r="DS149" s="60">
        <f t="shared" si="125"/>
        <v>950.44019254241198</v>
      </c>
      <c r="DT149" s="60">
        <f ca="1">AVERAGE(OFFSET($DS$3,0,0,'Données projet'!$E$14+1,1))-AVERAGE(OFFSET($H$3,0,0,'Données projet'!$E$14+1,1))</f>
        <v>502.07782026233912</v>
      </c>
      <c r="DU149" s="60">
        <f t="shared" si="152"/>
        <v>285.83623046025156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2.4</v>
      </c>
      <c r="EJ149" s="13">
        <f>IF('Données projet'!$A$192&gt;35,EJ148+EI149-ER148,IF(A149&lt;'Données projet'!$A$192,$EG$205^A149,IF(A149='Données projet'!$A$192,'Données projet'!$B$192,EJ148+EI149-ER148)))</f>
        <v>283.39999999999912</v>
      </c>
      <c r="EK149" s="18">
        <f>EJ149*VLOOKUP('Données projet'!$B$15,Paramètres!$A$1:$I$89,3,0)*VLOOKUP('Données projet'!$B$15,Paramètres!$A$1:$I$89,5,0)</f>
        <v>256.42031999999921</v>
      </c>
      <c r="EL149" s="14">
        <f t="shared" si="153"/>
        <v>61.958720258016747</v>
      </c>
      <c r="EM149" s="22">
        <f t="shared" si="127"/>
        <v>554.51016178271107</v>
      </c>
      <c r="EN149" s="60">
        <f t="shared" si="128"/>
        <v>847.84349511604432</v>
      </c>
      <c r="EO149" s="60">
        <f ca="1">AVERAGE(OFFSET($EN$3,0,0,'Données projet'!$E$15+1,1))-AVERAGE(OFFSET($H$3,0,0,'Données projet'!$E$15+1,1))</f>
        <v>428.8489304403459</v>
      </c>
      <c r="EP149" s="60">
        <f t="shared" si="154"/>
        <v>247.01165577562966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 t="e">
        <f>N150*VLOOKUP('Données projet'!$B$9,Paramètres!$A$1:$I$89,3,0)*VLOOKUP('Données projet'!$B$9,Paramètres!$A$1:$I$89,5,0)</f>
        <v>#N/A</v>
      </c>
      <c r="P150" s="14" t="e">
        <f t="shared" si="141"/>
        <v>#N/A</v>
      </c>
      <c r="Q150" s="22" t="e">
        <f t="shared" si="108"/>
        <v>#N/A</v>
      </c>
      <c r="R150" s="60" t="e">
        <f t="shared" si="109"/>
        <v>#N/A</v>
      </c>
      <c r="S150" s="60" t="e">
        <f ca="1">AVERAGE(OFFSET($R$3,0,0,'Données projet'!$E$9+1,1))-AVERAGE(OFFSET($H$3,0,0,'Données projet'!$E$9+1,1))</f>
        <v>#N/A</v>
      </c>
      <c r="T150" s="60" t="e">
        <f t="shared" si="142"/>
        <v>#N/A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 t="e">
        <f>EXP(-LN(2)/35)*Z149+(1-EXP(-LN(2)/35))/(LN(2)/35)*V150*W150*VLOOKUP('Données projet'!$B$9,Paramètres!$A$1:$I$89,3,0)*0.475*44/12</f>
        <v>#N/A</v>
      </c>
      <c r="AA150" s="23" t="e">
        <f>EXP(-LN(2)/25)*AA149+(1-EXP(-LN(2)/25))/(LN(2)/25)*Calculateur!V150*Calculateur!X150*VLOOKUP('Données projet'!$B$9,Paramètres!$A$1:$I$89,3,0)*0.475*44/12</f>
        <v>#N/A</v>
      </c>
      <c r="AB150" s="23" t="e">
        <f>EXP(-LN(2)/2)*AB149+(1-EXP(-LN(2)/2))/(LN(2)/2)*V150*Y150*VLOOKUP('Données projet'!$B$9,Paramètres!$A$1:$I$89,3,0)*0.475*44/12</f>
        <v>#N/A</v>
      </c>
      <c r="AC150" s="24" t="e">
        <f t="shared" si="111"/>
        <v>#N/A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0" t="e">
        <f t="shared" si="113"/>
        <v>#N/A</v>
      </c>
      <c r="AN150" s="60" t="e">
        <f ca="1">AVERAGE(OFFSET($AM$3,0,0,'Données projet'!$E$10+1,1))-AVERAGE(OFFSET($H$3,0,0,'Données projet'!$E$10+1,1))</f>
        <v>#N/A</v>
      </c>
      <c r="AO150" s="60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-1.0818439477588981E-13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357.083670644861</v>
      </c>
      <c r="BJ150" s="60">
        <f t="shared" si="146"/>
        <v>299.88885091109654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-3.694822225952521E-13</v>
      </c>
      <c r="BZ150" s="14">
        <f>BY150*VLOOKUP('Données projet'!$B$12,Paramètres!$A$1:$I$89,3,0)*VLOOKUP('Données projet'!$B$12,Paramètres!$A$1:$I$89,5,0)</f>
        <v>-1.7291768017457797E-13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245.98992992759543</v>
      </c>
      <c r="CE150" s="60">
        <f t="shared" si="148"/>
        <v>145.34368562171613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276.42575999999912</v>
      </c>
      <c r="CV150" s="14">
        <f t="shared" si="149"/>
        <v>66.211105372509707</v>
      </c>
      <c r="CW150" s="22">
        <f t="shared" si="121"/>
        <v>596.75920719045291</v>
      </c>
      <c r="CX150" s="60">
        <f t="shared" si="122"/>
        <v>890.09254052378628</v>
      </c>
      <c r="CY150" s="60">
        <f ca="1">AVERAGE(OFFSET($CX$3,0,0,'Données projet'!$E$13+1,1))-AVERAGE(OFFSET($H$3,0,0,'Données projet'!$E$13+1,1))</f>
        <v>455.50822833641354</v>
      </c>
      <c r="CZ150" s="60">
        <f t="shared" si="150"/>
        <v>261.14722581688039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2.4</v>
      </c>
      <c r="DO150" s="13">
        <f>IF('Données projet'!$A$166&gt;35,DO149+DN150-DW149,IF(A150&lt;'Données projet'!$A$166,$DL$205^A150,IF(A150='Données projet'!$A$166,'Données projet'!$B$166,DO149+DN150-DW149)))</f>
        <v>285.7999999999991</v>
      </c>
      <c r="DP150" s="18">
        <f>DO150*VLOOKUP('Données projet'!$B$14,Paramètres!$A$1:$I$89,3,0)*VLOOKUP('Données projet'!$B$14,Paramètres!$A$1:$I$89,5,0)</f>
        <v>307.63511999999901</v>
      </c>
      <c r="DQ150" s="14">
        <f t="shared" si="151"/>
        <v>72.774729201093322</v>
      </c>
      <c r="DR150" s="22">
        <f t="shared" si="124"/>
        <v>662.54715402523584</v>
      </c>
      <c r="DS150" s="60">
        <f t="shared" si="125"/>
        <v>955.8804873585691</v>
      </c>
      <c r="DT150" s="60">
        <f ca="1">AVERAGE(OFFSET($DS$3,0,0,'Données projet'!$E$14+1,1))-AVERAGE(OFFSET($H$3,0,0,'Données projet'!$E$14+1,1))</f>
        <v>502.07782026233912</v>
      </c>
      <c r="DU150" s="60">
        <f t="shared" si="152"/>
        <v>285.83623046025156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2.4</v>
      </c>
      <c r="EJ150" s="13">
        <f>IF('Données projet'!$A$192&gt;35,EJ149+EI150-ER149,IF(A150&lt;'Données projet'!$A$192,$EG$205^A150,IF(A150='Données projet'!$A$192,'Données projet'!$B$192,EJ149+EI150-ER149)))</f>
        <v>285.7999999999991</v>
      </c>
      <c r="EK150" s="18">
        <f>EJ150*VLOOKUP('Données projet'!$B$15,Paramètres!$A$1:$I$89,3,0)*VLOOKUP('Données projet'!$B$15,Paramètres!$A$1:$I$89,5,0)</f>
        <v>258.59183999999919</v>
      </c>
      <c r="EL150" s="14">
        <f t="shared" si="153"/>
        <v>62.422120343276475</v>
      </c>
      <c r="EM150" s="22">
        <f t="shared" si="127"/>
        <v>559.09931426453841</v>
      </c>
      <c r="EN150" s="60">
        <f t="shared" si="128"/>
        <v>852.43264759787166</v>
      </c>
      <c r="EO150" s="60">
        <f ca="1">AVERAGE(OFFSET($EN$3,0,0,'Données projet'!$E$15+1,1))-AVERAGE(OFFSET($H$3,0,0,'Données projet'!$E$15+1,1))</f>
        <v>428.8489304403459</v>
      </c>
      <c r="EP150" s="60">
        <f t="shared" si="154"/>
        <v>247.01165577562966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 t="e">
        <f>N151*VLOOKUP('Données projet'!$B$9,Paramètres!$A$1:$I$89,3,0)*VLOOKUP('Données projet'!$B$9,Paramètres!$A$1:$I$89,5,0)</f>
        <v>#N/A</v>
      </c>
      <c r="P151" s="14" t="e">
        <f t="shared" si="141"/>
        <v>#N/A</v>
      </c>
      <c r="Q151" s="22" t="e">
        <f t="shared" si="108"/>
        <v>#N/A</v>
      </c>
      <c r="R151" s="60" t="e">
        <f t="shared" si="109"/>
        <v>#N/A</v>
      </c>
      <c r="S151" s="60" t="e">
        <f ca="1">AVERAGE(OFFSET($R$3,0,0,'Données projet'!$E$9+1,1))-AVERAGE(OFFSET($H$3,0,0,'Données projet'!$E$9+1,1))</f>
        <v>#N/A</v>
      </c>
      <c r="T151" s="60" t="e">
        <f t="shared" si="142"/>
        <v>#N/A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 t="e">
        <f>EXP(-LN(2)/35)*Z150+(1-EXP(-LN(2)/35))/(LN(2)/35)*V151*W151*VLOOKUP('Données projet'!$B$9,Paramètres!$A$1:$I$89,3,0)*0.475*44/12</f>
        <v>#N/A</v>
      </c>
      <c r="AA151" s="23" t="e">
        <f>EXP(-LN(2)/25)*AA150+(1-EXP(-LN(2)/25))/(LN(2)/25)*Calculateur!V151*Calculateur!X151*VLOOKUP('Données projet'!$B$9,Paramètres!$A$1:$I$89,3,0)*0.475*44/12</f>
        <v>#N/A</v>
      </c>
      <c r="AB151" s="23" t="e">
        <f>EXP(-LN(2)/2)*AB150+(1-EXP(-LN(2)/2))/(LN(2)/2)*V151*Y151*VLOOKUP('Données projet'!$B$9,Paramètres!$A$1:$I$89,3,0)*0.475*44/12</f>
        <v>#N/A</v>
      </c>
      <c r="AC151" s="24" t="e">
        <f t="shared" si="111"/>
        <v>#N/A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0" t="e">
        <f t="shared" si="113"/>
        <v>#N/A</v>
      </c>
      <c r="AN151" s="60" t="e">
        <f ca="1">AVERAGE(OFFSET($AM$3,0,0,'Données projet'!$E$10+1,1))-AVERAGE(OFFSET($H$3,0,0,'Données projet'!$E$10+1,1))</f>
        <v>#N/A</v>
      </c>
      <c r="AO151" s="60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-1.0818439477588981E-13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357.083670644861</v>
      </c>
      <c r="BJ151" s="60">
        <f t="shared" si="146"/>
        <v>299.88885091109654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-3.694822225952521E-13</v>
      </c>
      <c r="BZ151" s="14">
        <f>BY151*VLOOKUP('Données projet'!$B$12,Paramètres!$A$1:$I$89,3,0)*VLOOKUP('Données projet'!$B$12,Paramètres!$A$1:$I$89,5,0)</f>
        <v>-1.7291768017457797E-13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245.98992992759543</v>
      </c>
      <c r="CE151" s="60">
        <f t="shared" si="148"/>
        <v>145.34368562171613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278.74703999999912</v>
      </c>
      <c r="CV151" s="14">
        <f t="shared" si="149"/>
        <v>66.702153339553078</v>
      </c>
      <c r="CW151" s="22">
        <f t="shared" si="121"/>
        <v>601.65734506638671</v>
      </c>
      <c r="CX151" s="60">
        <f t="shared" si="122"/>
        <v>894.99067839972008</v>
      </c>
      <c r="CY151" s="60">
        <f ca="1">AVERAGE(OFFSET($CX$3,0,0,'Données projet'!$E$13+1,1))-AVERAGE(OFFSET($H$3,0,0,'Données projet'!$E$13+1,1))</f>
        <v>455.50822833641354</v>
      </c>
      <c r="CZ151" s="60">
        <f t="shared" si="150"/>
        <v>261.14722581688039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2.4</v>
      </c>
      <c r="DO151" s="13">
        <f>IF('Données projet'!$A$166&gt;35,DO150+DN151-DW150,IF(A151&lt;'Données projet'!$A$166,$DL$205^A151,IF(A151='Données projet'!$A$166,'Données projet'!$B$166,DO150+DN151-DW150)))</f>
        <v>288.19999999999908</v>
      </c>
      <c r="DP151" s="18">
        <f>DO151*VLOOKUP('Données projet'!$B$14,Paramètres!$A$1:$I$89,3,0)*VLOOKUP('Données projet'!$B$14,Paramètres!$A$1:$I$89,5,0)</f>
        <v>310.21847999999898</v>
      </c>
      <c r="DQ151" s="14">
        <f t="shared" si="151"/>
        <v>73.314455620479777</v>
      </c>
      <c r="DR151" s="22">
        <f t="shared" si="124"/>
        <v>667.98652953900034</v>
      </c>
      <c r="DS151" s="60">
        <f t="shared" si="125"/>
        <v>961.31986287233372</v>
      </c>
      <c r="DT151" s="60">
        <f ca="1">AVERAGE(OFFSET($DS$3,0,0,'Données projet'!$E$14+1,1))-AVERAGE(OFFSET($H$3,0,0,'Données projet'!$E$14+1,1))</f>
        <v>502.07782026233912</v>
      </c>
      <c r="DU151" s="60">
        <f t="shared" si="152"/>
        <v>285.83623046025156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2.4</v>
      </c>
      <c r="EJ151" s="13">
        <f>IF('Données projet'!$A$192&gt;35,EJ150+EI151-ER150,IF(A151&lt;'Données projet'!$A$192,$EG$205^A151,IF(A151='Données projet'!$A$192,'Données projet'!$B$192,EJ150+EI151-ER150)))</f>
        <v>288.19999999999908</v>
      </c>
      <c r="EK151" s="18">
        <f>EJ151*VLOOKUP('Données projet'!$B$15,Paramètres!$A$1:$I$89,3,0)*VLOOKUP('Données projet'!$B$15,Paramètres!$A$1:$I$89,5,0)</f>
        <v>260.76335999999918</v>
      </c>
      <c r="EL151" s="14">
        <f t="shared" si="153"/>
        <v>62.885067686031789</v>
      </c>
      <c r="EM151" s="22">
        <f t="shared" si="127"/>
        <v>563.68767821983727</v>
      </c>
      <c r="EN151" s="60">
        <f t="shared" si="128"/>
        <v>857.02101155317064</v>
      </c>
      <c r="EO151" s="60">
        <f ca="1">AVERAGE(OFFSET($EN$3,0,0,'Données projet'!$E$15+1,1))-AVERAGE(OFFSET($H$3,0,0,'Données projet'!$E$15+1,1))</f>
        <v>428.8489304403459</v>
      </c>
      <c r="EP151" s="60">
        <f t="shared" si="154"/>
        <v>247.01165577562966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 t="e">
        <f>N152*VLOOKUP('Données projet'!$B$9,Paramètres!$A$1:$I$89,3,0)*VLOOKUP('Données projet'!$B$9,Paramètres!$A$1:$I$89,5,0)</f>
        <v>#N/A</v>
      </c>
      <c r="P152" s="14" t="e">
        <f t="shared" si="141"/>
        <v>#N/A</v>
      </c>
      <c r="Q152" s="22" t="e">
        <f t="shared" si="108"/>
        <v>#N/A</v>
      </c>
      <c r="R152" s="60" t="e">
        <f t="shared" si="109"/>
        <v>#N/A</v>
      </c>
      <c r="S152" s="60" t="e">
        <f ca="1">AVERAGE(OFFSET($R$3,0,0,'Données projet'!$E$9+1,1))-AVERAGE(OFFSET($H$3,0,0,'Données projet'!$E$9+1,1))</f>
        <v>#N/A</v>
      </c>
      <c r="T152" s="60" t="e">
        <f t="shared" si="142"/>
        <v>#N/A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 t="e">
        <f>EXP(-LN(2)/35)*Z151+(1-EXP(-LN(2)/35))/(LN(2)/35)*V152*W152*VLOOKUP('Données projet'!$B$9,Paramètres!$A$1:$I$89,3,0)*0.475*44/12</f>
        <v>#N/A</v>
      </c>
      <c r="AA152" s="23" t="e">
        <f>EXP(-LN(2)/25)*AA151+(1-EXP(-LN(2)/25))/(LN(2)/25)*Calculateur!V152*Calculateur!X152*VLOOKUP('Données projet'!$B$9,Paramètres!$A$1:$I$89,3,0)*0.475*44/12</f>
        <v>#N/A</v>
      </c>
      <c r="AB152" s="23" t="e">
        <f>EXP(-LN(2)/2)*AB151+(1-EXP(-LN(2)/2))/(LN(2)/2)*V152*Y152*VLOOKUP('Données projet'!$B$9,Paramètres!$A$1:$I$89,3,0)*0.475*44/12</f>
        <v>#N/A</v>
      </c>
      <c r="AC152" s="24" t="e">
        <f t="shared" si="111"/>
        <v>#N/A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0" t="e">
        <f t="shared" si="113"/>
        <v>#N/A</v>
      </c>
      <c r="AN152" s="60" t="e">
        <f ca="1">AVERAGE(OFFSET($AM$3,0,0,'Données projet'!$E$10+1,1))-AVERAGE(OFFSET($H$3,0,0,'Données projet'!$E$10+1,1))</f>
        <v>#N/A</v>
      </c>
      <c r="AO152" s="60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-1.0818439477588981E-13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357.083670644861</v>
      </c>
      <c r="BJ152" s="60">
        <f t="shared" si="146"/>
        <v>299.88885091109654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-3.694822225952521E-13</v>
      </c>
      <c r="BZ152" s="14">
        <f>BY152*VLOOKUP('Données projet'!$B$12,Paramètres!$A$1:$I$89,3,0)*VLOOKUP('Données projet'!$B$12,Paramètres!$A$1:$I$89,5,0)</f>
        <v>-1.7291768017457797E-13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245.98992992759543</v>
      </c>
      <c r="CE152" s="60">
        <f t="shared" si="148"/>
        <v>145.34368562171613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281.06831999999906</v>
      </c>
      <c r="CV152" s="14">
        <f t="shared" si="149"/>
        <v>67.192725545416479</v>
      </c>
      <c r="CW152" s="22">
        <f t="shared" si="121"/>
        <v>606.55465432493213</v>
      </c>
      <c r="CX152" s="60">
        <f t="shared" si="122"/>
        <v>899.8879876582655</v>
      </c>
      <c r="CY152" s="60">
        <f ca="1">AVERAGE(OFFSET($CX$3,0,0,'Données projet'!$E$13+1,1))-AVERAGE(OFFSET($H$3,0,0,'Données projet'!$E$13+1,1))</f>
        <v>455.50822833641354</v>
      </c>
      <c r="CZ152" s="60">
        <f t="shared" si="150"/>
        <v>261.14722581688039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2.4</v>
      </c>
      <c r="DO152" s="13">
        <f>IF('Données projet'!$A$166&gt;35,DO151+DN152-DW151,IF(A152&lt;'Données projet'!$A$166,$DL$205^A152,IF(A152='Données projet'!$A$166,'Données projet'!$B$166,DO151+DN152-DW151)))</f>
        <v>290.59999999999906</v>
      </c>
      <c r="DP152" s="18">
        <f>DO152*VLOOKUP('Données projet'!$B$14,Paramètres!$A$1:$I$89,3,0)*VLOOKUP('Données projet'!$B$14,Paramètres!$A$1:$I$89,5,0)</f>
        <v>312.80183999999895</v>
      </c>
      <c r="DQ152" s="14">
        <f t="shared" si="151"/>
        <v>73.853659115640198</v>
      </c>
      <c r="DR152" s="22">
        <f t="shared" si="124"/>
        <v>673.42499429307145</v>
      </c>
      <c r="DS152" s="60">
        <f t="shared" si="125"/>
        <v>966.75832762640471</v>
      </c>
      <c r="DT152" s="60">
        <f ca="1">AVERAGE(OFFSET($DS$3,0,0,'Données projet'!$E$14+1,1))-AVERAGE(OFFSET($H$3,0,0,'Données projet'!$E$14+1,1))</f>
        <v>502.07782026233912</v>
      </c>
      <c r="DU152" s="60">
        <f t="shared" si="152"/>
        <v>285.83623046025156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2.4</v>
      </c>
      <c r="EJ152" s="13">
        <f>IF('Données projet'!$A$192&gt;35,EJ151+EI152-ER151,IF(A152&lt;'Données projet'!$A$192,$EG$205^A152,IF(A152='Données projet'!$A$192,'Données projet'!$B$192,EJ151+EI152-ER151)))</f>
        <v>290.59999999999906</v>
      </c>
      <c r="EK152" s="18">
        <f>EJ152*VLOOKUP('Données projet'!$B$15,Paramètres!$A$1:$I$89,3,0)*VLOOKUP('Données projet'!$B$15,Paramètres!$A$1:$I$89,5,0)</f>
        <v>262.93487999999911</v>
      </c>
      <c r="EL152" s="14">
        <f t="shared" si="153"/>
        <v>63.347566493432595</v>
      </c>
      <c r="EM152" s="22">
        <f t="shared" si="127"/>
        <v>568.27526097606028</v>
      </c>
      <c r="EN152" s="60">
        <f t="shared" si="128"/>
        <v>861.60859430939354</v>
      </c>
      <c r="EO152" s="60">
        <f ca="1">AVERAGE(OFFSET($EN$3,0,0,'Données projet'!$E$15+1,1))-AVERAGE(OFFSET($H$3,0,0,'Données projet'!$E$15+1,1))</f>
        <v>428.8489304403459</v>
      </c>
      <c r="EP152" s="60">
        <f t="shared" si="154"/>
        <v>247.01165577562966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 t="e">
        <f>N153*VLOOKUP('Données projet'!$B$9,Paramètres!$A$1:$I$89,3,0)*VLOOKUP('Données projet'!$B$9,Paramètres!$A$1:$I$89,5,0)</f>
        <v>#N/A</v>
      </c>
      <c r="P153" s="14" t="e">
        <f t="shared" si="141"/>
        <v>#N/A</v>
      </c>
      <c r="Q153" s="22" t="e">
        <f t="shared" si="108"/>
        <v>#N/A</v>
      </c>
      <c r="R153" s="60" t="e">
        <f t="shared" si="109"/>
        <v>#N/A</v>
      </c>
      <c r="S153" s="60" t="e">
        <f ca="1">AVERAGE(OFFSET($R$3,0,0,'Données projet'!$E$9+1,1))-AVERAGE(OFFSET($H$3,0,0,'Données projet'!$E$9+1,1))</f>
        <v>#N/A</v>
      </c>
      <c r="T153" s="60" t="e">
        <f t="shared" si="142"/>
        <v>#N/A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 t="e">
        <f>EXP(-LN(2)/35)*Z152+(1-EXP(-LN(2)/35))/(LN(2)/35)*V153*W153*VLOOKUP('Données projet'!$B$9,Paramètres!$A$1:$I$89,3,0)*0.475*44/12</f>
        <v>#N/A</v>
      </c>
      <c r="AA153" s="23" t="e">
        <f>EXP(-LN(2)/25)*AA152+(1-EXP(-LN(2)/25))/(LN(2)/25)*Calculateur!V153*Calculateur!X153*VLOOKUP('Données projet'!$B$9,Paramètres!$A$1:$I$89,3,0)*0.475*44/12</f>
        <v>#N/A</v>
      </c>
      <c r="AB153" s="23" t="e">
        <f>EXP(-LN(2)/2)*AB152+(1-EXP(-LN(2)/2))/(LN(2)/2)*V153*Y153*VLOOKUP('Données projet'!$B$9,Paramètres!$A$1:$I$89,3,0)*0.475*44/12</f>
        <v>#N/A</v>
      </c>
      <c r="AC153" s="24" t="e">
        <f t="shared" si="111"/>
        <v>#N/A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0" t="e">
        <f t="shared" si="113"/>
        <v>#N/A</v>
      </c>
      <c r="AN153" s="60" t="e">
        <f ca="1">AVERAGE(OFFSET($AM$3,0,0,'Données projet'!$E$10+1,1))-AVERAGE(OFFSET($H$3,0,0,'Données projet'!$E$10+1,1))</f>
        <v>#N/A</v>
      </c>
      <c r="AO153" s="60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-1.0818439477588981E-13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357.083670644861</v>
      </c>
      <c r="BJ153" s="60">
        <f t="shared" si="146"/>
        <v>299.88885091109654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-3.694822225952521E-13</v>
      </c>
      <c r="BZ153" s="14">
        <f>BY153*VLOOKUP('Données projet'!$B$12,Paramètres!$A$1:$I$89,3,0)*VLOOKUP('Données projet'!$B$12,Paramètres!$A$1:$I$89,5,0)</f>
        <v>-1.7291768017457797E-13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245.98992992759543</v>
      </c>
      <c r="CE153" s="60">
        <f t="shared" si="148"/>
        <v>145.34368562171613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283.38959999999906</v>
      </c>
      <c r="CV153" s="14">
        <f t="shared" si="149"/>
        <v>67.682826374656187</v>
      </c>
      <c r="CW153" s="22">
        <f t="shared" si="121"/>
        <v>611.45114260252456</v>
      </c>
      <c r="CX153" s="60">
        <f t="shared" si="122"/>
        <v>904.78447593585793</v>
      </c>
      <c r="CY153" s="60">
        <f ca="1">AVERAGE(OFFSET($CX$3,0,0,'Données projet'!$E$13+1,1))-AVERAGE(OFFSET($H$3,0,0,'Données projet'!$E$13+1,1))</f>
        <v>455.50822833641354</v>
      </c>
      <c r="CZ153" s="60">
        <f t="shared" si="150"/>
        <v>261.14722581688039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2.4</v>
      </c>
      <c r="DN153" s="13">
        <f t="array" ref="DN153">INDEX(DM:DM,MIN(IF(ISNUMBER(DM153:DM349),ROW(DM153:DM349),"")))</f>
        <v>2.4</v>
      </c>
      <c r="DO153" s="13">
        <f>IF('Données projet'!$A$166&gt;35,DO152+DN153-DW152,IF(A153&lt;'Données projet'!$A$166,$DL$205^A153,IF(A153='Données projet'!$A$166,'Données projet'!$B$166,DO152+DN153-DW152)))</f>
        <v>292.99999999999903</v>
      </c>
      <c r="DP153" s="18">
        <f>DO153*VLOOKUP('Données projet'!$B$14,Paramètres!$A$1:$I$89,3,0)*VLOOKUP('Données projet'!$B$14,Paramètres!$A$1:$I$89,5,0)</f>
        <v>315.38519999999892</v>
      </c>
      <c r="DQ153" s="14">
        <f t="shared" si="151"/>
        <v>74.392344505779604</v>
      </c>
      <c r="DR153" s="22">
        <f t="shared" si="124"/>
        <v>678.86255668089746</v>
      </c>
      <c r="DS153" s="60">
        <f t="shared" si="125"/>
        <v>972.19589001423083</v>
      </c>
      <c r="DT153" s="60">
        <f ca="1">AVERAGE(OFFSET($DS$3,0,0,'Données projet'!$E$14+1,1))-AVERAGE(OFFSET($H$3,0,0,'Données projet'!$E$14+1,1))</f>
        <v>502.07782026233912</v>
      </c>
      <c r="DU153" s="60">
        <f t="shared" si="152"/>
        <v>285.83623046025156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293</v>
      </c>
      <c r="EH153" s="13">
        <f>VLOOKUP(A153,'Données projet'!$A$191:$I$211,9,0)</f>
        <v>2.4</v>
      </c>
      <c r="EI153" s="13">
        <f t="array" ref="EI153">INDEX(EH:EH,MIN(IF(ISNUMBER(EH153:EH349),ROW(EH153:EH349),"")))</f>
        <v>2.4</v>
      </c>
      <c r="EJ153" s="13">
        <f>IF('Données projet'!$A$192&gt;35,EJ152+EI153-ER152,IF(A153&lt;'Données projet'!$A$192,$EG$205^A153,IF(A153='Données projet'!$A$192,'Données projet'!$B$192,EJ152+EI153-ER152)))</f>
        <v>292.99999999999903</v>
      </c>
      <c r="EK153" s="18">
        <f>EJ153*VLOOKUP('Données projet'!$B$15,Paramètres!$A$1:$I$89,3,0)*VLOOKUP('Données projet'!$B$15,Paramètres!$A$1:$I$89,5,0)</f>
        <v>265.1063999999991</v>
      </c>
      <c r="EL153" s="14">
        <f t="shared" si="153"/>
        <v>63.809620899125136</v>
      </c>
      <c r="EM153" s="22">
        <f t="shared" si="127"/>
        <v>572.86206973264132</v>
      </c>
      <c r="EN153" s="60">
        <f t="shared" si="128"/>
        <v>866.19540306597469</v>
      </c>
      <c r="EO153" s="60">
        <f ca="1">AVERAGE(OFFSET($EN$3,0,0,'Données projet'!$E$15+1,1))-AVERAGE(OFFSET($H$3,0,0,'Données projet'!$E$15+1,1))</f>
        <v>428.8489304403459</v>
      </c>
      <c r="EP153" s="60">
        <f t="shared" si="154"/>
        <v>247.01165577562966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293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 t="e">
        <f>N154*VLOOKUP('Données projet'!$B$9,Paramètres!$A$1:$I$89,3,0)*VLOOKUP('Données projet'!$B$9,Paramètres!$A$1:$I$89,5,0)</f>
        <v>#N/A</v>
      </c>
      <c r="P154" s="14" t="e">
        <f t="shared" si="141"/>
        <v>#N/A</v>
      </c>
      <c r="Q154" s="22" t="e">
        <f t="shared" ref="Q154:Q203" si="162">(O154+P154)*0.475*44/12</f>
        <v>#N/A</v>
      </c>
      <c r="R154" s="60" t="e">
        <f t="shared" si="109"/>
        <v>#N/A</v>
      </c>
      <c r="S154" s="60" t="e">
        <f ca="1">AVERAGE(OFFSET($R$3,0,0,'Données projet'!$E$9+1,1))-AVERAGE(OFFSET($H$3,0,0,'Données projet'!$E$9+1,1))</f>
        <v>#N/A</v>
      </c>
      <c r="T154" s="60" t="e">
        <f t="shared" si="142"/>
        <v>#N/A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 t="e">
        <f>EXP(-LN(2)/35)*Z153+(1-EXP(-LN(2)/35))/(LN(2)/35)*V154*W154*VLOOKUP('Données projet'!$B$9,Paramètres!$A$1:$I$89,3,0)*0.475*44/12</f>
        <v>#N/A</v>
      </c>
      <c r="AA154" s="23" t="e">
        <f>EXP(-LN(2)/25)*AA153+(1-EXP(-LN(2)/25))/(LN(2)/25)*Calculateur!V154*Calculateur!X154*VLOOKUP('Données projet'!$B$9,Paramètres!$A$1:$I$89,3,0)*0.475*44/12</f>
        <v>#N/A</v>
      </c>
      <c r="AB154" s="23" t="e">
        <f>EXP(-LN(2)/2)*AB153+(1-EXP(-LN(2)/2))/(LN(2)/2)*V154*Y154*VLOOKUP('Données projet'!$B$9,Paramètres!$A$1:$I$89,3,0)*0.475*44/12</f>
        <v>#N/A</v>
      </c>
      <c r="AC154" s="24" t="e">
        <f t="shared" ref="AC154:AC203" si="163">SUM(Z154:AB154)</f>
        <v>#N/A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0" t="e">
        <f t="shared" si="113"/>
        <v>#N/A</v>
      </c>
      <c r="AN154" s="60" t="e">
        <f ca="1">AVERAGE(OFFSET($AM$3,0,0,'Données projet'!$E$10+1,1))-AVERAGE(OFFSET($H$3,0,0,'Données projet'!$E$10+1,1))</f>
        <v>#N/A</v>
      </c>
      <c r="AO154" s="60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-1.0818439477588981E-13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357.083670644861</v>
      </c>
      <c r="BJ154" s="60">
        <f t="shared" si="146"/>
        <v>299.88885091109654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-3.694822225952521E-13</v>
      </c>
      <c r="BZ154" s="14">
        <f>BY154*VLOOKUP('Données projet'!$B$12,Paramètres!$A$1:$I$89,3,0)*VLOOKUP('Données projet'!$B$12,Paramètres!$A$1:$I$89,5,0)</f>
        <v>-1.7291768017457797E-13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245.98992992759543</v>
      </c>
      <c r="CE154" s="60">
        <f t="shared" si="148"/>
        <v>145.34368562171613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-9.3464223027694966E-13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455.50822833641354</v>
      </c>
      <c r="CZ154" s="60">
        <f t="shared" si="150"/>
        <v>261.14722581688039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-9.6633812063373625E-13</v>
      </c>
      <c r="DP154" s="18">
        <f>DO154*VLOOKUP('Données projet'!$B$14,Paramètres!$A$1:$I$89,3,0)*VLOOKUP('Données projet'!$B$14,Paramètres!$A$1:$I$89,5,0)</f>
        <v>-1.0401663530501537E-12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502.07782026233912</v>
      </c>
      <c r="DU154" s="60">
        <f t="shared" si="152"/>
        <v>285.83623046025156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-9.6633812063373625E-13</v>
      </c>
      <c r="EK154" s="18">
        <f>EJ154*VLOOKUP('Données projet'!$B$15,Paramètres!$A$1:$I$89,3,0)*VLOOKUP('Données projet'!$B$15,Paramètres!$A$1:$I$89,5,0)</f>
        <v>-8.7434273154940449E-13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428.8489304403459</v>
      </c>
      <c r="EP154" s="60">
        <f t="shared" si="154"/>
        <v>247.01165577562966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 t="e">
        <f>N155*VLOOKUP('Données projet'!$B$9,Paramètres!$A$1:$I$89,3,0)*VLOOKUP('Données projet'!$B$9,Paramètres!$A$1:$I$89,5,0)</f>
        <v>#N/A</v>
      </c>
      <c r="P155" s="14" t="e">
        <f t="shared" si="141"/>
        <v>#N/A</v>
      </c>
      <c r="Q155" s="22" t="e">
        <f t="shared" si="162"/>
        <v>#N/A</v>
      </c>
      <c r="R155" s="60" t="e">
        <f t="shared" si="109"/>
        <v>#N/A</v>
      </c>
      <c r="S155" s="60" t="e">
        <f ca="1">AVERAGE(OFFSET($R$3,0,0,'Données projet'!$E$9+1,1))-AVERAGE(OFFSET($H$3,0,0,'Données projet'!$E$9+1,1))</f>
        <v>#N/A</v>
      </c>
      <c r="T155" s="60" t="e">
        <f t="shared" si="142"/>
        <v>#N/A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 t="e">
        <f>EXP(-LN(2)/35)*Z154+(1-EXP(-LN(2)/35))/(LN(2)/35)*V155*W155*VLOOKUP('Données projet'!$B$9,Paramètres!$A$1:$I$89,3,0)*0.475*44/12</f>
        <v>#N/A</v>
      </c>
      <c r="AA155" s="23" t="e">
        <f>EXP(-LN(2)/25)*AA154+(1-EXP(-LN(2)/25))/(LN(2)/25)*Calculateur!V155*Calculateur!X155*VLOOKUP('Données projet'!$B$9,Paramètres!$A$1:$I$89,3,0)*0.475*44/12</f>
        <v>#N/A</v>
      </c>
      <c r="AB155" s="23" t="e">
        <f>EXP(-LN(2)/2)*AB154+(1-EXP(-LN(2)/2))/(LN(2)/2)*V155*Y155*VLOOKUP('Données projet'!$B$9,Paramètres!$A$1:$I$89,3,0)*0.475*44/12</f>
        <v>#N/A</v>
      </c>
      <c r="AC155" s="24" t="e">
        <f t="shared" si="163"/>
        <v>#N/A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0" t="e">
        <f t="shared" si="113"/>
        <v>#N/A</v>
      </c>
      <c r="AN155" s="60" t="e">
        <f ca="1">AVERAGE(OFFSET($AM$3,0,0,'Données projet'!$E$10+1,1))-AVERAGE(OFFSET($H$3,0,0,'Données projet'!$E$10+1,1))</f>
        <v>#N/A</v>
      </c>
      <c r="AO155" s="60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-1.0818439477588981E-13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357.083670644861</v>
      </c>
      <c r="BJ155" s="60">
        <f t="shared" si="146"/>
        <v>299.88885091109654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-3.694822225952521E-13</v>
      </c>
      <c r="BZ155" s="14">
        <f>BY155*VLOOKUP('Données projet'!$B$12,Paramètres!$A$1:$I$89,3,0)*VLOOKUP('Données projet'!$B$12,Paramètres!$A$1:$I$89,5,0)</f>
        <v>-1.7291768017457797E-13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245.98992992759543</v>
      </c>
      <c r="CE155" s="60">
        <f t="shared" si="148"/>
        <v>145.34368562171613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-9.3464223027694966E-13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455.50822833641354</v>
      </c>
      <c r="CZ155" s="60">
        <f t="shared" si="150"/>
        <v>261.14722581688039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-9.6633812063373625E-13</v>
      </c>
      <c r="DP155" s="18">
        <f>DO155*VLOOKUP('Données projet'!$B$14,Paramètres!$A$1:$I$89,3,0)*VLOOKUP('Données projet'!$B$14,Paramètres!$A$1:$I$89,5,0)</f>
        <v>-1.0401663530501537E-12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502.07782026233912</v>
      </c>
      <c r="DU155" s="60">
        <f t="shared" si="152"/>
        <v>285.83623046025156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-9.6633812063373625E-13</v>
      </c>
      <c r="EK155" s="18">
        <f>EJ155*VLOOKUP('Données projet'!$B$15,Paramètres!$A$1:$I$89,3,0)*VLOOKUP('Données projet'!$B$15,Paramètres!$A$1:$I$89,5,0)</f>
        <v>-8.7434273154940449E-13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428.8489304403459</v>
      </c>
      <c r="EP155" s="60">
        <f t="shared" si="154"/>
        <v>247.01165577562966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 t="e">
        <f>N156*VLOOKUP('Données projet'!$B$9,Paramètres!$A$1:$I$89,3,0)*VLOOKUP('Données projet'!$B$9,Paramètres!$A$1:$I$89,5,0)</f>
        <v>#N/A</v>
      </c>
      <c r="P156" s="14" t="e">
        <f t="shared" si="141"/>
        <v>#N/A</v>
      </c>
      <c r="Q156" s="22" t="e">
        <f t="shared" si="162"/>
        <v>#N/A</v>
      </c>
      <c r="R156" s="60" t="e">
        <f t="shared" si="109"/>
        <v>#N/A</v>
      </c>
      <c r="S156" s="60" t="e">
        <f ca="1">AVERAGE(OFFSET($R$3,0,0,'Données projet'!$E$9+1,1))-AVERAGE(OFFSET($H$3,0,0,'Données projet'!$E$9+1,1))</f>
        <v>#N/A</v>
      </c>
      <c r="T156" s="60" t="e">
        <f t="shared" si="142"/>
        <v>#N/A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 t="e">
        <f>EXP(-LN(2)/35)*Z155+(1-EXP(-LN(2)/35))/(LN(2)/35)*V156*W156*VLOOKUP('Données projet'!$B$9,Paramètres!$A$1:$I$89,3,0)*0.475*44/12</f>
        <v>#N/A</v>
      </c>
      <c r="AA156" s="23" t="e">
        <f>EXP(-LN(2)/25)*AA155+(1-EXP(-LN(2)/25))/(LN(2)/25)*Calculateur!V156*Calculateur!X156*VLOOKUP('Données projet'!$B$9,Paramètres!$A$1:$I$89,3,0)*0.475*44/12</f>
        <v>#N/A</v>
      </c>
      <c r="AB156" s="23" t="e">
        <f>EXP(-LN(2)/2)*AB155+(1-EXP(-LN(2)/2))/(LN(2)/2)*V156*Y156*VLOOKUP('Données projet'!$B$9,Paramètres!$A$1:$I$89,3,0)*0.475*44/12</f>
        <v>#N/A</v>
      </c>
      <c r="AC156" s="24" t="e">
        <f t="shared" si="163"/>
        <v>#N/A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0" t="e">
        <f t="shared" si="113"/>
        <v>#N/A</v>
      </c>
      <c r="AN156" s="60" t="e">
        <f ca="1">AVERAGE(OFFSET($AM$3,0,0,'Données projet'!$E$10+1,1))-AVERAGE(OFFSET($H$3,0,0,'Données projet'!$E$10+1,1))</f>
        <v>#N/A</v>
      </c>
      <c r="AO156" s="60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-1.0818439477588981E-13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357.083670644861</v>
      </c>
      <c r="BJ156" s="60">
        <f t="shared" si="146"/>
        <v>299.88885091109654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-3.694822225952521E-13</v>
      </c>
      <c r="BZ156" s="14">
        <f>BY156*VLOOKUP('Données projet'!$B$12,Paramètres!$A$1:$I$89,3,0)*VLOOKUP('Données projet'!$B$12,Paramètres!$A$1:$I$89,5,0)</f>
        <v>-1.7291768017457797E-13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245.98992992759543</v>
      </c>
      <c r="CE156" s="60">
        <f t="shared" si="148"/>
        <v>145.34368562171613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-9.3464223027694966E-13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455.50822833641354</v>
      </c>
      <c r="CZ156" s="60">
        <f t="shared" si="150"/>
        <v>261.14722581688039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-9.6633812063373625E-13</v>
      </c>
      <c r="DP156" s="18">
        <f>DO156*VLOOKUP('Données projet'!$B$14,Paramètres!$A$1:$I$89,3,0)*VLOOKUP('Données projet'!$B$14,Paramètres!$A$1:$I$89,5,0)</f>
        <v>-1.0401663530501537E-12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502.07782026233912</v>
      </c>
      <c r="DU156" s="60">
        <f t="shared" si="152"/>
        <v>285.83623046025156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-9.6633812063373625E-13</v>
      </c>
      <c r="EK156" s="18">
        <f>EJ156*VLOOKUP('Données projet'!$B$15,Paramètres!$A$1:$I$89,3,0)*VLOOKUP('Données projet'!$B$15,Paramètres!$A$1:$I$89,5,0)</f>
        <v>-8.7434273154940449E-13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428.8489304403459</v>
      </c>
      <c r="EP156" s="60">
        <f t="shared" si="154"/>
        <v>247.01165577562966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 t="e">
        <f>N157*VLOOKUP('Données projet'!$B$9,Paramètres!$A$1:$I$89,3,0)*VLOOKUP('Données projet'!$B$9,Paramètres!$A$1:$I$89,5,0)</f>
        <v>#N/A</v>
      </c>
      <c r="P157" s="14" t="e">
        <f t="shared" si="141"/>
        <v>#N/A</v>
      </c>
      <c r="Q157" s="22" t="e">
        <f t="shared" si="162"/>
        <v>#N/A</v>
      </c>
      <c r="R157" s="60" t="e">
        <f t="shared" si="109"/>
        <v>#N/A</v>
      </c>
      <c r="S157" s="60" t="e">
        <f ca="1">AVERAGE(OFFSET($R$3,0,0,'Données projet'!$E$9+1,1))-AVERAGE(OFFSET($H$3,0,0,'Données projet'!$E$9+1,1))</f>
        <v>#N/A</v>
      </c>
      <c r="T157" s="60" t="e">
        <f t="shared" si="142"/>
        <v>#N/A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 t="e">
        <f>EXP(-LN(2)/35)*Z156+(1-EXP(-LN(2)/35))/(LN(2)/35)*V157*W157*VLOOKUP('Données projet'!$B$9,Paramètres!$A$1:$I$89,3,0)*0.475*44/12</f>
        <v>#N/A</v>
      </c>
      <c r="AA157" s="23" t="e">
        <f>EXP(-LN(2)/25)*AA156+(1-EXP(-LN(2)/25))/(LN(2)/25)*Calculateur!V157*Calculateur!X157*VLOOKUP('Données projet'!$B$9,Paramètres!$A$1:$I$89,3,0)*0.475*44/12</f>
        <v>#N/A</v>
      </c>
      <c r="AB157" s="23" t="e">
        <f>EXP(-LN(2)/2)*AB156+(1-EXP(-LN(2)/2))/(LN(2)/2)*V157*Y157*VLOOKUP('Données projet'!$B$9,Paramètres!$A$1:$I$89,3,0)*0.475*44/12</f>
        <v>#N/A</v>
      </c>
      <c r="AC157" s="24" t="e">
        <f t="shared" si="163"/>
        <v>#N/A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0" t="e">
        <f t="shared" si="113"/>
        <v>#N/A</v>
      </c>
      <c r="AN157" s="60" t="e">
        <f ca="1">AVERAGE(OFFSET($AM$3,0,0,'Données projet'!$E$10+1,1))-AVERAGE(OFFSET($H$3,0,0,'Données projet'!$E$10+1,1))</f>
        <v>#N/A</v>
      </c>
      <c r="AO157" s="60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-1.0818439477588981E-13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357.083670644861</v>
      </c>
      <c r="BJ157" s="60">
        <f t="shared" si="146"/>
        <v>299.88885091109654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-3.694822225952521E-13</v>
      </c>
      <c r="BZ157" s="14">
        <f>BY157*VLOOKUP('Données projet'!$B$12,Paramètres!$A$1:$I$89,3,0)*VLOOKUP('Données projet'!$B$12,Paramètres!$A$1:$I$89,5,0)</f>
        <v>-1.7291768017457797E-13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245.98992992759543</v>
      </c>
      <c r="CE157" s="60">
        <f t="shared" si="148"/>
        <v>145.34368562171613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-9.3464223027694966E-13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455.50822833641354</v>
      </c>
      <c r="CZ157" s="60">
        <f t="shared" si="150"/>
        <v>261.14722581688039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-9.6633812063373625E-13</v>
      </c>
      <c r="DP157" s="18">
        <f>DO157*VLOOKUP('Données projet'!$B$14,Paramètres!$A$1:$I$89,3,0)*VLOOKUP('Données projet'!$B$14,Paramètres!$A$1:$I$89,5,0)</f>
        <v>-1.0401663530501537E-12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502.07782026233912</v>
      </c>
      <c r="DU157" s="60">
        <f t="shared" si="152"/>
        <v>285.83623046025156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-9.6633812063373625E-13</v>
      </c>
      <c r="EK157" s="18">
        <f>EJ157*VLOOKUP('Données projet'!$B$15,Paramètres!$A$1:$I$89,3,0)*VLOOKUP('Données projet'!$B$15,Paramètres!$A$1:$I$89,5,0)</f>
        <v>-8.7434273154940449E-13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428.8489304403459</v>
      </c>
      <c r="EP157" s="60">
        <f t="shared" si="154"/>
        <v>247.01165577562966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 t="e">
        <f>N158*VLOOKUP('Données projet'!$B$9,Paramètres!$A$1:$I$89,3,0)*VLOOKUP('Données projet'!$B$9,Paramètres!$A$1:$I$89,5,0)</f>
        <v>#N/A</v>
      </c>
      <c r="P158" s="14" t="e">
        <f t="shared" si="141"/>
        <v>#N/A</v>
      </c>
      <c r="Q158" s="22" t="e">
        <f t="shared" si="162"/>
        <v>#N/A</v>
      </c>
      <c r="R158" s="60" t="e">
        <f t="shared" si="109"/>
        <v>#N/A</v>
      </c>
      <c r="S158" s="60" t="e">
        <f ca="1">AVERAGE(OFFSET($R$3,0,0,'Données projet'!$E$9+1,1))-AVERAGE(OFFSET($H$3,0,0,'Données projet'!$E$9+1,1))</f>
        <v>#N/A</v>
      </c>
      <c r="T158" s="60" t="e">
        <f t="shared" si="142"/>
        <v>#N/A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 t="e">
        <f>EXP(-LN(2)/35)*Z157+(1-EXP(-LN(2)/35))/(LN(2)/35)*V158*W158*VLOOKUP('Données projet'!$B$9,Paramètres!$A$1:$I$89,3,0)*0.475*44/12</f>
        <v>#N/A</v>
      </c>
      <c r="AA158" s="23" t="e">
        <f>EXP(-LN(2)/25)*AA157+(1-EXP(-LN(2)/25))/(LN(2)/25)*Calculateur!V158*Calculateur!X158*VLOOKUP('Données projet'!$B$9,Paramètres!$A$1:$I$89,3,0)*0.475*44/12</f>
        <v>#N/A</v>
      </c>
      <c r="AB158" s="23" t="e">
        <f>EXP(-LN(2)/2)*AB157+(1-EXP(-LN(2)/2))/(LN(2)/2)*V158*Y158*VLOOKUP('Données projet'!$B$9,Paramètres!$A$1:$I$89,3,0)*0.475*44/12</f>
        <v>#N/A</v>
      </c>
      <c r="AC158" s="24" t="e">
        <f t="shared" si="163"/>
        <v>#N/A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0" t="e">
        <f t="shared" si="113"/>
        <v>#N/A</v>
      </c>
      <c r="AN158" s="60" t="e">
        <f ca="1">AVERAGE(OFFSET($AM$3,0,0,'Données projet'!$E$10+1,1))-AVERAGE(OFFSET($H$3,0,0,'Données projet'!$E$10+1,1))</f>
        <v>#N/A</v>
      </c>
      <c r="AO158" s="60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-1.0818439477588981E-13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357.083670644861</v>
      </c>
      <c r="BJ158" s="60">
        <f t="shared" si="146"/>
        <v>299.88885091109654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-3.694822225952521E-13</v>
      </c>
      <c r="BZ158" s="14">
        <f>BY158*VLOOKUP('Données projet'!$B$12,Paramètres!$A$1:$I$89,3,0)*VLOOKUP('Données projet'!$B$12,Paramètres!$A$1:$I$89,5,0)</f>
        <v>-1.7291768017457797E-13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245.98992992759543</v>
      </c>
      <c r="CE158" s="60">
        <f t="shared" si="148"/>
        <v>145.34368562171613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-9.3464223027694966E-13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455.50822833641354</v>
      </c>
      <c r="CZ158" s="60">
        <f t="shared" si="150"/>
        <v>261.14722581688039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-9.6633812063373625E-13</v>
      </c>
      <c r="DP158" s="18">
        <f>DO158*VLOOKUP('Données projet'!$B$14,Paramètres!$A$1:$I$89,3,0)*VLOOKUP('Données projet'!$B$14,Paramètres!$A$1:$I$89,5,0)</f>
        <v>-1.0401663530501537E-12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502.07782026233912</v>
      </c>
      <c r="DU158" s="60">
        <f t="shared" si="152"/>
        <v>285.83623046025156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-9.6633812063373625E-13</v>
      </c>
      <c r="EK158" s="18">
        <f>EJ158*VLOOKUP('Données projet'!$B$15,Paramètres!$A$1:$I$89,3,0)*VLOOKUP('Données projet'!$B$15,Paramètres!$A$1:$I$89,5,0)</f>
        <v>-8.7434273154940449E-13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428.8489304403459</v>
      </c>
      <c r="EP158" s="60">
        <f t="shared" si="154"/>
        <v>247.01165577562966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 t="e">
        <f>N159*VLOOKUP('Données projet'!$B$9,Paramètres!$A$1:$I$89,3,0)*VLOOKUP('Données projet'!$B$9,Paramètres!$A$1:$I$89,5,0)</f>
        <v>#N/A</v>
      </c>
      <c r="P159" s="14" t="e">
        <f t="shared" si="141"/>
        <v>#N/A</v>
      </c>
      <c r="Q159" s="22" t="e">
        <f t="shared" si="162"/>
        <v>#N/A</v>
      </c>
      <c r="R159" s="60" t="e">
        <f t="shared" si="109"/>
        <v>#N/A</v>
      </c>
      <c r="S159" s="60" t="e">
        <f ca="1">AVERAGE(OFFSET($R$3,0,0,'Données projet'!$E$9+1,1))-AVERAGE(OFFSET($H$3,0,0,'Données projet'!$E$9+1,1))</f>
        <v>#N/A</v>
      </c>
      <c r="T159" s="60" t="e">
        <f t="shared" si="142"/>
        <v>#N/A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 t="e">
        <f>EXP(-LN(2)/35)*Z158+(1-EXP(-LN(2)/35))/(LN(2)/35)*V159*W159*VLOOKUP('Données projet'!$B$9,Paramètres!$A$1:$I$89,3,0)*0.475*44/12</f>
        <v>#N/A</v>
      </c>
      <c r="AA159" s="23" t="e">
        <f>EXP(-LN(2)/25)*AA158+(1-EXP(-LN(2)/25))/(LN(2)/25)*Calculateur!V159*Calculateur!X159*VLOOKUP('Données projet'!$B$9,Paramètres!$A$1:$I$89,3,0)*0.475*44/12</f>
        <v>#N/A</v>
      </c>
      <c r="AB159" s="23" t="e">
        <f>EXP(-LN(2)/2)*AB158+(1-EXP(-LN(2)/2))/(LN(2)/2)*V159*Y159*VLOOKUP('Données projet'!$B$9,Paramètres!$A$1:$I$89,3,0)*0.475*44/12</f>
        <v>#N/A</v>
      </c>
      <c r="AC159" s="24" t="e">
        <f t="shared" si="163"/>
        <v>#N/A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0" t="e">
        <f t="shared" si="113"/>
        <v>#N/A</v>
      </c>
      <c r="AN159" s="60" t="e">
        <f ca="1">AVERAGE(OFFSET($AM$3,0,0,'Données projet'!$E$10+1,1))-AVERAGE(OFFSET($H$3,0,0,'Données projet'!$E$10+1,1))</f>
        <v>#N/A</v>
      </c>
      <c r="AO159" s="60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-1.0818439477588981E-13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357.083670644861</v>
      </c>
      <c r="BJ159" s="60">
        <f t="shared" si="146"/>
        <v>299.88885091109654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-3.694822225952521E-13</v>
      </c>
      <c r="BZ159" s="14">
        <f>BY159*VLOOKUP('Données projet'!$B$12,Paramètres!$A$1:$I$89,3,0)*VLOOKUP('Données projet'!$B$12,Paramètres!$A$1:$I$89,5,0)</f>
        <v>-1.7291768017457797E-13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245.98992992759543</v>
      </c>
      <c r="CE159" s="60">
        <f t="shared" si="148"/>
        <v>145.34368562171613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-9.3464223027694966E-13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455.50822833641354</v>
      </c>
      <c r="CZ159" s="60">
        <f t="shared" si="150"/>
        <v>261.14722581688039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-9.6633812063373625E-13</v>
      </c>
      <c r="DP159" s="18">
        <f>DO159*VLOOKUP('Données projet'!$B$14,Paramètres!$A$1:$I$89,3,0)*VLOOKUP('Données projet'!$B$14,Paramètres!$A$1:$I$89,5,0)</f>
        <v>-1.0401663530501537E-12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502.07782026233912</v>
      </c>
      <c r="DU159" s="60">
        <f t="shared" si="152"/>
        <v>285.83623046025156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-9.6633812063373625E-13</v>
      </c>
      <c r="EK159" s="18">
        <f>EJ159*VLOOKUP('Données projet'!$B$15,Paramètres!$A$1:$I$89,3,0)*VLOOKUP('Données projet'!$B$15,Paramètres!$A$1:$I$89,5,0)</f>
        <v>-8.7434273154940449E-13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428.8489304403459</v>
      </c>
      <c r="EP159" s="60">
        <f t="shared" si="154"/>
        <v>247.01165577562966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 t="e">
        <f>N160*VLOOKUP('Données projet'!$B$9,Paramètres!$A$1:$I$89,3,0)*VLOOKUP('Données projet'!$B$9,Paramètres!$A$1:$I$89,5,0)</f>
        <v>#N/A</v>
      </c>
      <c r="P160" s="14" t="e">
        <f t="shared" si="141"/>
        <v>#N/A</v>
      </c>
      <c r="Q160" s="22" t="e">
        <f t="shared" si="162"/>
        <v>#N/A</v>
      </c>
      <c r="R160" s="60" t="e">
        <f t="shared" si="109"/>
        <v>#N/A</v>
      </c>
      <c r="S160" s="60" t="e">
        <f ca="1">AVERAGE(OFFSET($R$3,0,0,'Données projet'!$E$9+1,1))-AVERAGE(OFFSET($H$3,0,0,'Données projet'!$E$9+1,1))</f>
        <v>#N/A</v>
      </c>
      <c r="T160" s="60" t="e">
        <f t="shared" si="142"/>
        <v>#N/A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 t="e">
        <f>EXP(-LN(2)/35)*Z159+(1-EXP(-LN(2)/35))/(LN(2)/35)*V160*W160*VLOOKUP('Données projet'!$B$9,Paramètres!$A$1:$I$89,3,0)*0.475*44/12</f>
        <v>#N/A</v>
      </c>
      <c r="AA160" s="23" t="e">
        <f>EXP(-LN(2)/25)*AA159+(1-EXP(-LN(2)/25))/(LN(2)/25)*Calculateur!V160*Calculateur!X160*VLOOKUP('Données projet'!$B$9,Paramètres!$A$1:$I$89,3,0)*0.475*44/12</f>
        <v>#N/A</v>
      </c>
      <c r="AB160" s="23" t="e">
        <f>EXP(-LN(2)/2)*AB159+(1-EXP(-LN(2)/2))/(LN(2)/2)*V160*Y160*VLOOKUP('Données projet'!$B$9,Paramètres!$A$1:$I$89,3,0)*0.475*44/12</f>
        <v>#N/A</v>
      </c>
      <c r="AC160" s="24" t="e">
        <f t="shared" si="163"/>
        <v>#N/A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0" t="e">
        <f t="shared" si="113"/>
        <v>#N/A</v>
      </c>
      <c r="AN160" s="60" t="e">
        <f ca="1">AVERAGE(OFFSET($AM$3,0,0,'Données projet'!$E$10+1,1))-AVERAGE(OFFSET($H$3,0,0,'Données projet'!$E$10+1,1))</f>
        <v>#N/A</v>
      </c>
      <c r="AO160" s="60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-1.0818439477588981E-13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357.083670644861</v>
      </c>
      <c r="BJ160" s="60">
        <f t="shared" si="146"/>
        <v>299.88885091109654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-3.694822225952521E-13</v>
      </c>
      <c r="BZ160" s="14">
        <f>BY160*VLOOKUP('Données projet'!$B$12,Paramètres!$A$1:$I$89,3,0)*VLOOKUP('Données projet'!$B$12,Paramètres!$A$1:$I$89,5,0)</f>
        <v>-1.7291768017457797E-13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245.98992992759543</v>
      </c>
      <c r="CE160" s="60">
        <f t="shared" si="148"/>
        <v>145.34368562171613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-9.3464223027694966E-13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455.50822833641354</v>
      </c>
      <c r="CZ160" s="60">
        <f t="shared" si="150"/>
        <v>261.14722581688039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-9.6633812063373625E-13</v>
      </c>
      <c r="DP160" s="18">
        <f>DO160*VLOOKUP('Données projet'!$B$14,Paramètres!$A$1:$I$89,3,0)*VLOOKUP('Données projet'!$B$14,Paramètres!$A$1:$I$89,5,0)</f>
        <v>-1.0401663530501537E-12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502.07782026233912</v>
      </c>
      <c r="DU160" s="60">
        <f t="shared" si="152"/>
        <v>285.83623046025156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-9.6633812063373625E-13</v>
      </c>
      <c r="EK160" s="18">
        <f>EJ160*VLOOKUP('Données projet'!$B$15,Paramètres!$A$1:$I$89,3,0)*VLOOKUP('Données projet'!$B$15,Paramètres!$A$1:$I$89,5,0)</f>
        <v>-8.7434273154940449E-13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428.8489304403459</v>
      </c>
      <c r="EP160" s="60">
        <f t="shared" si="154"/>
        <v>247.01165577562966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 t="e">
        <f>N161*VLOOKUP('Données projet'!$B$9,Paramètres!$A$1:$I$89,3,0)*VLOOKUP('Données projet'!$B$9,Paramètres!$A$1:$I$89,5,0)</f>
        <v>#N/A</v>
      </c>
      <c r="P161" s="14" t="e">
        <f t="shared" si="141"/>
        <v>#N/A</v>
      </c>
      <c r="Q161" s="22" t="e">
        <f t="shared" si="162"/>
        <v>#N/A</v>
      </c>
      <c r="R161" s="60" t="e">
        <f t="shared" si="109"/>
        <v>#N/A</v>
      </c>
      <c r="S161" s="60" t="e">
        <f ca="1">AVERAGE(OFFSET($R$3,0,0,'Données projet'!$E$9+1,1))-AVERAGE(OFFSET($H$3,0,0,'Données projet'!$E$9+1,1))</f>
        <v>#N/A</v>
      </c>
      <c r="T161" s="60" t="e">
        <f t="shared" si="142"/>
        <v>#N/A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 t="e">
        <f>EXP(-LN(2)/35)*Z160+(1-EXP(-LN(2)/35))/(LN(2)/35)*V161*W161*VLOOKUP('Données projet'!$B$9,Paramètres!$A$1:$I$89,3,0)*0.475*44/12</f>
        <v>#N/A</v>
      </c>
      <c r="AA161" s="23" t="e">
        <f>EXP(-LN(2)/25)*AA160+(1-EXP(-LN(2)/25))/(LN(2)/25)*Calculateur!V161*Calculateur!X161*VLOOKUP('Données projet'!$B$9,Paramètres!$A$1:$I$89,3,0)*0.475*44/12</f>
        <v>#N/A</v>
      </c>
      <c r="AB161" s="23" t="e">
        <f>EXP(-LN(2)/2)*AB160+(1-EXP(-LN(2)/2))/(LN(2)/2)*V161*Y161*VLOOKUP('Données projet'!$B$9,Paramètres!$A$1:$I$89,3,0)*0.475*44/12</f>
        <v>#N/A</v>
      </c>
      <c r="AC161" s="24" t="e">
        <f t="shared" si="163"/>
        <v>#N/A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0" t="e">
        <f t="shared" si="113"/>
        <v>#N/A</v>
      </c>
      <c r="AN161" s="60" t="e">
        <f ca="1">AVERAGE(OFFSET($AM$3,0,0,'Données projet'!$E$10+1,1))-AVERAGE(OFFSET($H$3,0,0,'Données projet'!$E$10+1,1))</f>
        <v>#N/A</v>
      </c>
      <c r="AO161" s="60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-1.0818439477588981E-13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357.083670644861</v>
      </c>
      <c r="BJ161" s="60">
        <f t="shared" si="146"/>
        <v>299.88885091109654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-3.694822225952521E-13</v>
      </c>
      <c r="BZ161" s="14">
        <f>BY161*VLOOKUP('Données projet'!$B$12,Paramètres!$A$1:$I$89,3,0)*VLOOKUP('Données projet'!$B$12,Paramètres!$A$1:$I$89,5,0)</f>
        <v>-1.7291768017457797E-13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245.98992992759543</v>
      </c>
      <c r="CE161" s="60">
        <f t="shared" si="148"/>
        <v>145.34368562171613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-9.3464223027694966E-13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455.50822833641354</v>
      </c>
      <c r="CZ161" s="60">
        <f t="shared" si="150"/>
        <v>261.14722581688039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-9.6633812063373625E-13</v>
      </c>
      <c r="DP161" s="18">
        <f>DO161*VLOOKUP('Données projet'!$B$14,Paramètres!$A$1:$I$89,3,0)*VLOOKUP('Données projet'!$B$14,Paramètres!$A$1:$I$89,5,0)</f>
        <v>-1.0401663530501537E-12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502.07782026233912</v>
      </c>
      <c r="DU161" s="60">
        <f t="shared" si="152"/>
        <v>285.83623046025156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-9.6633812063373625E-13</v>
      </c>
      <c r="EK161" s="18">
        <f>EJ161*VLOOKUP('Données projet'!$B$15,Paramètres!$A$1:$I$89,3,0)*VLOOKUP('Données projet'!$B$15,Paramètres!$A$1:$I$89,5,0)</f>
        <v>-8.7434273154940449E-13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428.8489304403459</v>
      </c>
      <c r="EP161" s="60">
        <f t="shared" si="154"/>
        <v>247.01165577562966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 t="e">
        <f>N162*VLOOKUP('Données projet'!$B$9,Paramètres!$A$1:$I$89,3,0)*VLOOKUP('Données projet'!$B$9,Paramètres!$A$1:$I$89,5,0)</f>
        <v>#N/A</v>
      </c>
      <c r="P162" s="14" t="e">
        <f t="shared" si="141"/>
        <v>#N/A</v>
      </c>
      <c r="Q162" s="22" t="e">
        <f t="shared" si="162"/>
        <v>#N/A</v>
      </c>
      <c r="R162" s="60" t="e">
        <f t="shared" si="109"/>
        <v>#N/A</v>
      </c>
      <c r="S162" s="60" t="e">
        <f ca="1">AVERAGE(OFFSET($R$3,0,0,'Données projet'!$E$9+1,1))-AVERAGE(OFFSET($H$3,0,0,'Données projet'!$E$9+1,1))</f>
        <v>#N/A</v>
      </c>
      <c r="T162" s="60" t="e">
        <f t="shared" si="142"/>
        <v>#N/A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 t="e">
        <f>EXP(-LN(2)/35)*Z161+(1-EXP(-LN(2)/35))/(LN(2)/35)*V162*W162*VLOOKUP('Données projet'!$B$9,Paramètres!$A$1:$I$89,3,0)*0.475*44/12</f>
        <v>#N/A</v>
      </c>
      <c r="AA162" s="23" t="e">
        <f>EXP(-LN(2)/25)*AA161+(1-EXP(-LN(2)/25))/(LN(2)/25)*Calculateur!V162*Calculateur!X162*VLOOKUP('Données projet'!$B$9,Paramètres!$A$1:$I$89,3,0)*0.475*44/12</f>
        <v>#N/A</v>
      </c>
      <c r="AB162" s="23" t="e">
        <f>EXP(-LN(2)/2)*AB161+(1-EXP(-LN(2)/2))/(LN(2)/2)*V162*Y162*VLOOKUP('Données projet'!$B$9,Paramètres!$A$1:$I$89,3,0)*0.475*44/12</f>
        <v>#N/A</v>
      </c>
      <c r="AC162" s="24" t="e">
        <f t="shared" si="163"/>
        <v>#N/A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0" t="e">
        <f t="shared" si="113"/>
        <v>#N/A</v>
      </c>
      <c r="AN162" s="60" t="e">
        <f ca="1">AVERAGE(OFFSET($AM$3,0,0,'Données projet'!$E$10+1,1))-AVERAGE(OFFSET($H$3,0,0,'Données projet'!$E$10+1,1))</f>
        <v>#N/A</v>
      </c>
      <c r="AO162" s="60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-1.0818439477588981E-13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357.083670644861</v>
      </c>
      <c r="BJ162" s="60">
        <f t="shared" si="146"/>
        <v>299.88885091109654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-3.694822225952521E-13</v>
      </c>
      <c r="BZ162" s="14">
        <f>BY162*VLOOKUP('Données projet'!$B$12,Paramètres!$A$1:$I$89,3,0)*VLOOKUP('Données projet'!$B$12,Paramètres!$A$1:$I$89,5,0)</f>
        <v>-1.7291768017457797E-13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245.98992992759543</v>
      </c>
      <c r="CE162" s="60">
        <f t="shared" si="148"/>
        <v>145.34368562171613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-9.3464223027694966E-13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455.50822833641354</v>
      </c>
      <c r="CZ162" s="60">
        <f t="shared" si="150"/>
        <v>261.14722581688039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-9.6633812063373625E-13</v>
      </c>
      <c r="DP162" s="18">
        <f>DO162*VLOOKUP('Données projet'!$B$14,Paramètres!$A$1:$I$89,3,0)*VLOOKUP('Données projet'!$B$14,Paramètres!$A$1:$I$89,5,0)</f>
        <v>-1.0401663530501537E-12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502.07782026233912</v>
      </c>
      <c r="DU162" s="60">
        <f t="shared" si="152"/>
        <v>285.83623046025156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-9.6633812063373625E-13</v>
      </c>
      <c r="EK162" s="18">
        <f>EJ162*VLOOKUP('Données projet'!$B$15,Paramètres!$A$1:$I$89,3,0)*VLOOKUP('Données projet'!$B$15,Paramètres!$A$1:$I$89,5,0)</f>
        <v>-8.7434273154940449E-13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428.8489304403459</v>
      </c>
      <c r="EP162" s="60">
        <f t="shared" si="154"/>
        <v>247.01165577562966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 t="e">
        <f>N163*VLOOKUP('Données projet'!$B$9,Paramètres!$A$1:$I$89,3,0)*VLOOKUP('Données projet'!$B$9,Paramètres!$A$1:$I$89,5,0)</f>
        <v>#N/A</v>
      </c>
      <c r="P163" s="14" t="e">
        <f t="shared" si="141"/>
        <v>#N/A</v>
      </c>
      <c r="Q163" s="22" t="e">
        <f t="shared" si="162"/>
        <v>#N/A</v>
      </c>
      <c r="R163" s="60" t="e">
        <f t="shared" si="109"/>
        <v>#N/A</v>
      </c>
      <c r="S163" s="60" t="e">
        <f ca="1">AVERAGE(OFFSET($R$3,0,0,'Données projet'!$E$9+1,1))-AVERAGE(OFFSET($H$3,0,0,'Données projet'!$E$9+1,1))</f>
        <v>#N/A</v>
      </c>
      <c r="T163" s="60" t="e">
        <f t="shared" si="142"/>
        <v>#N/A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 t="e">
        <f>EXP(-LN(2)/35)*Z162+(1-EXP(-LN(2)/35))/(LN(2)/35)*V163*W163*VLOOKUP('Données projet'!$B$9,Paramètres!$A$1:$I$89,3,0)*0.475*44/12</f>
        <v>#N/A</v>
      </c>
      <c r="AA163" s="23" t="e">
        <f>EXP(-LN(2)/25)*AA162+(1-EXP(-LN(2)/25))/(LN(2)/25)*Calculateur!V163*Calculateur!X163*VLOOKUP('Données projet'!$B$9,Paramètres!$A$1:$I$89,3,0)*0.475*44/12</f>
        <v>#N/A</v>
      </c>
      <c r="AB163" s="23" t="e">
        <f>EXP(-LN(2)/2)*AB162+(1-EXP(-LN(2)/2))/(LN(2)/2)*V163*Y163*VLOOKUP('Données projet'!$B$9,Paramètres!$A$1:$I$89,3,0)*0.475*44/12</f>
        <v>#N/A</v>
      </c>
      <c r="AC163" s="24" t="e">
        <f t="shared" si="163"/>
        <v>#N/A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0" t="e">
        <f t="shared" si="113"/>
        <v>#N/A</v>
      </c>
      <c r="AN163" s="60" t="e">
        <f ca="1">AVERAGE(OFFSET($AM$3,0,0,'Données projet'!$E$10+1,1))-AVERAGE(OFFSET($H$3,0,0,'Données projet'!$E$10+1,1))</f>
        <v>#N/A</v>
      </c>
      <c r="AO163" s="60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-1.0818439477588981E-13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357.083670644861</v>
      </c>
      <c r="BJ163" s="60">
        <f t="shared" si="146"/>
        <v>299.88885091109654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-3.694822225952521E-13</v>
      </c>
      <c r="BZ163" s="14">
        <f>BY163*VLOOKUP('Données projet'!$B$12,Paramètres!$A$1:$I$89,3,0)*VLOOKUP('Données projet'!$B$12,Paramètres!$A$1:$I$89,5,0)</f>
        <v>-1.7291768017457797E-13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245.98992992759543</v>
      </c>
      <c r="CE163" s="60">
        <f t="shared" si="148"/>
        <v>145.34368562171613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-9.3464223027694966E-13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455.50822833641354</v>
      </c>
      <c r="CZ163" s="60">
        <f t="shared" si="150"/>
        <v>261.14722581688039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-9.6633812063373625E-13</v>
      </c>
      <c r="DP163" s="18">
        <f>DO163*VLOOKUP('Données projet'!$B$14,Paramètres!$A$1:$I$89,3,0)*VLOOKUP('Données projet'!$B$14,Paramètres!$A$1:$I$89,5,0)</f>
        <v>-1.0401663530501537E-12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502.07782026233912</v>
      </c>
      <c r="DU163" s="60">
        <f t="shared" si="152"/>
        <v>285.83623046025156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-9.6633812063373625E-13</v>
      </c>
      <c r="EK163" s="18">
        <f>EJ163*VLOOKUP('Données projet'!$B$15,Paramètres!$A$1:$I$89,3,0)*VLOOKUP('Données projet'!$B$15,Paramètres!$A$1:$I$89,5,0)</f>
        <v>-8.7434273154940449E-13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428.8489304403459</v>
      </c>
      <c r="EP163" s="60">
        <f t="shared" si="154"/>
        <v>247.01165577562966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 t="e">
        <f>N164*VLOOKUP('Données projet'!$B$9,Paramètres!$A$1:$I$89,3,0)*VLOOKUP('Données projet'!$B$9,Paramètres!$A$1:$I$89,5,0)</f>
        <v>#N/A</v>
      </c>
      <c r="P164" s="14" t="e">
        <f t="shared" si="141"/>
        <v>#N/A</v>
      </c>
      <c r="Q164" s="22" t="e">
        <f t="shared" si="162"/>
        <v>#N/A</v>
      </c>
      <c r="R164" s="60" t="e">
        <f t="shared" si="109"/>
        <v>#N/A</v>
      </c>
      <c r="S164" s="60" t="e">
        <f ca="1">AVERAGE(OFFSET($R$3,0,0,'Données projet'!$E$9+1,1))-AVERAGE(OFFSET($H$3,0,0,'Données projet'!$E$9+1,1))</f>
        <v>#N/A</v>
      </c>
      <c r="T164" s="60" t="e">
        <f t="shared" si="142"/>
        <v>#N/A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 t="e">
        <f>EXP(-LN(2)/35)*Z163+(1-EXP(-LN(2)/35))/(LN(2)/35)*V164*W164*VLOOKUP('Données projet'!$B$9,Paramètres!$A$1:$I$89,3,0)*0.475*44/12</f>
        <v>#N/A</v>
      </c>
      <c r="AA164" s="23" t="e">
        <f>EXP(-LN(2)/25)*AA163+(1-EXP(-LN(2)/25))/(LN(2)/25)*Calculateur!V164*Calculateur!X164*VLOOKUP('Données projet'!$B$9,Paramètres!$A$1:$I$89,3,0)*0.475*44/12</f>
        <v>#N/A</v>
      </c>
      <c r="AB164" s="23" t="e">
        <f>EXP(-LN(2)/2)*AB163+(1-EXP(-LN(2)/2))/(LN(2)/2)*V164*Y164*VLOOKUP('Données projet'!$B$9,Paramètres!$A$1:$I$89,3,0)*0.475*44/12</f>
        <v>#N/A</v>
      </c>
      <c r="AC164" s="24" t="e">
        <f t="shared" si="163"/>
        <v>#N/A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0" t="e">
        <f t="shared" si="113"/>
        <v>#N/A</v>
      </c>
      <c r="AN164" s="60" t="e">
        <f ca="1">AVERAGE(OFFSET($AM$3,0,0,'Données projet'!$E$10+1,1))-AVERAGE(OFFSET($H$3,0,0,'Données projet'!$E$10+1,1))</f>
        <v>#N/A</v>
      </c>
      <c r="AO164" s="60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-1.0818439477588981E-13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357.083670644861</v>
      </c>
      <c r="BJ164" s="60">
        <f t="shared" si="146"/>
        <v>299.88885091109654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-3.694822225952521E-13</v>
      </c>
      <c r="BZ164" s="14">
        <f>BY164*VLOOKUP('Données projet'!$B$12,Paramètres!$A$1:$I$89,3,0)*VLOOKUP('Données projet'!$B$12,Paramètres!$A$1:$I$89,5,0)</f>
        <v>-1.7291768017457797E-13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245.98992992759543</v>
      </c>
      <c r="CE164" s="60">
        <f t="shared" si="148"/>
        <v>145.34368562171613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-9.3464223027694966E-13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455.50822833641354</v>
      </c>
      <c r="CZ164" s="60">
        <f t="shared" si="150"/>
        <v>261.14722581688039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-9.6633812063373625E-13</v>
      </c>
      <c r="DP164" s="18">
        <f>DO164*VLOOKUP('Données projet'!$B$14,Paramètres!$A$1:$I$89,3,0)*VLOOKUP('Données projet'!$B$14,Paramètres!$A$1:$I$89,5,0)</f>
        <v>-1.0401663530501537E-12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502.07782026233912</v>
      </c>
      <c r="DU164" s="60">
        <f t="shared" si="152"/>
        <v>285.83623046025156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-9.6633812063373625E-13</v>
      </c>
      <c r="EK164" s="18">
        <f>EJ164*VLOOKUP('Données projet'!$B$15,Paramètres!$A$1:$I$89,3,0)*VLOOKUP('Données projet'!$B$15,Paramètres!$A$1:$I$89,5,0)</f>
        <v>-8.7434273154940449E-13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428.8489304403459</v>
      </c>
      <c r="EP164" s="60">
        <f t="shared" si="154"/>
        <v>247.01165577562966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 t="e">
        <f>N165*VLOOKUP('Données projet'!$B$9,Paramètres!$A$1:$I$89,3,0)*VLOOKUP('Données projet'!$B$9,Paramètres!$A$1:$I$89,5,0)</f>
        <v>#N/A</v>
      </c>
      <c r="P165" s="14" t="e">
        <f t="shared" si="141"/>
        <v>#N/A</v>
      </c>
      <c r="Q165" s="22" t="e">
        <f t="shared" si="162"/>
        <v>#N/A</v>
      </c>
      <c r="R165" s="60" t="e">
        <f t="shared" si="109"/>
        <v>#N/A</v>
      </c>
      <c r="S165" s="60" t="e">
        <f ca="1">AVERAGE(OFFSET($R$3,0,0,'Données projet'!$E$9+1,1))-AVERAGE(OFFSET($H$3,0,0,'Données projet'!$E$9+1,1))</f>
        <v>#N/A</v>
      </c>
      <c r="T165" s="60" t="e">
        <f t="shared" si="142"/>
        <v>#N/A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 t="e">
        <f>EXP(-LN(2)/35)*Z164+(1-EXP(-LN(2)/35))/(LN(2)/35)*V165*W165*VLOOKUP('Données projet'!$B$9,Paramètres!$A$1:$I$89,3,0)*0.475*44/12</f>
        <v>#N/A</v>
      </c>
      <c r="AA165" s="23" t="e">
        <f>EXP(-LN(2)/25)*AA164+(1-EXP(-LN(2)/25))/(LN(2)/25)*Calculateur!V165*Calculateur!X165*VLOOKUP('Données projet'!$B$9,Paramètres!$A$1:$I$89,3,0)*0.475*44/12</f>
        <v>#N/A</v>
      </c>
      <c r="AB165" s="23" t="e">
        <f>EXP(-LN(2)/2)*AB164+(1-EXP(-LN(2)/2))/(LN(2)/2)*V165*Y165*VLOOKUP('Données projet'!$B$9,Paramètres!$A$1:$I$89,3,0)*0.475*44/12</f>
        <v>#N/A</v>
      </c>
      <c r="AC165" s="24" t="e">
        <f t="shared" si="163"/>
        <v>#N/A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0" t="e">
        <f t="shared" si="113"/>
        <v>#N/A</v>
      </c>
      <c r="AN165" s="60" t="e">
        <f ca="1">AVERAGE(OFFSET($AM$3,0,0,'Données projet'!$E$10+1,1))-AVERAGE(OFFSET($H$3,0,0,'Données projet'!$E$10+1,1))</f>
        <v>#N/A</v>
      </c>
      <c r="AO165" s="60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-1.0818439477588981E-13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357.083670644861</v>
      </c>
      <c r="BJ165" s="60">
        <f t="shared" si="146"/>
        <v>299.88885091109654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-3.694822225952521E-13</v>
      </c>
      <c r="BZ165" s="14">
        <f>BY165*VLOOKUP('Données projet'!$B$12,Paramètres!$A$1:$I$89,3,0)*VLOOKUP('Données projet'!$B$12,Paramètres!$A$1:$I$89,5,0)</f>
        <v>-1.7291768017457797E-13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245.98992992759543</v>
      </c>
      <c r="CE165" s="60">
        <f t="shared" si="148"/>
        <v>145.34368562171613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-9.3464223027694966E-13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455.50822833641354</v>
      </c>
      <c r="CZ165" s="60">
        <f t="shared" si="150"/>
        <v>261.14722581688039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-9.6633812063373625E-13</v>
      </c>
      <c r="DP165" s="18">
        <f>DO165*VLOOKUP('Données projet'!$B$14,Paramètres!$A$1:$I$89,3,0)*VLOOKUP('Données projet'!$B$14,Paramètres!$A$1:$I$89,5,0)</f>
        <v>-1.0401663530501537E-12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502.07782026233912</v>
      </c>
      <c r="DU165" s="60">
        <f t="shared" si="152"/>
        <v>285.83623046025156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-9.6633812063373625E-13</v>
      </c>
      <c r="EK165" s="18">
        <f>EJ165*VLOOKUP('Données projet'!$B$15,Paramètres!$A$1:$I$89,3,0)*VLOOKUP('Données projet'!$B$15,Paramètres!$A$1:$I$89,5,0)</f>
        <v>-8.7434273154940449E-13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428.8489304403459</v>
      </c>
      <c r="EP165" s="60">
        <f t="shared" si="154"/>
        <v>247.01165577562966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 t="e">
        <f>N166*VLOOKUP('Données projet'!$B$9,Paramètres!$A$1:$I$89,3,0)*VLOOKUP('Données projet'!$B$9,Paramètres!$A$1:$I$89,5,0)</f>
        <v>#N/A</v>
      </c>
      <c r="P166" s="14" t="e">
        <f t="shared" si="141"/>
        <v>#N/A</v>
      </c>
      <c r="Q166" s="22" t="e">
        <f t="shared" si="162"/>
        <v>#N/A</v>
      </c>
      <c r="R166" s="60" t="e">
        <f t="shared" si="109"/>
        <v>#N/A</v>
      </c>
      <c r="S166" s="60" t="e">
        <f ca="1">AVERAGE(OFFSET($R$3,0,0,'Données projet'!$E$9+1,1))-AVERAGE(OFFSET($H$3,0,0,'Données projet'!$E$9+1,1))</f>
        <v>#N/A</v>
      </c>
      <c r="T166" s="60" t="e">
        <f t="shared" si="142"/>
        <v>#N/A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 t="e">
        <f>EXP(-LN(2)/35)*Z165+(1-EXP(-LN(2)/35))/(LN(2)/35)*V166*W166*VLOOKUP('Données projet'!$B$9,Paramètres!$A$1:$I$89,3,0)*0.475*44/12</f>
        <v>#N/A</v>
      </c>
      <c r="AA166" s="23" t="e">
        <f>EXP(-LN(2)/25)*AA165+(1-EXP(-LN(2)/25))/(LN(2)/25)*Calculateur!V166*Calculateur!X166*VLOOKUP('Données projet'!$B$9,Paramètres!$A$1:$I$89,3,0)*0.475*44/12</f>
        <v>#N/A</v>
      </c>
      <c r="AB166" s="23" t="e">
        <f>EXP(-LN(2)/2)*AB165+(1-EXP(-LN(2)/2))/(LN(2)/2)*V166*Y166*VLOOKUP('Données projet'!$B$9,Paramètres!$A$1:$I$89,3,0)*0.475*44/12</f>
        <v>#N/A</v>
      </c>
      <c r="AC166" s="24" t="e">
        <f t="shared" si="163"/>
        <v>#N/A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0" t="e">
        <f t="shared" si="113"/>
        <v>#N/A</v>
      </c>
      <c r="AN166" s="60" t="e">
        <f ca="1">AVERAGE(OFFSET($AM$3,0,0,'Données projet'!$E$10+1,1))-AVERAGE(OFFSET($H$3,0,0,'Données projet'!$E$10+1,1))</f>
        <v>#N/A</v>
      </c>
      <c r="AO166" s="60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-1.0818439477588981E-13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357.083670644861</v>
      </c>
      <c r="BJ166" s="60">
        <f t="shared" si="146"/>
        <v>299.88885091109654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-3.694822225952521E-13</v>
      </c>
      <c r="BZ166" s="14">
        <f>BY166*VLOOKUP('Données projet'!$B$12,Paramètres!$A$1:$I$89,3,0)*VLOOKUP('Données projet'!$B$12,Paramètres!$A$1:$I$89,5,0)</f>
        <v>-1.7291768017457797E-13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245.98992992759543</v>
      </c>
      <c r="CE166" s="60">
        <f t="shared" si="148"/>
        <v>145.34368562171613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-9.3464223027694966E-13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455.50822833641354</v>
      </c>
      <c r="CZ166" s="60">
        <f t="shared" si="150"/>
        <v>261.14722581688039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-9.6633812063373625E-13</v>
      </c>
      <c r="DP166" s="18">
        <f>DO166*VLOOKUP('Données projet'!$B$14,Paramètres!$A$1:$I$89,3,0)*VLOOKUP('Données projet'!$B$14,Paramètres!$A$1:$I$89,5,0)</f>
        <v>-1.0401663530501537E-12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502.07782026233912</v>
      </c>
      <c r="DU166" s="60">
        <f t="shared" si="152"/>
        <v>285.83623046025156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-9.6633812063373625E-13</v>
      </c>
      <c r="EK166" s="18">
        <f>EJ166*VLOOKUP('Données projet'!$B$15,Paramètres!$A$1:$I$89,3,0)*VLOOKUP('Données projet'!$B$15,Paramètres!$A$1:$I$89,5,0)</f>
        <v>-8.7434273154940449E-13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428.8489304403459</v>
      </c>
      <c r="EP166" s="60">
        <f t="shared" si="154"/>
        <v>247.01165577562966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 t="e">
        <f>N167*VLOOKUP('Données projet'!$B$9,Paramètres!$A$1:$I$89,3,0)*VLOOKUP('Données projet'!$B$9,Paramètres!$A$1:$I$89,5,0)</f>
        <v>#N/A</v>
      </c>
      <c r="P167" s="14" t="e">
        <f t="shared" si="141"/>
        <v>#N/A</v>
      </c>
      <c r="Q167" s="22" t="e">
        <f t="shared" si="162"/>
        <v>#N/A</v>
      </c>
      <c r="R167" s="60" t="e">
        <f t="shared" si="109"/>
        <v>#N/A</v>
      </c>
      <c r="S167" s="60" t="e">
        <f ca="1">AVERAGE(OFFSET($R$3,0,0,'Données projet'!$E$9+1,1))-AVERAGE(OFFSET($H$3,0,0,'Données projet'!$E$9+1,1))</f>
        <v>#N/A</v>
      </c>
      <c r="T167" s="60" t="e">
        <f t="shared" si="142"/>
        <v>#N/A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 t="e">
        <f>EXP(-LN(2)/35)*Z166+(1-EXP(-LN(2)/35))/(LN(2)/35)*V167*W167*VLOOKUP('Données projet'!$B$9,Paramètres!$A$1:$I$89,3,0)*0.475*44/12</f>
        <v>#N/A</v>
      </c>
      <c r="AA167" s="23" t="e">
        <f>EXP(-LN(2)/25)*AA166+(1-EXP(-LN(2)/25))/(LN(2)/25)*Calculateur!V167*Calculateur!X167*VLOOKUP('Données projet'!$B$9,Paramètres!$A$1:$I$89,3,0)*0.475*44/12</f>
        <v>#N/A</v>
      </c>
      <c r="AB167" s="23" t="e">
        <f>EXP(-LN(2)/2)*AB166+(1-EXP(-LN(2)/2))/(LN(2)/2)*V167*Y167*VLOOKUP('Données projet'!$B$9,Paramètres!$A$1:$I$89,3,0)*0.475*44/12</f>
        <v>#N/A</v>
      </c>
      <c r="AC167" s="24" t="e">
        <f t="shared" si="163"/>
        <v>#N/A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0" t="e">
        <f t="shared" si="113"/>
        <v>#N/A</v>
      </c>
      <c r="AN167" s="60" t="e">
        <f ca="1">AVERAGE(OFFSET($AM$3,0,0,'Données projet'!$E$10+1,1))-AVERAGE(OFFSET($H$3,0,0,'Données projet'!$E$10+1,1))</f>
        <v>#N/A</v>
      </c>
      <c r="AO167" s="60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-1.0818439477588981E-13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357.083670644861</v>
      </c>
      <c r="BJ167" s="60">
        <f t="shared" si="146"/>
        <v>299.88885091109654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-3.694822225952521E-13</v>
      </c>
      <c r="BZ167" s="14">
        <f>BY167*VLOOKUP('Données projet'!$B$12,Paramètres!$A$1:$I$89,3,0)*VLOOKUP('Données projet'!$B$12,Paramètres!$A$1:$I$89,5,0)</f>
        <v>-1.7291768017457797E-13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245.98992992759543</v>
      </c>
      <c r="CE167" s="60">
        <f t="shared" si="148"/>
        <v>145.34368562171613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-9.3464223027694966E-13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455.50822833641354</v>
      </c>
      <c r="CZ167" s="60">
        <f t="shared" si="150"/>
        <v>261.14722581688039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-9.6633812063373625E-13</v>
      </c>
      <c r="DP167" s="18">
        <f>DO167*VLOOKUP('Données projet'!$B$14,Paramètres!$A$1:$I$89,3,0)*VLOOKUP('Données projet'!$B$14,Paramètres!$A$1:$I$89,5,0)</f>
        <v>-1.0401663530501537E-12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502.07782026233912</v>
      </c>
      <c r="DU167" s="60">
        <f t="shared" si="152"/>
        <v>285.83623046025156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-9.6633812063373625E-13</v>
      </c>
      <c r="EK167" s="18">
        <f>EJ167*VLOOKUP('Données projet'!$B$15,Paramètres!$A$1:$I$89,3,0)*VLOOKUP('Données projet'!$B$15,Paramètres!$A$1:$I$89,5,0)</f>
        <v>-8.7434273154940449E-13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428.8489304403459</v>
      </c>
      <c r="EP167" s="60">
        <f t="shared" si="154"/>
        <v>247.01165577562966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 t="e">
        <f>N168*VLOOKUP('Données projet'!$B$9,Paramètres!$A$1:$I$89,3,0)*VLOOKUP('Données projet'!$B$9,Paramètres!$A$1:$I$89,5,0)</f>
        <v>#N/A</v>
      </c>
      <c r="P168" s="14" t="e">
        <f t="shared" si="141"/>
        <v>#N/A</v>
      </c>
      <c r="Q168" s="22" t="e">
        <f t="shared" si="162"/>
        <v>#N/A</v>
      </c>
      <c r="R168" s="60" t="e">
        <f t="shared" si="109"/>
        <v>#N/A</v>
      </c>
      <c r="S168" s="60" t="e">
        <f ca="1">AVERAGE(OFFSET($R$3,0,0,'Données projet'!$E$9+1,1))-AVERAGE(OFFSET($H$3,0,0,'Données projet'!$E$9+1,1))</f>
        <v>#N/A</v>
      </c>
      <c r="T168" s="60" t="e">
        <f t="shared" si="142"/>
        <v>#N/A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 t="e">
        <f>EXP(-LN(2)/35)*Z167+(1-EXP(-LN(2)/35))/(LN(2)/35)*V168*W168*VLOOKUP('Données projet'!$B$9,Paramètres!$A$1:$I$89,3,0)*0.475*44/12</f>
        <v>#N/A</v>
      </c>
      <c r="AA168" s="23" t="e">
        <f>EXP(-LN(2)/25)*AA167+(1-EXP(-LN(2)/25))/(LN(2)/25)*Calculateur!V168*Calculateur!X168*VLOOKUP('Données projet'!$B$9,Paramètres!$A$1:$I$89,3,0)*0.475*44/12</f>
        <v>#N/A</v>
      </c>
      <c r="AB168" s="23" t="e">
        <f>EXP(-LN(2)/2)*AB167+(1-EXP(-LN(2)/2))/(LN(2)/2)*V168*Y168*VLOOKUP('Données projet'!$B$9,Paramètres!$A$1:$I$89,3,0)*0.475*44/12</f>
        <v>#N/A</v>
      </c>
      <c r="AC168" s="24" t="e">
        <f t="shared" si="163"/>
        <v>#N/A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0" t="e">
        <f t="shared" si="113"/>
        <v>#N/A</v>
      </c>
      <c r="AN168" s="60" t="e">
        <f ca="1">AVERAGE(OFFSET($AM$3,0,0,'Données projet'!$E$10+1,1))-AVERAGE(OFFSET($H$3,0,0,'Données projet'!$E$10+1,1))</f>
        <v>#N/A</v>
      </c>
      <c r="AO168" s="60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-1.0818439477588981E-13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357.083670644861</v>
      </c>
      <c r="BJ168" s="60">
        <f t="shared" si="146"/>
        <v>299.88885091109654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-3.694822225952521E-13</v>
      </c>
      <c r="BZ168" s="14">
        <f>BY168*VLOOKUP('Données projet'!$B$12,Paramètres!$A$1:$I$89,3,0)*VLOOKUP('Données projet'!$B$12,Paramètres!$A$1:$I$89,5,0)</f>
        <v>-1.7291768017457797E-13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245.98992992759543</v>
      </c>
      <c r="CE168" s="60">
        <f t="shared" si="148"/>
        <v>145.34368562171613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-9.3464223027694966E-13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455.50822833641354</v>
      </c>
      <c r="CZ168" s="60">
        <f t="shared" si="150"/>
        <v>261.14722581688039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-9.6633812063373625E-13</v>
      </c>
      <c r="DP168" s="18">
        <f>DO168*VLOOKUP('Données projet'!$B$14,Paramètres!$A$1:$I$89,3,0)*VLOOKUP('Données projet'!$B$14,Paramètres!$A$1:$I$89,5,0)</f>
        <v>-1.0401663530501537E-12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502.07782026233912</v>
      </c>
      <c r="DU168" s="60">
        <f t="shared" si="152"/>
        <v>285.83623046025156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-9.6633812063373625E-13</v>
      </c>
      <c r="EK168" s="18">
        <f>EJ168*VLOOKUP('Données projet'!$B$15,Paramètres!$A$1:$I$89,3,0)*VLOOKUP('Données projet'!$B$15,Paramètres!$A$1:$I$89,5,0)</f>
        <v>-8.7434273154940449E-13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428.8489304403459</v>
      </c>
      <c r="EP168" s="60">
        <f t="shared" si="154"/>
        <v>247.01165577562966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 t="e">
        <f>N169*VLOOKUP('Données projet'!$B$9,Paramètres!$A$1:$I$89,3,0)*VLOOKUP('Données projet'!$B$9,Paramètres!$A$1:$I$89,5,0)</f>
        <v>#N/A</v>
      </c>
      <c r="P169" s="14" t="e">
        <f t="shared" si="141"/>
        <v>#N/A</v>
      </c>
      <c r="Q169" s="22" t="e">
        <f t="shared" si="162"/>
        <v>#N/A</v>
      </c>
      <c r="R169" s="60" t="e">
        <f t="shared" si="109"/>
        <v>#N/A</v>
      </c>
      <c r="S169" s="60" t="e">
        <f ca="1">AVERAGE(OFFSET($R$3,0,0,'Données projet'!$E$9+1,1))-AVERAGE(OFFSET($H$3,0,0,'Données projet'!$E$9+1,1))</f>
        <v>#N/A</v>
      </c>
      <c r="T169" s="60" t="e">
        <f t="shared" si="142"/>
        <v>#N/A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 t="e">
        <f>EXP(-LN(2)/35)*Z168+(1-EXP(-LN(2)/35))/(LN(2)/35)*V169*W169*VLOOKUP('Données projet'!$B$9,Paramètres!$A$1:$I$89,3,0)*0.475*44/12</f>
        <v>#N/A</v>
      </c>
      <c r="AA169" s="23" t="e">
        <f>EXP(-LN(2)/25)*AA168+(1-EXP(-LN(2)/25))/(LN(2)/25)*Calculateur!V169*Calculateur!X169*VLOOKUP('Données projet'!$B$9,Paramètres!$A$1:$I$89,3,0)*0.475*44/12</f>
        <v>#N/A</v>
      </c>
      <c r="AB169" s="23" t="e">
        <f>EXP(-LN(2)/2)*AB168+(1-EXP(-LN(2)/2))/(LN(2)/2)*V169*Y169*VLOOKUP('Données projet'!$B$9,Paramètres!$A$1:$I$89,3,0)*0.475*44/12</f>
        <v>#N/A</v>
      </c>
      <c r="AC169" s="24" t="e">
        <f t="shared" si="163"/>
        <v>#N/A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0" t="e">
        <f t="shared" si="113"/>
        <v>#N/A</v>
      </c>
      <c r="AN169" s="60" t="e">
        <f ca="1">AVERAGE(OFFSET($AM$3,0,0,'Données projet'!$E$10+1,1))-AVERAGE(OFFSET($H$3,0,0,'Données projet'!$E$10+1,1))</f>
        <v>#N/A</v>
      </c>
      <c r="AO169" s="60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-1.0818439477588981E-13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357.083670644861</v>
      </c>
      <c r="BJ169" s="60">
        <f t="shared" si="146"/>
        <v>299.88885091109654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-3.694822225952521E-13</v>
      </c>
      <c r="BZ169" s="14">
        <f>BY169*VLOOKUP('Données projet'!$B$12,Paramètres!$A$1:$I$89,3,0)*VLOOKUP('Données projet'!$B$12,Paramètres!$A$1:$I$89,5,0)</f>
        <v>-1.7291768017457797E-13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245.98992992759543</v>
      </c>
      <c r="CE169" s="60">
        <f t="shared" si="148"/>
        <v>145.34368562171613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-9.3464223027694966E-13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455.50822833641354</v>
      </c>
      <c r="CZ169" s="60">
        <f t="shared" si="150"/>
        <v>261.14722581688039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-9.6633812063373625E-13</v>
      </c>
      <c r="DP169" s="18">
        <f>DO169*VLOOKUP('Données projet'!$B$14,Paramètres!$A$1:$I$89,3,0)*VLOOKUP('Données projet'!$B$14,Paramètres!$A$1:$I$89,5,0)</f>
        <v>-1.0401663530501537E-12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502.07782026233912</v>
      </c>
      <c r="DU169" s="60">
        <f t="shared" si="152"/>
        <v>285.83623046025156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-9.6633812063373625E-13</v>
      </c>
      <c r="EK169" s="18">
        <f>EJ169*VLOOKUP('Données projet'!$B$15,Paramètres!$A$1:$I$89,3,0)*VLOOKUP('Données projet'!$B$15,Paramètres!$A$1:$I$89,5,0)</f>
        <v>-8.7434273154940449E-13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428.8489304403459</v>
      </c>
      <c r="EP169" s="60">
        <f t="shared" si="154"/>
        <v>247.01165577562966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 t="e">
        <f>N170*VLOOKUP('Données projet'!$B$9,Paramètres!$A$1:$I$89,3,0)*VLOOKUP('Données projet'!$B$9,Paramètres!$A$1:$I$89,5,0)</f>
        <v>#N/A</v>
      </c>
      <c r="P170" s="14" t="e">
        <f t="shared" si="141"/>
        <v>#N/A</v>
      </c>
      <c r="Q170" s="22" t="e">
        <f t="shared" si="162"/>
        <v>#N/A</v>
      </c>
      <c r="R170" s="60" t="e">
        <f t="shared" si="109"/>
        <v>#N/A</v>
      </c>
      <c r="S170" s="60" t="e">
        <f ca="1">AVERAGE(OFFSET($R$3,0,0,'Données projet'!$E$9+1,1))-AVERAGE(OFFSET($H$3,0,0,'Données projet'!$E$9+1,1))</f>
        <v>#N/A</v>
      </c>
      <c r="T170" s="60" t="e">
        <f t="shared" si="142"/>
        <v>#N/A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 t="e">
        <f>EXP(-LN(2)/35)*Z169+(1-EXP(-LN(2)/35))/(LN(2)/35)*V170*W170*VLOOKUP('Données projet'!$B$9,Paramètres!$A$1:$I$89,3,0)*0.475*44/12</f>
        <v>#N/A</v>
      </c>
      <c r="AA170" s="23" t="e">
        <f>EXP(-LN(2)/25)*AA169+(1-EXP(-LN(2)/25))/(LN(2)/25)*Calculateur!V170*Calculateur!X170*VLOOKUP('Données projet'!$B$9,Paramètres!$A$1:$I$89,3,0)*0.475*44/12</f>
        <v>#N/A</v>
      </c>
      <c r="AB170" s="23" t="e">
        <f>EXP(-LN(2)/2)*AB169+(1-EXP(-LN(2)/2))/(LN(2)/2)*V170*Y170*VLOOKUP('Données projet'!$B$9,Paramètres!$A$1:$I$89,3,0)*0.475*44/12</f>
        <v>#N/A</v>
      </c>
      <c r="AC170" s="24" t="e">
        <f t="shared" si="163"/>
        <v>#N/A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0" t="e">
        <f t="shared" si="113"/>
        <v>#N/A</v>
      </c>
      <c r="AN170" s="60" t="e">
        <f ca="1">AVERAGE(OFFSET($AM$3,0,0,'Données projet'!$E$10+1,1))-AVERAGE(OFFSET($H$3,0,0,'Données projet'!$E$10+1,1))</f>
        <v>#N/A</v>
      </c>
      <c r="AO170" s="60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-1.0818439477588981E-13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357.083670644861</v>
      </c>
      <c r="BJ170" s="60">
        <f t="shared" si="146"/>
        <v>299.88885091109654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-3.694822225952521E-13</v>
      </c>
      <c r="BZ170" s="14">
        <f>BY170*VLOOKUP('Données projet'!$B$12,Paramètres!$A$1:$I$89,3,0)*VLOOKUP('Données projet'!$B$12,Paramètres!$A$1:$I$89,5,0)</f>
        <v>-1.7291768017457797E-13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245.98992992759543</v>
      </c>
      <c r="CE170" s="60">
        <f t="shared" si="148"/>
        <v>145.34368562171613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-9.3464223027694966E-13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455.50822833641354</v>
      </c>
      <c r="CZ170" s="60">
        <f t="shared" si="150"/>
        <v>261.14722581688039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-9.6633812063373625E-13</v>
      </c>
      <c r="DP170" s="18">
        <f>DO170*VLOOKUP('Données projet'!$B$14,Paramètres!$A$1:$I$89,3,0)*VLOOKUP('Données projet'!$B$14,Paramètres!$A$1:$I$89,5,0)</f>
        <v>-1.0401663530501537E-12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502.07782026233912</v>
      </c>
      <c r="DU170" s="60">
        <f t="shared" si="152"/>
        <v>285.83623046025156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-9.6633812063373625E-13</v>
      </c>
      <c r="EK170" s="18">
        <f>EJ170*VLOOKUP('Données projet'!$B$15,Paramètres!$A$1:$I$89,3,0)*VLOOKUP('Données projet'!$B$15,Paramètres!$A$1:$I$89,5,0)</f>
        <v>-8.7434273154940449E-13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428.8489304403459</v>
      </c>
      <c r="EP170" s="60">
        <f t="shared" si="154"/>
        <v>247.01165577562966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 t="e">
        <f>N171*VLOOKUP('Données projet'!$B$9,Paramètres!$A$1:$I$89,3,0)*VLOOKUP('Données projet'!$B$9,Paramètres!$A$1:$I$89,5,0)</f>
        <v>#N/A</v>
      </c>
      <c r="P171" s="14" t="e">
        <f t="shared" si="141"/>
        <v>#N/A</v>
      </c>
      <c r="Q171" s="22" t="e">
        <f t="shared" si="162"/>
        <v>#N/A</v>
      </c>
      <c r="R171" s="60" t="e">
        <f t="shared" si="109"/>
        <v>#N/A</v>
      </c>
      <c r="S171" s="60" t="e">
        <f ca="1">AVERAGE(OFFSET($R$3,0,0,'Données projet'!$E$9+1,1))-AVERAGE(OFFSET($H$3,0,0,'Données projet'!$E$9+1,1))</f>
        <v>#N/A</v>
      </c>
      <c r="T171" s="60" t="e">
        <f t="shared" si="142"/>
        <v>#N/A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 t="e">
        <f>EXP(-LN(2)/35)*Z170+(1-EXP(-LN(2)/35))/(LN(2)/35)*V171*W171*VLOOKUP('Données projet'!$B$9,Paramètres!$A$1:$I$89,3,0)*0.475*44/12</f>
        <v>#N/A</v>
      </c>
      <c r="AA171" s="23" t="e">
        <f>EXP(-LN(2)/25)*AA170+(1-EXP(-LN(2)/25))/(LN(2)/25)*Calculateur!V171*Calculateur!X171*VLOOKUP('Données projet'!$B$9,Paramètres!$A$1:$I$89,3,0)*0.475*44/12</f>
        <v>#N/A</v>
      </c>
      <c r="AB171" s="23" t="e">
        <f>EXP(-LN(2)/2)*AB170+(1-EXP(-LN(2)/2))/(LN(2)/2)*V171*Y171*VLOOKUP('Données projet'!$B$9,Paramètres!$A$1:$I$89,3,0)*0.475*44/12</f>
        <v>#N/A</v>
      </c>
      <c r="AC171" s="24" t="e">
        <f t="shared" si="163"/>
        <v>#N/A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0" t="e">
        <f t="shared" si="113"/>
        <v>#N/A</v>
      </c>
      <c r="AN171" s="60" t="e">
        <f ca="1">AVERAGE(OFFSET($AM$3,0,0,'Données projet'!$E$10+1,1))-AVERAGE(OFFSET($H$3,0,0,'Données projet'!$E$10+1,1))</f>
        <v>#N/A</v>
      </c>
      <c r="AO171" s="60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-1.0818439477588981E-13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357.083670644861</v>
      </c>
      <c r="BJ171" s="60">
        <f t="shared" si="146"/>
        <v>299.88885091109654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-3.694822225952521E-13</v>
      </c>
      <c r="BZ171" s="14">
        <f>BY171*VLOOKUP('Données projet'!$B$12,Paramètres!$A$1:$I$89,3,0)*VLOOKUP('Données projet'!$B$12,Paramètres!$A$1:$I$89,5,0)</f>
        <v>-1.7291768017457797E-13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245.98992992759543</v>
      </c>
      <c r="CE171" s="60">
        <f t="shared" si="148"/>
        <v>145.34368562171613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-9.3464223027694966E-13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455.50822833641354</v>
      </c>
      <c r="CZ171" s="60">
        <f t="shared" si="150"/>
        <v>261.14722581688039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-9.6633812063373625E-13</v>
      </c>
      <c r="DP171" s="18">
        <f>DO171*VLOOKUP('Données projet'!$B$14,Paramètres!$A$1:$I$89,3,0)*VLOOKUP('Données projet'!$B$14,Paramètres!$A$1:$I$89,5,0)</f>
        <v>-1.0401663530501537E-12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502.07782026233912</v>
      </c>
      <c r="DU171" s="60">
        <f t="shared" si="152"/>
        <v>285.83623046025156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-9.6633812063373625E-13</v>
      </c>
      <c r="EK171" s="18">
        <f>EJ171*VLOOKUP('Données projet'!$B$15,Paramètres!$A$1:$I$89,3,0)*VLOOKUP('Données projet'!$B$15,Paramètres!$A$1:$I$89,5,0)</f>
        <v>-8.7434273154940449E-13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428.8489304403459</v>
      </c>
      <c r="EP171" s="60">
        <f t="shared" si="154"/>
        <v>247.01165577562966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 t="e">
        <f>N172*VLOOKUP('Données projet'!$B$9,Paramètres!$A$1:$I$89,3,0)*VLOOKUP('Données projet'!$B$9,Paramètres!$A$1:$I$89,5,0)</f>
        <v>#N/A</v>
      </c>
      <c r="P172" s="14" t="e">
        <f t="shared" si="141"/>
        <v>#N/A</v>
      </c>
      <c r="Q172" s="22" t="e">
        <f t="shared" si="162"/>
        <v>#N/A</v>
      </c>
      <c r="R172" s="60" t="e">
        <f t="shared" si="109"/>
        <v>#N/A</v>
      </c>
      <c r="S172" s="60" t="e">
        <f ca="1">AVERAGE(OFFSET($R$3,0,0,'Données projet'!$E$9+1,1))-AVERAGE(OFFSET($H$3,0,0,'Données projet'!$E$9+1,1))</f>
        <v>#N/A</v>
      </c>
      <c r="T172" s="60" t="e">
        <f t="shared" si="142"/>
        <v>#N/A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 t="e">
        <f>EXP(-LN(2)/35)*Z171+(1-EXP(-LN(2)/35))/(LN(2)/35)*V172*W172*VLOOKUP('Données projet'!$B$9,Paramètres!$A$1:$I$89,3,0)*0.475*44/12</f>
        <v>#N/A</v>
      </c>
      <c r="AA172" s="23" t="e">
        <f>EXP(-LN(2)/25)*AA171+(1-EXP(-LN(2)/25))/(LN(2)/25)*Calculateur!V172*Calculateur!X172*VLOOKUP('Données projet'!$B$9,Paramètres!$A$1:$I$89,3,0)*0.475*44/12</f>
        <v>#N/A</v>
      </c>
      <c r="AB172" s="23" t="e">
        <f>EXP(-LN(2)/2)*AB171+(1-EXP(-LN(2)/2))/(LN(2)/2)*V172*Y172*VLOOKUP('Données projet'!$B$9,Paramètres!$A$1:$I$89,3,0)*0.475*44/12</f>
        <v>#N/A</v>
      </c>
      <c r="AC172" s="24" t="e">
        <f t="shared" si="163"/>
        <v>#N/A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0" t="e">
        <f t="shared" si="113"/>
        <v>#N/A</v>
      </c>
      <c r="AN172" s="60" t="e">
        <f ca="1">AVERAGE(OFFSET($AM$3,0,0,'Données projet'!$E$10+1,1))-AVERAGE(OFFSET($H$3,0,0,'Données projet'!$E$10+1,1))</f>
        <v>#N/A</v>
      </c>
      <c r="AO172" s="60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-1.0818439477588981E-13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357.083670644861</v>
      </c>
      <c r="BJ172" s="60">
        <f t="shared" si="146"/>
        <v>299.88885091109654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-3.694822225952521E-13</v>
      </c>
      <c r="BZ172" s="14">
        <f>BY172*VLOOKUP('Données projet'!$B$12,Paramètres!$A$1:$I$89,3,0)*VLOOKUP('Données projet'!$B$12,Paramètres!$A$1:$I$89,5,0)</f>
        <v>-1.7291768017457797E-13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245.98992992759543</v>
      </c>
      <c r="CE172" s="60">
        <f t="shared" si="148"/>
        <v>145.34368562171613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-9.3464223027694966E-13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455.50822833641354</v>
      </c>
      <c r="CZ172" s="60">
        <f t="shared" si="150"/>
        <v>261.14722581688039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-9.6633812063373625E-13</v>
      </c>
      <c r="DP172" s="18">
        <f>DO172*VLOOKUP('Données projet'!$B$14,Paramètres!$A$1:$I$89,3,0)*VLOOKUP('Données projet'!$B$14,Paramètres!$A$1:$I$89,5,0)</f>
        <v>-1.0401663530501537E-12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502.07782026233912</v>
      </c>
      <c r="DU172" s="60">
        <f t="shared" si="152"/>
        <v>285.83623046025156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-9.6633812063373625E-13</v>
      </c>
      <c r="EK172" s="18">
        <f>EJ172*VLOOKUP('Données projet'!$B$15,Paramètres!$A$1:$I$89,3,0)*VLOOKUP('Données projet'!$B$15,Paramètres!$A$1:$I$89,5,0)</f>
        <v>-8.7434273154940449E-13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428.8489304403459</v>
      </c>
      <c r="EP172" s="60">
        <f t="shared" si="154"/>
        <v>247.01165577562966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 t="e">
        <f>N173*VLOOKUP('Données projet'!$B$9,Paramètres!$A$1:$I$89,3,0)*VLOOKUP('Données projet'!$B$9,Paramètres!$A$1:$I$89,5,0)</f>
        <v>#N/A</v>
      </c>
      <c r="P173" s="14" t="e">
        <f t="shared" si="141"/>
        <v>#N/A</v>
      </c>
      <c r="Q173" s="22" t="e">
        <f t="shared" si="162"/>
        <v>#N/A</v>
      </c>
      <c r="R173" s="60" t="e">
        <f t="shared" si="109"/>
        <v>#N/A</v>
      </c>
      <c r="S173" s="60" t="e">
        <f ca="1">AVERAGE(OFFSET($R$3,0,0,'Données projet'!$E$9+1,1))-AVERAGE(OFFSET($H$3,0,0,'Données projet'!$E$9+1,1))</f>
        <v>#N/A</v>
      </c>
      <c r="T173" s="60" t="e">
        <f t="shared" si="142"/>
        <v>#N/A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 t="e">
        <f>EXP(-LN(2)/35)*Z172+(1-EXP(-LN(2)/35))/(LN(2)/35)*V173*W173*VLOOKUP('Données projet'!$B$9,Paramètres!$A$1:$I$89,3,0)*0.475*44/12</f>
        <v>#N/A</v>
      </c>
      <c r="AA173" s="23" t="e">
        <f>EXP(-LN(2)/25)*AA172+(1-EXP(-LN(2)/25))/(LN(2)/25)*Calculateur!V173*Calculateur!X173*VLOOKUP('Données projet'!$B$9,Paramètres!$A$1:$I$89,3,0)*0.475*44/12</f>
        <v>#N/A</v>
      </c>
      <c r="AB173" s="23" t="e">
        <f>EXP(-LN(2)/2)*AB172+(1-EXP(-LN(2)/2))/(LN(2)/2)*V173*Y173*VLOOKUP('Données projet'!$B$9,Paramètres!$A$1:$I$89,3,0)*0.475*44/12</f>
        <v>#N/A</v>
      </c>
      <c r="AC173" s="24" t="e">
        <f t="shared" si="163"/>
        <v>#N/A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0" t="e">
        <f t="shared" si="113"/>
        <v>#N/A</v>
      </c>
      <c r="AN173" s="60" t="e">
        <f ca="1">AVERAGE(OFFSET($AM$3,0,0,'Données projet'!$E$10+1,1))-AVERAGE(OFFSET($H$3,0,0,'Données projet'!$E$10+1,1))</f>
        <v>#N/A</v>
      </c>
      <c r="AO173" s="60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-1.0818439477588981E-13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357.083670644861</v>
      </c>
      <c r="BJ173" s="60">
        <f t="shared" si="146"/>
        <v>299.88885091109654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-3.694822225952521E-13</v>
      </c>
      <c r="BZ173" s="14">
        <f>BY173*VLOOKUP('Données projet'!$B$12,Paramètres!$A$1:$I$89,3,0)*VLOOKUP('Données projet'!$B$12,Paramètres!$A$1:$I$89,5,0)</f>
        <v>-1.7291768017457797E-13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245.98992992759543</v>
      </c>
      <c r="CE173" s="60">
        <f t="shared" si="148"/>
        <v>145.34368562171613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-9.3464223027694966E-13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455.50822833641354</v>
      </c>
      <c r="CZ173" s="60">
        <f t="shared" si="150"/>
        <v>261.14722581688039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-9.6633812063373625E-13</v>
      </c>
      <c r="DP173" s="18">
        <f>DO173*VLOOKUP('Données projet'!$B$14,Paramètres!$A$1:$I$89,3,0)*VLOOKUP('Données projet'!$B$14,Paramètres!$A$1:$I$89,5,0)</f>
        <v>-1.0401663530501537E-12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502.07782026233912</v>
      </c>
      <c r="DU173" s="60">
        <f t="shared" si="152"/>
        <v>285.83623046025156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-9.6633812063373625E-13</v>
      </c>
      <c r="EK173" s="18">
        <f>EJ173*VLOOKUP('Données projet'!$B$15,Paramètres!$A$1:$I$89,3,0)*VLOOKUP('Données projet'!$B$15,Paramètres!$A$1:$I$89,5,0)</f>
        <v>-8.7434273154940449E-13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428.8489304403459</v>
      </c>
      <c r="EP173" s="60">
        <f t="shared" si="154"/>
        <v>247.01165577562966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 t="e">
        <f>N174*VLOOKUP('Données projet'!$B$9,Paramètres!$A$1:$I$89,3,0)*VLOOKUP('Données projet'!$B$9,Paramètres!$A$1:$I$89,5,0)</f>
        <v>#N/A</v>
      </c>
      <c r="P174" s="14" t="e">
        <f t="shared" si="141"/>
        <v>#N/A</v>
      </c>
      <c r="Q174" s="22" t="e">
        <f t="shared" si="162"/>
        <v>#N/A</v>
      </c>
      <c r="R174" s="60" t="e">
        <f t="shared" si="109"/>
        <v>#N/A</v>
      </c>
      <c r="S174" s="60" t="e">
        <f ca="1">AVERAGE(OFFSET($R$3,0,0,'Données projet'!$E$9+1,1))-AVERAGE(OFFSET($H$3,0,0,'Données projet'!$E$9+1,1))</f>
        <v>#N/A</v>
      </c>
      <c r="T174" s="60" t="e">
        <f t="shared" si="142"/>
        <v>#N/A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 t="e">
        <f>EXP(-LN(2)/35)*Z173+(1-EXP(-LN(2)/35))/(LN(2)/35)*V174*W174*VLOOKUP('Données projet'!$B$9,Paramètres!$A$1:$I$89,3,0)*0.475*44/12</f>
        <v>#N/A</v>
      </c>
      <c r="AA174" s="23" t="e">
        <f>EXP(-LN(2)/25)*AA173+(1-EXP(-LN(2)/25))/(LN(2)/25)*Calculateur!V174*Calculateur!X174*VLOOKUP('Données projet'!$B$9,Paramètres!$A$1:$I$89,3,0)*0.475*44/12</f>
        <v>#N/A</v>
      </c>
      <c r="AB174" s="23" t="e">
        <f>EXP(-LN(2)/2)*AB173+(1-EXP(-LN(2)/2))/(LN(2)/2)*V174*Y174*VLOOKUP('Données projet'!$B$9,Paramètres!$A$1:$I$89,3,0)*0.475*44/12</f>
        <v>#N/A</v>
      </c>
      <c r="AC174" s="24" t="e">
        <f t="shared" si="163"/>
        <v>#N/A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0" t="e">
        <f t="shared" si="113"/>
        <v>#N/A</v>
      </c>
      <c r="AN174" s="60" t="e">
        <f ca="1">AVERAGE(OFFSET($AM$3,0,0,'Données projet'!$E$10+1,1))-AVERAGE(OFFSET($H$3,0,0,'Données projet'!$E$10+1,1))</f>
        <v>#N/A</v>
      </c>
      <c r="AO174" s="60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-1.0818439477588981E-13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357.083670644861</v>
      </c>
      <c r="BJ174" s="60">
        <f t="shared" si="146"/>
        <v>299.88885091109654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-3.694822225952521E-13</v>
      </c>
      <c r="BZ174" s="14">
        <f>BY174*VLOOKUP('Données projet'!$B$12,Paramètres!$A$1:$I$89,3,0)*VLOOKUP('Données projet'!$B$12,Paramètres!$A$1:$I$89,5,0)</f>
        <v>-1.7291768017457797E-13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245.98992992759543</v>
      </c>
      <c r="CE174" s="60">
        <f t="shared" si="148"/>
        <v>145.34368562171613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-9.3464223027694966E-13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455.50822833641354</v>
      </c>
      <c r="CZ174" s="60">
        <f t="shared" si="150"/>
        <v>261.14722581688039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-9.6633812063373625E-13</v>
      </c>
      <c r="DP174" s="18">
        <f>DO174*VLOOKUP('Données projet'!$B$14,Paramètres!$A$1:$I$89,3,0)*VLOOKUP('Données projet'!$B$14,Paramètres!$A$1:$I$89,5,0)</f>
        <v>-1.0401663530501537E-12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502.07782026233912</v>
      </c>
      <c r="DU174" s="60">
        <f t="shared" si="152"/>
        <v>285.83623046025156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-9.6633812063373625E-13</v>
      </c>
      <c r="EK174" s="18">
        <f>EJ174*VLOOKUP('Données projet'!$B$15,Paramètres!$A$1:$I$89,3,0)*VLOOKUP('Données projet'!$B$15,Paramètres!$A$1:$I$89,5,0)</f>
        <v>-8.7434273154940449E-13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428.8489304403459</v>
      </c>
      <c r="EP174" s="60">
        <f t="shared" si="154"/>
        <v>247.01165577562966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 t="e">
        <f>N175*VLOOKUP('Données projet'!$B$9,Paramètres!$A$1:$I$89,3,0)*VLOOKUP('Données projet'!$B$9,Paramètres!$A$1:$I$89,5,0)</f>
        <v>#N/A</v>
      </c>
      <c r="P175" s="14" t="e">
        <f t="shared" si="141"/>
        <v>#N/A</v>
      </c>
      <c r="Q175" s="22" t="e">
        <f t="shared" si="162"/>
        <v>#N/A</v>
      </c>
      <c r="R175" s="60" t="e">
        <f t="shared" si="109"/>
        <v>#N/A</v>
      </c>
      <c r="S175" s="60" t="e">
        <f ca="1">AVERAGE(OFFSET($R$3,0,0,'Données projet'!$E$9+1,1))-AVERAGE(OFFSET($H$3,0,0,'Données projet'!$E$9+1,1))</f>
        <v>#N/A</v>
      </c>
      <c r="T175" s="60" t="e">
        <f t="shared" si="142"/>
        <v>#N/A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 t="e">
        <f>EXP(-LN(2)/35)*Z174+(1-EXP(-LN(2)/35))/(LN(2)/35)*V175*W175*VLOOKUP('Données projet'!$B$9,Paramètres!$A$1:$I$89,3,0)*0.475*44/12</f>
        <v>#N/A</v>
      </c>
      <c r="AA175" s="23" t="e">
        <f>EXP(-LN(2)/25)*AA174+(1-EXP(-LN(2)/25))/(LN(2)/25)*Calculateur!V175*Calculateur!X175*VLOOKUP('Données projet'!$B$9,Paramètres!$A$1:$I$89,3,0)*0.475*44/12</f>
        <v>#N/A</v>
      </c>
      <c r="AB175" s="23" t="e">
        <f>EXP(-LN(2)/2)*AB174+(1-EXP(-LN(2)/2))/(LN(2)/2)*V175*Y175*VLOOKUP('Données projet'!$B$9,Paramètres!$A$1:$I$89,3,0)*0.475*44/12</f>
        <v>#N/A</v>
      </c>
      <c r="AC175" s="24" t="e">
        <f t="shared" si="163"/>
        <v>#N/A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0" t="e">
        <f t="shared" si="113"/>
        <v>#N/A</v>
      </c>
      <c r="AN175" s="60" t="e">
        <f ca="1">AVERAGE(OFFSET($AM$3,0,0,'Données projet'!$E$10+1,1))-AVERAGE(OFFSET($H$3,0,0,'Données projet'!$E$10+1,1))</f>
        <v>#N/A</v>
      </c>
      <c r="AO175" s="60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-1.0818439477588981E-13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357.083670644861</v>
      </c>
      <c r="BJ175" s="60">
        <f t="shared" si="146"/>
        <v>299.88885091109654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-3.694822225952521E-13</v>
      </c>
      <c r="BZ175" s="14">
        <f>BY175*VLOOKUP('Données projet'!$B$12,Paramètres!$A$1:$I$89,3,0)*VLOOKUP('Données projet'!$B$12,Paramètres!$A$1:$I$89,5,0)</f>
        <v>-1.7291768017457797E-13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245.98992992759543</v>
      </c>
      <c r="CE175" s="60">
        <f t="shared" si="148"/>
        <v>145.34368562171613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-9.3464223027694966E-13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455.50822833641354</v>
      </c>
      <c r="CZ175" s="60">
        <f t="shared" si="150"/>
        <v>261.14722581688039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-9.6633812063373625E-13</v>
      </c>
      <c r="DP175" s="18">
        <f>DO175*VLOOKUP('Données projet'!$B$14,Paramètres!$A$1:$I$89,3,0)*VLOOKUP('Données projet'!$B$14,Paramètres!$A$1:$I$89,5,0)</f>
        <v>-1.0401663530501537E-12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502.07782026233912</v>
      </c>
      <c r="DU175" s="60">
        <f t="shared" si="152"/>
        <v>285.83623046025156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-9.6633812063373625E-13</v>
      </c>
      <c r="EK175" s="18">
        <f>EJ175*VLOOKUP('Données projet'!$B$15,Paramètres!$A$1:$I$89,3,0)*VLOOKUP('Données projet'!$B$15,Paramètres!$A$1:$I$89,5,0)</f>
        <v>-8.7434273154940449E-13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428.8489304403459</v>
      </c>
      <c r="EP175" s="60">
        <f t="shared" si="154"/>
        <v>247.01165577562966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 t="e">
        <f>N176*VLOOKUP('Données projet'!$B$9,Paramètres!$A$1:$I$89,3,0)*VLOOKUP('Données projet'!$B$9,Paramètres!$A$1:$I$89,5,0)</f>
        <v>#N/A</v>
      </c>
      <c r="P176" s="14" t="e">
        <f t="shared" si="141"/>
        <v>#N/A</v>
      </c>
      <c r="Q176" s="22" t="e">
        <f t="shared" si="162"/>
        <v>#N/A</v>
      </c>
      <c r="R176" s="60" t="e">
        <f t="shared" si="109"/>
        <v>#N/A</v>
      </c>
      <c r="S176" s="60" t="e">
        <f ca="1">AVERAGE(OFFSET($R$3,0,0,'Données projet'!$E$9+1,1))-AVERAGE(OFFSET($H$3,0,0,'Données projet'!$E$9+1,1))</f>
        <v>#N/A</v>
      </c>
      <c r="T176" s="60" t="e">
        <f t="shared" si="142"/>
        <v>#N/A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 t="e">
        <f>EXP(-LN(2)/35)*Z175+(1-EXP(-LN(2)/35))/(LN(2)/35)*V176*W176*VLOOKUP('Données projet'!$B$9,Paramètres!$A$1:$I$89,3,0)*0.475*44/12</f>
        <v>#N/A</v>
      </c>
      <c r="AA176" s="23" t="e">
        <f>EXP(-LN(2)/25)*AA175+(1-EXP(-LN(2)/25))/(LN(2)/25)*Calculateur!V176*Calculateur!X176*VLOOKUP('Données projet'!$B$9,Paramètres!$A$1:$I$89,3,0)*0.475*44/12</f>
        <v>#N/A</v>
      </c>
      <c r="AB176" s="23" t="e">
        <f>EXP(-LN(2)/2)*AB175+(1-EXP(-LN(2)/2))/(LN(2)/2)*V176*Y176*VLOOKUP('Données projet'!$B$9,Paramètres!$A$1:$I$89,3,0)*0.475*44/12</f>
        <v>#N/A</v>
      </c>
      <c r="AC176" s="24" t="e">
        <f t="shared" si="163"/>
        <v>#N/A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0" t="e">
        <f t="shared" si="113"/>
        <v>#N/A</v>
      </c>
      <c r="AN176" s="60" t="e">
        <f ca="1">AVERAGE(OFFSET($AM$3,0,0,'Données projet'!$E$10+1,1))-AVERAGE(OFFSET($H$3,0,0,'Données projet'!$E$10+1,1))</f>
        <v>#N/A</v>
      </c>
      <c r="AO176" s="60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-1.0818439477588981E-13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357.083670644861</v>
      </c>
      <c r="BJ176" s="60">
        <f t="shared" si="146"/>
        <v>299.88885091109654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-3.694822225952521E-13</v>
      </c>
      <c r="BZ176" s="14">
        <f>BY176*VLOOKUP('Données projet'!$B$12,Paramètres!$A$1:$I$89,3,0)*VLOOKUP('Données projet'!$B$12,Paramètres!$A$1:$I$89,5,0)</f>
        <v>-1.7291768017457797E-13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245.98992992759543</v>
      </c>
      <c r="CE176" s="60">
        <f t="shared" si="148"/>
        <v>145.34368562171613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-9.3464223027694966E-13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455.50822833641354</v>
      </c>
      <c r="CZ176" s="60">
        <f t="shared" si="150"/>
        <v>261.14722581688039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-9.6633812063373625E-13</v>
      </c>
      <c r="DP176" s="18">
        <f>DO176*VLOOKUP('Données projet'!$B$14,Paramètres!$A$1:$I$89,3,0)*VLOOKUP('Données projet'!$B$14,Paramètres!$A$1:$I$89,5,0)</f>
        <v>-1.0401663530501537E-12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502.07782026233912</v>
      </c>
      <c r="DU176" s="60">
        <f t="shared" si="152"/>
        <v>285.83623046025156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-9.6633812063373625E-13</v>
      </c>
      <c r="EK176" s="18">
        <f>EJ176*VLOOKUP('Données projet'!$B$15,Paramètres!$A$1:$I$89,3,0)*VLOOKUP('Données projet'!$B$15,Paramètres!$A$1:$I$89,5,0)</f>
        <v>-8.7434273154940449E-13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428.8489304403459</v>
      </c>
      <c r="EP176" s="60">
        <f t="shared" si="154"/>
        <v>247.01165577562966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 t="e">
        <f>N177*VLOOKUP('Données projet'!$B$9,Paramètres!$A$1:$I$89,3,0)*VLOOKUP('Données projet'!$B$9,Paramètres!$A$1:$I$89,5,0)</f>
        <v>#N/A</v>
      </c>
      <c r="P177" s="14" t="e">
        <f t="shared" si="141"/>
        <v>#N/A</v>
      </c>
      <c r="Q177" s="22" t="e">
        <f t="shared" si="162"/>
        <v>#N/A</v>
      </c>
      <c r="R177" s="60" t="e">
        <f t="shared" si="109"/>
        <v>#N/A</v>
      </c>
      <c r="S177" s="60" t="e">
        <f ca="1">AVERAGE(OFFSET($R$3,0,0,'Données projet'!$E$9+1,1))-AVERAGE(OFFSET($H$3,0,0,'Données projet'!$E$9+1,1))</f>
        <v>#N/A</v>
      </c>
      <c r="T177" s="60" t="e">
        <f t="shared" si="142"/>
        <v>#N/A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 t="e">
        <f>EXP(-LN(2)/35)*Z176+(1-EXP(-LN(2)/35))/(LN(2)/35)*V177*W177*VLOOKUP('Données projet'!$B$9,Paramètres!$A$1:$I$89,3,0)*0.475*44/12</f>
        <v>#N/A</v>
      </c>
      <c r="AA177" s="23" t="e">
        <f>EXP(-LN(2)/25)*AA176+(1-EXP(-LN(2)/25))/(LN(2)/25)*Calculateur!V177*Calculateur!X177*VLOOKUP('Données projet'!$B$9,Paramètres!$A$1:$I$89,3,0)*0.475*44/12</f>
        <v>#N/A</v>
      </c>
      <c r="AB177" s="23" t="e">
        <f>EXP(-LN(2)/2)*AB176+(1-EXP(-LN(2)/2))/(LN(2)/2)*V177*Y177*VLOOKUP('Données projet'!$B$9,Paramètres!$A$1:$I$89,3,0)*0.475*44/12</f>
        <v>#N/A</v>
      </c>
      <c r="AC177" s="24" t="e">
        <f t="shared" si="163"/>
        <v>#N/A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0" t="e">
        <f t="shared" si="113"/>
        <v>#N/A</v>
      </c>
      <c r="AN177" s="60" t="e">
        <f ca="1">AVERAGE(OFFSET($AM$3,0,0,'Données projet'!$E$10+1,1))-AVERAGE(OFFSET($H$3,0,0,'Données projet'!$E$10+1,1))</f>
        <v>#N/A</v>
      </c>
      <c r="AO177" s="60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-1.0818439477588981E-13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357.083670644861</v>
      </c>
      <c r="BJ177" s="60">
        <f t="shared" si="146"/>
        <v>299.88885091109654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-3.694822225952521E-13</v>
      </c>
      <c r="BZ177" s="14">
        <f>BY177*VLOOKUP('Données projet'!$B$12,Paramètres!$A$1:$I$89,3,0)*VLOOKUP('Données projet'!$B$12,Paramètres!$A$1:$I$89,5,0)</f>
        <v>-1.7291768017457797E-13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245.98992992759543</v>
      </c>
      <c r="CE177" s="60">
        <f t="shared" si="148"/>
        <v>145.34368562171613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-9.3464223027694966E-13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455.50822833641354</v>
      </c>
      <c r="CZ177" s="60">
        <f t="shared" si="150"/>
        <v>261.14722581688039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-9.6633812063373625E-13</v>
      </c>
      <c r="DP177" s="18">
        <f>DO177*VLOOKUP('Données projet'!$B$14,Paramètres!$A$1:$I$89,3,0)*VLOOKUP('Données projet'!$B$14,Paramètres!$A$1:$I$89,5,0)</f>
        <v>-1.0401663530501537E-12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502.07782026233912</v>
      </c>
      <c r="DU177" s="60">
        <f t="shared" si="152"/>
        <v>285.83623046025156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-9.6633812063373625E-13</v>
      </c>
      <c r="EK177" s="18">
        <f>EJ177*VLOOKUP('Données projet'!$B$15,Paramètres!$A$1:$I$89,3,0)*VLOOKUP('Données projet'!$B$15,Paramètres!$A$1:$I$89,5,0)</f>
        <v>-8.7434273154940449E-13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428.8489304403459</v>
      </c>
      <c r="EP177" s="60">
        <f t="shared" si="154"/>
        <v>247.01165577562966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 t="e">
        <f>N178*VLOOKUP('Données projet'!$B$9,Paramètres!$A$1:$I$89,3,0)*VLOOKUP('Données projet'!$B$9,Paramètres!$A$1:$I$89,5,0)</f>
        <v>#N/A</v>
      </c>
      <c r="P178" s="14" t="e">
        <f t="shared" si="141"/>
        <v>#N/A</v>
      </c>
      <c r="Q178" s="22" t="e">
        <f t="shared" si="162"/>
        <v>#N/A</v>
      </c>
      <c r="R178" s="60" t="e">
        <f t="shared" si="109"/>
        <v>#N/A</v>
      </c>
      <c r="S178" s="60" t="e">
        <f ca="1">AVERAGE(OFFSET($R$3,0,0,'Données projet'!$E$9+1,1))-AVERAGE(OFFSET($H$3,0,0,'Données projet'!$E$9+1,1))</f>
        <v>#N/A</v>
      </c>
      <c r="T178" s="60" t="e">
        <f t="shared" si="142"/>
        <v>#N/A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 t="e">
        <f>EXP(-LN(2)/35)*Z177+(1-EXP(-LN(2)/35))/(LN(2)/35)*V178*W178*VLOOKUP('Données projet'!$B$9,Paramètres!$A$1:$I$89,3,0)*0.475*44/12</f>
        <v>#N/A</v>
      </c>
      <c r="AA178" s="23" t="e">
        <f>EXP(-LN(2)/25)*AA177+(1-EXP(-LN(2)/25))/(LN(2)/25)*Calculateur!V178*Calculateur!X178*VLOOKUP('Données projet'!$B$9,Paramètres!$A$1:$I$89,3,0)*0.475*44/12</f>
        <v>#N/A</v>
      </c>
      <c r="AB178" s="23" t="e">
        <f>EXP(-LN(2)/2)*AB177+(1-EXP(-LN(2)/2))/(LN(2)/2)*V178*Y178*VLOOKUP('Données projet'!$B$9,Paramètres!$A$1:$I$89,3,0)*0.475*44/12</f>
        <v>#N/A</v>
      </c>
      <c r="AC178" s="24" t="e">
        <f t="shared" si="163"/>
        <v>#N/A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0" t="e">
        <f t="shared" si="113"/>
        <v>#N/A</v>
      </c>
      <c r="AN178" s="60" t="e">
        <f ca="1">AVERAGE(OFFSET($AM$3,0,0,'Données projet'!$E$10+1,1))-AVERAGE(OFFSET($H$3,0,0,'Données projet'!$E$10+1,1))</f>
        <v>#N/A</v>
      </c>
      <c r="AO178" s="60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-1.0818439477588981E-13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357.083670644861</v>
      </c>
      <c r="BJ178" s="60">
        <f t="shared" si="146"/>
        <v>299.88885091109654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-3.694822225952521E-13</v>
      </c>
      <c r="BZ178" s="14">
        <f>BY178*VLOOKUP('Données projet'!$B$12,Paramètres!$A$1:$I$89,3,0)*VLOOKUP('Données projet'!$B$12,Paramètres!$A$1:$I$89,5,0)</f>
        <v>-1.7291768017457797E-13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245.98992992759543</v>
      </c>
      <c r="CE178" s="60">
        <f t="shared" si="148"/>
        <v>145.34368562171613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-9.3464223027694966E-13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455.50822833641354</v>
      </c>
      <c r="CZ178" s="60">
        <f t="shared" si="150"/>
        <v>261.14722581688039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-9.6633812063373625E-13</v>
      </c>
      <c r="DP178" s="18">
        <f>DO178*VLOOKUP('Données projet'!$B$14,Paramètres!$A$1:$I$89,3,0)*VLOOKUP('Données projet'!$B$14,Paramètres!$A$1:$I$89,5,0)</f>
        <v>-1.0401663530501537E-12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502.07782026233912</v>
      </c>
      <c r="DU178" s="60">
        <f t="shared" si="152"/>
        <v>285.83623046025156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-9.6633812063373625E-13</v>
      </c>
      <c r="EK178" s="18">
        <f>EJ178*VLOOKUP('Données projet'!$B$15,Paramètres!$A$1:$I$89,3,0)*VLOOKUP('Données projet'!$B$15,Paramètres!$A$1:$I$89,5,0)</f>
        <v>-8.7434273154940449E-13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428.8489304403459</v>
      </c>
      <c r="EP178" s="60">
        <f t="shared" si="154"/>
        <v>247.01165577562966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 t="e">
        <f>N179*VLOOKUP('Données projet'!$B$9,Paramètres!$A$1:$I$89,3,0)*VLOOKUP('Données projet'!$B$9,Paramètres!$A$1:$I$89,5,0)</f>
        <v>#N/A</v>
      </c>
      <c r="P179" s="14" t="e">
        <f t="shared" si="141"/>
        <v>#N/A</v>
      </c>
      <c r="Q179" s="22" t="e">
        <f t="shared" si="162"/>
        <v>#N/A</v>
      </c>
      <c r="R179" s="60" t="e">
        <f t="shared" si="109"/>
        <v>#N/A</v>
      </c>
      <c r="S179" s="60" t="e">
        <f ca="1">AVERAGE(OFFSET($R$3,0,0,'Données projet'!$E$9+1,1))-AVERAGE(OFFSET($H$3,0,0,'Données projet'!$E$9+1,1))</f>
        <v>#N/A</v>
      </c>
      <c r="T179" s="60" t="e">
        <f t="shared" si="142"/>
        <v>#N/A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 t="e">
        <f>EXP(-LN(2)/35)*Z178+(1-EXP(-LN(2)/35))/(LN(2)/35)*V179*W179*VLOOKUP('Données projet'!$B$9,Paramètres!$A$1:$I$89,3,0)*0.475*44/12</f>
        <v>#N/A</v>
      </c>
      <c r="AA179" s="23" t="e">
        <f>EXP(-LN(2)/25)*AA178+(1-EXP(-LN(2)/25))/(LN(2)/25)*Calculateur!V179*Calculateur!X179*VLOOKUP('Données projet'!$B$9,Paramètres!$A$1:$I$89,3,0)*0.475*44/12</f>
        <v>#N/A</v>
      </c>
      <c r="AB179" s="23" t="e">
        <f>EXP(-LN(2)/2)*AB178+(1-EXP(-LN(2)/2))/(LN(2)/2)*V179*Y179*VLOOKUP('Données projet'!$B$9,Paramètres!$A$1:$I$89,3,0)*0.475*44/12</f>
        <v>#N/A</v>
      </c>
      <c r="AC179" s="24" t="e">
        <f t="shared" si="163"/>
        <v>#N/A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0" t="e">
        <f t="shared" si="113"/>
        <v>#N/A</v>
      </c>
      <c r="AN179" s="60" t="e">
        <f ca="1">AVERAGE(OFFSET($AM$3,0,0,'Données projet'!$E$10+1,1))-AVERAGE(OFFSET($H$3,0,0,'Données projet'!$E$10+1,1))</f>
        <v>#N/A</v>
      </c>
      <c r="AO179" s="60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-1.0818439477588981E-13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357.083670644861</v>
      </c>
      <c r="BJ179" s="60">
        <f t="shared" si="146"/>
        <v>299.88885091109654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-3.694822225952521E-13</v>
      </c>
      <c r="BZ179" s="14">
        <f>BY179*VLOOKUP('Données projet'!$B$12,Paramètres!$A$1:$I$89,3,0)*VLOOKUP('Données projet'!$B$12,Paramètres!$A$1:$I$89,5,0)</f>
        <v>-1.7291768017457797E-13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245.98992992759543</v>
      </c>
      <c r="CE179" s="60">
        <f t="shared" si="148"/>
        <v>145.34368562171613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-9.3464223027694966E-13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455.50822833641354</v>
      </c>
      <c r="CZ179" s="60">
        <f t="shared" si="150"/>
        <v>261.14722581688039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-9.6633812063373625E-13</v>
      </c>
      <c r="DP179" s="18">
        <f>DO179*VLOOKUP('Données projet'!$B$14,Paramètres!$A$1:$I$89,3,0)*VLOOKUP('Données projet'!$B$14,Paramètres!$A$1:$I$89,5,0)</f>
        <v>-1.0401663530501537E-12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502.07782026233912</v>
      </c>
      <c r="DU179" s="60">
        <f t="shared" si="152"/>
        <v>285.83623046025156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-9.6633812063373625E-13</v>
      </c>
      <c r="EK179" s="18">
        <f>EJ179*VLOOKUP('Données projet'!$B$15,Paramètres!$A$1:$I$89,3,0)*VLOOKUP('Données projet'!$B$15,Paramètres!$A$1:$I$89,5,0)</f>
        <v>-8.7434273154940449E-13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428.8489304403459</v>
      </c>
      <c r="EP179" s="60">
        <f t="shared" si="154"/>
        <v>247.01165577562966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 t="e">
        <f>N180*VLOOKUP('Données projet'!$B$9,Paramètres!$A$1:$I$89,3,0)*VLOOKUP('Données projet'!$B$9,Paramètres!$A$1:$I$89,5,0)</f>
        <v>#N/A</v>
      </c>
      <c r="P180" s="14" t="e">
        <f t="shared" si="141"/>
        <v>#N/A</v>
      </c>
      <c r="Q180" s="22" t="e">
        <f t="shared" si="162"/>
        <v>#N/A</v>
      </c>
      <c r="R180" s="60" t="e">
        <f t="shared" si="109"/>
        <v>#N/A</v>
      </c>
      <c r="S180" s="60" t="e">
        <f ca="1">AVERAGE(OFFSET($R$3,0,0,'Données projet'!$E$9+1,1))-AVERAGE(OFFSET($H$3,0,0,'Données projet'!$E$9+1,1))</f>
        <v>#N/A</v>
      </c>
      <c r="T180" s="60" t="e">
        <f t="shared" si="142"/>
        <v>#N/A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 t="e">
        <f>EXP(-LN(2)/35)*Z179+(1-EXP(-LN(2)/35))/(LN(2)/35)*V180*W180*VLOOKUP('Données projet'!$B$9,Paramètres!$A$1:$I$89,3,0)*0.475*44/12</f>
        <v>#N/A</v>
      </c>
      <c r="AA180" s="23" t="e">
        <f>EXP(-LN(2)/25)*AA179+(1-EXP(-LN(2)/25))/(LN(2)/25)*Calculateur!V180*Calculateur!X180*VLOOKUP('Données projet'!$B$9,Paramètres!$A$1:$I$89,3,0)*0.475*44/12</f>
        <v>#N/A</v>
      </c>
      <c r="AB180" s="23" t="e">
        <f>EXP(-LN(2)/2)*AB179+(1-EXP(-LN(2)/2))/(LN(2)/2)*V180*Y180*VLOOKUP('Données projet'!$B$9,Paramètres!$A$1:$I$89,3,0)*0.475*44/12</f>
        <v>#N/A</v>
      </c>
      <c r="AC180" s="24" t="e">
        <f t="shared" si="163"/>
        <v>#N/A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0" t="e">
        <f t="shared" si="113"/>
        <v>#N/A</v>
      </c>
      <c r="AN180" s="60" t="e">
        <f ca="1">AVERAGE(OFFSET($AM$3,0,0,'Données projet'!$E$10+1,1))-AVERAGE(OFFSET($H$3,0,0,'Données projet'!$E$10+1,1))</f>
        <v>#N/A</v>
      </c>
      <c r="AO180" s="60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-1.0818439477588981E-13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357.083670644861</v>
      </c>
      <c r="BJ180" s="60">
        <f t="shared" si="146"/>
        <v>299.88885091109654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-3.694822225952521E-13</v>
      </c>
      <c r="BZ180" s="14">
        <f>BY180*VLOOKUP('Données projet'!$B$12,Paramètres!$A$1:$I$89,3,0)*VLOOKUP('Données projet'!$B$12,Paramètres!$A$1:$I$89,5,0)</f>
        <v>-1.7291768017457797E-13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245.98992992759543</v>
      </c>
      <c r="CE180" s="60">
        <f t="shared" si="148"/>
        <v>145.34368562171613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-9.3464223027694966E-13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455.50822833641354</v>
      </c>
      <c r="CZ180" s="60">
        <f t="shared" si="150"/>
        <v>261.14722581688039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-9.6633812063373625E-13</v>
      </c>
      <c r="DP180" s="18">
        <f>DO180*VLOOKUP('Données projet'!$B$14,Paramètres!$A$1:$I$89,3,0)*VLOOKUP('Données projet'!$B$14,Paramètres!$A$1:$I$89,5,0)</f>
        <v>-1.0401663530501537E-12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502.07782026233912</v>
      </c>
      <c r="DU180" s="60">
        <f t="shared" si="152"/>
        <v>285.83623046025156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-9.6633812063373625E-13</v>
      </c>
      <c r="EK180" s="18">
        <f>EJ180*VLOOKUP('Données projet'!$B$15,Paramètres!$A$1:$I$89,3,0)*VLOOKUP('Données projet'!$B$15,Paramètres!$A$1:$I$89,5,0)</f>
        <v>-8.7434273154940449E-13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428.8489304403459</v>
      </c>
      <c r="EP180" s="60">
        <f t="shared" si="154"/>
        <v>247.01165577562966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 t="e">
        <f>N181*VLOOKUP('Données projet'!$B$9,Paramètres!$A$1:$I$89,3,0)*VLOOKUP('Données projet'!$B$9,Paramètres!$A$1:$I$89,5,0)</f>
        <v>#N/A</v>
      </c>
      <c r="P181" s="14" t="e">
        <f t="shared" si="141"/>
        <v>#N/A</v>
      </c>
      <c r="Q181" s="22" t="e">
        <f t="shared" si="162"/>
        <v>#N/A</v>
      </c>
      <c r="R181" s="60" t="e">
        <f t="shared" si="109"/>
        <v>#N/A</v>
      </c>
      <c r="S181" s="60" t="e">
        <f ca="1">AVERAGE(OFFSET($R$3,0,0,'Données projet'!$E$9+1,1))-AVERAGE(OFFSET($H$3,0,0,'Données projet'!$E$9+1,1))</f>
        <v>#N/A</v>
      </c>
      <c r="T181" s="60" t="e">
        <f t="shared" si="142"/>
        <v>#N/A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 t="e">
        <f>EXP(-LN(2)/35)*Z180+(1-EXP(-LN(2)/35))/(LN(2)/35)*V181*W181*VLOOKUP('Données projet'!$B$9,Paramètres!$A$1:$I$89,3,0)*0.475*44/12</f>
        <v>#N/A</v>
      </c>
      <c r="AA181" s="23" t="e">
        <f>EXP(-LN(2)/25)*AA180+(1-EXP(-LN(2)/25))/(LN(2)/25)*Calculateur!V181*Calculateur!X181*VLOOKUP('Données projet'!$B$9,Paramètres!$A$1:$I$89,3,0)*0.475*44/12</f>
        <v>#N/A</v>
      </c>
      <c r="AB181" s="23" t="e">
        <f>EXP(-LN(2)/2)*AB180+(1-EXP(-LN(2)/2))/(LN(2)/2)*V181*Y181*VLOOKUP('Données projet'!$B$9,Paramètres!$A$1:$I$89,3,0)*0.475*44/12</f>
        <v>#N/A</v>
      </c>
      <c r="AC181" s="24" t="e">
        <f t="shared" si="163"/>
        <v>#N/A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0" t="e">
        <f t="shared" si="113"/>
        <v>#N/A</v>
      </c>
      <c r="AN181" s="60" t="e">
        <f ca="1">AVERAGE(OFFSET($AM$3,0,0,'Données projet'!$E$10+1,1))-AVERAGE(OFFSET($H$3,0,0,'Données projet'!$E$10+1,1))</f>
        <v>#N/A</v>
      </c>
      <c r="AO181" s="60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-1.0818439477588981E-13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357.083670644861</v>
      </c>
      <c r="BJ181" s="60">
        <f t="shared" si="146"/>
        <v>299.88885091109654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-3.694822225952521E-13</v>
      </c>
      <c r="BZ181" s="14">
        <f>BY181*VLOOKUP('Données projet'!$B$12,Paramètres!$A$1:$I$89,3,0)*VLOOKUP('Données projet'!$B$12,Paramètres!$A$1:$I$89,5,0)</f>
        <v>-1.7291768017457797E-13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245.98992992759543</v>
      </c>
      <c r="CE181" s="60">
        <f t="shared" si="148"/>
        <v>145.34368562171613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-9.3464223027694966E-13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455.50822833641354</v>
      </c>
      <c r="CZ181" s="60">
        <f t="shared" si="150"/>
        <v>261.14722581688039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-9.6633812063373625E-13</v>
      </c>
      <c r="DP181" s="18">
        <f>DO181*VLOOKUP('Données projet'!$B$14,Paramètres!$A$1:$I$89,3,0)*VLOOKUP('Données projet'!$B$14,Paramètres!$A$1:$I$89,5,0)</f>
        <v>-1.0401663530501537E-12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502.07782026233912</v>
      </c>
      <c r="DU181" s="60">
        <f t="shared" si="152"/>
        <v>285.83623046025156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-9.6633812063373625E-13</v>
      </c>
      <c r="EK181" s="18">
        <f>EJ181*VLOOKUP('Données projet'!$B$15,Paramètres!$A$1:$I$89,3,0)*VLOOKUP('Données projet'!$B$15,Paramètres!$A$1:$I$89,5,0)</f>
        <v>-8.7434273154940449E-13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428.8489304403459</v>
      </c>
      <c r="EP181" s="60">
        <f t="shared" si="154"/>
        <v>247.01165577562966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 t="e">
        <f>N182*VLOOKUP('Données projet'!$B$9,Paramètres!$A$1:$I$89,3,0)*VLOOKUP('Données projet'!$B$9,Paramètres!$A$1:$I$89,5,0)</f>
        <v>#N/A</v>
      </c>
      <c r="P182" s="14" t="e">
        <f t="shared" si="141"/>
        <v>#N/A</v>
      </c>
      <c r="Q182" s="22" t="e">
        <f t="shared" si="162"/>
        <v>#N/A</v>
      </c>
      <c r="R182" s="60" t="e">
        <f t="shared" si="109"/>
        <v>#N/A</v>
      </c>
      <c r="S182" s="60" t="e">
        <f ca="1">AVERAGE(OFFSET($R$3,0,0,'Données projet'!$E$9+1,1))-AVERAGE(OFFSET($H$3,0,0,'Données projet'!$E$9+1,1))</f>
        <v>#N/A</v>
      </c>
      <c r="T182" s="60" t="e">
        <f t="shared" si="142"/>
        <v>#N/A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 t="e">
        <f>EXP(-LN(2)/35)*Z181+(1-EXP(-LN(2)/35))/(LN(2)/35)*V182*W182*VLOOKUP('Données projet'!$B$9,Paramètres!$A$1:$I$89,3,0)*0.475*44/12</f>
        <v>#N/A</v>
      </c>
      <c r="AA182" s="23" t="e">
        <f>EXP(-LN(2)/25)*AA181+(1-EXP(-LN(2)/25))/(LN(2)/25)*Calculateur!V182*Calculateur!X182*VLOOKUP('Données projet'!$B$9,Paramètres!$A$1:$I$89,3,0)*0.475*44/12</f>
        <v>#N/A</v>
      </c>
      <c r="AB182" s="23" t="e">
        <f>EXP(-LN(2)/2)*AB181+(1-EXP(-LN(2)/2))/(LN(2)/2)*V182*Y182*VLOOKUP('Données projet'!$B$9,Paramètres!$A$1:$I$89,3,0)*0.475*44/12</f>
        <v>#N/A</v>
      </c>
      <c r="AC182" s="24" t="e">
        <f t="shared" si="163"/>
        <v>#N/A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0" t="e">
        <f t="shared" si="113"/>
        <v>#N/A</v>
      </c>
      <c r="AN182" s="60" t="e">
        <f ca="1">AVERAGE(OFFSET($AM$3,0,0,'Données projet'!$E$10+1,1))-AVERAGE(OFFSET($H$3,0,0,'Données projet'!$E$10+1,1))</f>
        <v>#N/A</v>
      </c>
      <c r="AO182" s="60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-1.0818439477588981E-13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357.083670644861</v>
      </c>
      <c r="BJ182" s="60">
        <f t="shared" si="146"/>
        <v>299.88885091109654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-3.694822225952521E-13</v>
      </c>
      <c r="BZ182" s="14">
        <f>BY182*VLOOKUP('Données projet'!$B$12,Paramètres!$A$1:$I$89,3,0)*VLOOKUP('Données projet'!$B$12,Paramètres!$A$1:$I$89,5,0)</f>
        <v>-1.7291768017457797E-13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245.98992992759543</v>
      </c>
      <c r="CE182" s="60">
        <f t="shared" si="148"/>
        <v>145.34368562171613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-9.3464223027694966E-13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455.50822833641354</v>
      </c>
      <c r="CZ182" s="60">
        <f t="shared" si="150"/>
        <v>261.14722581688039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-9.6633812063373625E-13</v>
      </c>
      <c r="DP182" s="18">
        <f>DO182*VLOOKUP('Données projet'!$B$14,Paramètres!$A$1:$I$89,3,0)*VLOOKUP('Données projet'!$B$14,Paramètres!$A$1:$I$89,5,0)</f>
        <v>-1.0401663530501537E-12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502.07782026233912</v>
      </c>
      <c r="DU182" s="60">
        <f t="shared" si="152"/>
        <v>285.83623046025156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-9.6633812063373625E-13</v>
      </c>
      <c r="EK182" s="18">
        <f>EJ182*VLOOKUP('Données projet'!$B$15,Paramètres!$A$1:$I$89,3,0)*VLOOKUP('Données projet'!$B$15,Paramètres!$A$1:$I$89,5,0)</f>
        <v>-8.7434273154940449E-13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428.8489304403459</v>
      </c>
      <c r="EP182" s="60">
        <f t="shared" si="154"/>
        <v>247.01165577562966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 t="e">
        <f>N183*VLOOKUP('Données projet'!$B$9,Paramètres!$A$1:$I$89,3,0)*VLOOKUP('Données projet'!$B$9,Paramètres!$A$1:$I$89,5,0)</f>
        <v>#N/A</v>
      </c>
      <c r="P183" s="14" t="e">
        <f t="shared" si="141"/>
        <v>#N/A</v>
      </c>
      <c r="Q183" s="22" t="e">
        <f t="shared" si="162"/>
        <v>#N/A</v>
      </c>
      <c r="R183" s="60" t="e">
        <f t="shared" si="109"/>
        <v>#N/A</v>
      </c>
      <c r="S183" s="60" t="e">
        <f ca="1">AVERAGE(OFFSET($R$3,0,0,'Données projet'!$E$9+1,1))-AVERAGE(OFFSET($H$3,0,0,'Données projet'!$E$9+1,1))</f>
        <v>#N/A</v>
      </c>
      <c r="T183" s="60" t="e">
        <f t="shared" si="142"/>
        <v>#N/A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 t="e">
        <f>EXP(-LN(2)/35)*Z182+(1-EXP(-LN(2)/35))/(LN(2)/35)*V183*W183*VLOOKUP('Données projet'!$B$9,Paramètres!$A$1:$I$89,3,0)*0.475*44/12</f>
        <v>#N/A</v>
      </c>
      <c r="AA183" s="23" t="e">
        <f>EXP(-LN(2)/25)*AA182+(1-EXP(-LN(2)/25))/(LN(2)/25)*Calculateur!V183*Calculateur!X183*VLOOKUP('Données projet'!$B$9,Paramètres!$A$1:$I$89,3,0)*0.475*44/12</f>
        <v>#N/A</v>
      </c>
      <c r="AB183" s="23" t="e">
        <f>EXP(-LN(2)/2)*AB182+(1-EXP(-LN(2)/2))/(LN(2)/2)*V183*Y183*VLOOKUP('Données projet'!$B$9,Paramètres!$A$1:$I$89,3,0)*0.475*44/12</f>
        <v>#N/A</v>
      </c>
      <c r="AC183" s="24" t="e">
        <f t="shared" si="163"/>
        <v>#N/A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0" t="e">
        <f t="shared" si="113"/>
        <v>#N/A</v>
      </c>
      <c r="AN183" s="60" t="e">
        <f ca="1">AVERAGE(OFFSET($AM$3,0,0,'Données projet'!$E$10+1,1))-AVERAGE(OFFSET($H$3,0,0,'Données projet'!$E$10+1,1))</f>
        <v>#N/A</v>
      </c>
      <c r="AO183" s="60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-1.0818439477588981E-13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357.083670644861</v>
      </c>
      <c r="BJ183" s="60">
        <f t="shared" si="146"/>
        <v>299.88885091109654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-3.694822225952521E-13</v>
      </c>
      <c r="BZ183" s="14">
        <f>BY183*VLOOKUP('Données projet'!$B$12,Paramètres!$A$1:$I$89,3,0)*VLOOKUP('Données projet'!$B$12,Paramètres!$A$1:$I$89,5,0)</f>
        <v>-1.7291768017457797E-13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245.98992992759543</v>
      </c>
      <c r="CE183" s="60">
        <f t="shared" si="148"/>
        <v>145.34368562171613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-9.3464223027694966E-13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455.50822833641354</v>
      </c>
      <c r="CZ183" s="60">
        <f t="shared" si="150"/>
        <v>261.14722581688039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-9.6633812063373625E-13</v>
      </c>
      <c r="DP183" s="18">
        <f>DO183*VLOOKUP('Données projet'!$B$14,Paramètres!$A$1:$I$89,3,0)*VLOOKUP('Données projet'!$B$14,Paramètres!$A$1:$I$89,5,0)</f>
        <v>-1.0401663530501537E-12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502.07782026233912</v>
      </c>
      <c r="DU183" s="60">
        <f t="shared" si="152"/>
        <v>285.83623046025156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-9.6633812063373625E-13</v>
      </c>
      <c r="EK183" s="18">
        <f>EJ183*VLOOKUP('Données projet'!$B$15,Paramètres!$A$1:$I$89,3,0)*VLOOKUP('Données projet'!$B$15,Paramètres!$A$1:$I$89,5,0)</f>
        <v>-8.7434273154940449E-13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428.8489304403459</v>
      </c>
      <c r="EP183" s="60">
        <f t="shared" si="154"/>
        <v>247.01165577562966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 t="e">
        <f>N184*VLOOKUP('Données projet'!$B$9,Paramètres!$A$1:$I$89,3,0)*VLOOKUP('Données projet'!$B$9,Paramètres!$A$1:$I$89,5,0)</f>
        <v>#N/A</v>
      </c>
      <c r="P184" s="14" t="e">
        <f t="shared" si="141"/>
        <v>#N/A</v>
      </c>
      <c r="Q184" s="22" t="e">
        <f t="shared" si="162"/>
        <v>#N/A</v>
      </c>
      <c r="R184" s="60" t="e">
        <f t="shared" si="109"/>
        <v>#N/A</v>
      </c>
      <c r="S184" s="60" t="e">
        <f ca="1">AVERAGE(OFFSET($R$3,0,0,'Données projet'!$E$9+1,1))-AVERAGE(OFFSET($H$3,0,0,'Données projet'!$E$9+1,1))</f>
        <v>#N/A</v>
      </c>
      <c r="T184" s="60" t="e">
        <f t="shared" si="142"/>
        <v>#N/A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 t="e">
        <f>EXP(-LN(2)/35)*Z183+(1-EXP(-LN(2)/35))/(LN(2)/35)*V184*W184*VLOOKUP('Données projet'!$B$9,Paramètres!$A$1:$I$89,3,0)*0.475*44/12</f>
        <v>#N/A</v>
      </c>
      <c r="AA184" s="23" t="e">
        <f>EXP(-LN(2)/25)*AA183+(1-EXP(-LN(2)/25))/(LN(2)/25)*Calculateur!V184*Calculateur!X184*VLOOKUP('Données projet'!$B$9,Paramètres!$A$1:$I$89,3,0)*0.475*44/12</f>
        <v>#N/A</v>
      </c>
      <c r="AB184" s="23" t="e">
        <f>EXP(-LN(2)/2)*AB183+(1-EXP(-LN(2)/2))/(LN(2)/2)*V184*Y184*VLOOKUP('Données projet'!$B$9,Paramètres!$A$1:$I$89,3,0)*0.475*44/12</f>
        <v>#N/A</v>
      </c>
      <c r="AC184" s="24" t="e">
        <f t="shared" si="163"/>
        <v>#N/A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0" t="e">
        <f t="shared" si="113"/>
        <v>#N/A</v>
      </c>
      <c r="AN184" s="60" t="e">
        <f ca="1">AVERAGE(OFFSET($AM$3,0,0,'Données projet'!$E$10+1,1))-AVERAGE(OFFSET($H$3,0,0,'Données projet'!$E$10+1,1))</f>
        <v>#N/A</v>
      </c>
      <c r="AO184" s="60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-1.0818439477588981E-13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357.083670644861</v>
      </c>
      <c r="BJ184" s="60">
        <f t="shared" si="146"/>
        <v>299.88885091109654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-3.694822225952521E-13</v>
      </c>
      <c r="BZ184" s="14">
        <f>BY184*VLOOKUP('Données projet'!$B$12,Paramètres!$A$1:$I$89,3,0)*VLOOKUP('Données projet'!$B$12,Paramètres!$A$1:$I$89,5,0)</f>
        <v>-1.7291768017457797E-13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245.98992992759543</v>
      </c>
      <c r="CE184" s="60">
        <f t="shared" si="148"/>
        <v>145.34368562171613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-9.3464223027694966E-13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455.50822833641354</v>
      </c>
      <c r="CZ184" s="60">
        <f t="shared" si="150"/>
        <v>261.14722581688039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-9.6633812063373625E-13</v>
      </c>
      <c r="DP184" s="18">
        <f>DO184*VLOOKUP('Données projet'!$B$14,Paramètres!$A$1:$I$89,3,0)*VLOOKUP('Données projet'!$B$14,Paramètres!$A$1:$I$89,5,0)</f>
        <v>-1.0401663530501537E-12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502.07782026233912</v>
      </c>
      <c r="DU184" s="60">
        <f t="shared" si="152"/>
        <v>285.83623046025156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-9.6633812063373625E-13</v>
      </c>
      <c r="EK184" s="18">
        <f>EJ184*VLOOKUP('Données projet'!$B$15,Paramètres!$A$1:$I$89,3,0)*VLOOKUP('Données projet'!$B$15,Paramètres!$A$1:$I$89,5,0)</f>
        <v>-8.7434273154940449E-13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428.8489304403459</v>
      </c>
      <c r="EP184" s="60">
        <f t="shared" si="154"/>
        <v>247.01165577562966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 t="e">
        <f>N185*VLOOKUP('Données projet'!$B$9,Paramètres!$A$1:$I$89,3,0)*VLOOKUP('Données projet'!$B$9,Paramètres!$A$1:$I$89,5,0)</f>
        <v>#N/A</v>
      </c>
      <c r="P185" s="14" t="e">
        <f t="shared" si="141"/>
        <v>#N/A</v>
      </c>
      <c r="Q185" s="22" t="e">
        <f t="shared" si="162"/>
        <v>#N/A</v>
      </c>
      <c r="R185" s="60" t="e">
        <f t="shared" si="109"/>
        <v>#N/A</v>
      </c>
      <c r="S185" s="60" t="e">
        <f ca="1">AVERAGE(OFFSET($R$3,0,0,'Données projet'!$E$9+1,1))-AVERAGE(OFFSET($H$3,0,0,'Données projet'!$E$9+1,1))</f>
        <v>#N/A</v>
      </c>
      <c r="T185" s="60" t="e">
        <f t="shared" si="142"/>
        <v>#N/A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 t="e">
        <f>EXP(-LN(2)/35)*Z184+(1-EXP(-LN(2)/35))/(LN(2)/35)*V185*W185*VLOOKUP('Données projet'!$B$9,Paramètres!$A$1:$I$89,3,0)*0.475*44/12</f>
        <v>#N/A</v>
      </c>
      <c r="AA185" s="23" t="e">
        <f>EXP(-LN(2)/25)*AA184+(1-EXP(-LN(2)/25))/(LN(2)/25)*Calculateur!V185*Calculateur!X185*VLOOKUP('Données projet'!$B$9,Paramètres!$A$1:$I$89,3,0)*0.475*44/12</f>
        <v>#N/A</v>
      </c>
      <c r="AB185" s="23" t="e">
        <f>EXP(-LN(2)/2)*AB184+(1-EXP(-LN(2)/2))/(LN(2)/2)*V185*Y185*VLOOKUP('Données projet'!$B$9,Paramètres!$A$1:$I$89,3,0)*0.475*44/12</f>
        <v>#N/A</v>
      </c>
      <c r="AC185" s="24" t="e">
        <f t="shared" si="163"/>
        <v>#N/A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0" t="e">
        <f t="shared" si="113"/>
        <v>#N/A</v>
      </c>
      <c r="AN185" s="60" t="e">
        <f ca="1">AVERAGE(OFFSET($AM$3,0,0,'Données projet'!$E$10+1,1))-AVERAGE(OFFSET($H$3,0,0,'Données projet'!$E$10+1,1))</f>
        <v>#N/A</v>
      </c>
      <c r="AO185" s="60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-1.0818439477588981E-13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357.083670644861</v>
      </c>
      <c r="BJ185" s="60">
        <f t="shared" si="146"/>
        <v>299.88885091109654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-3.694822225952521E-13</v>
      </c>
      <c r="BZ185" s="14">
        <f>BY185*VLOOKUP('Données projet'!$B$12,Paramètres!$A$1:$I$89,3,0)*VLOOKUP('Données projet'!$B$12,Paramètres!$A$1:$I$89,5,0)</f>
        <v>-1.7291768017457797E-13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245.98992992759543</v>
      </c>
      <c r="CE185" s="60">
        <f t="shared" si="148"/>
        <v>145.34368562171613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-9.3464223027694966E-13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455.50822833641354</v>
      </c>
      <c r="CZ185" s="60">
        <f t="shared" si="150"/>
        <v>261.14722581688039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-9.6633812063373625E-13</v>
      </c>
      <c r="DP185" s="18">
        <f>DO185*VLOOKUP('Données projet'!$B$14,Paramètres!$A$1:$I$89,3,0)*VLOOKUP('Données projet'!$B$14,Paramètres!$A$1:$I$89,5,0)</f>
        <v>-1.0401663530501537E-12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502.07782026233912</v>
      </c>
      <c r="DU185" s="60">
        <f t="shared" si="152"/>
        <v>285.83623046025156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-9.6633812063373625E-13</v>
      </c>
      <c r="EK185" s="18">
        <f>EJ185*VLOOKUP('Données projet'!$B$15,Paramètres!$A$1:$I$89,3,0)*VLOOKUP('Données projet'!$B$15,Paramètres!$A$1:$I$89,5,0)</f>
        <v>-8.7434273154940449E-13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428.8489304403459</v>
      </c>
      <c r="EP185" s="60">
        <f t="shared" si="154"/>
        <v>247.01165577562966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 t="e">
        <f>N186*VLOOKUP('Données projet'!$B$9,Paramètres!$A$1:$I$89,3,0)*VLOOKUP('Données projet'!$B$9,Paramètres!$A$1:$I$89,5,0)</f>
        <v>#N/A</v>
      </c>
      <c r="P186" s="14" t="e">
        <f t="shared" si="141"/>
        <v>#N/A</v>
      </c>
      <c r="Q186" s="22" t="e">
        <f t="shared" si="162"/>
        <v>#N/A</v>
      </c>
      <c r="R186" s="60" t="e">
        <f t="shared" si="109"/>
        <v>#N/A</v>
      </c>
      <c r="S186" s="60" t="e">
        <f ca="1">AVERAGE(OFFSET($R$3,0,0,'Données projet'!$E$9+1,1))-AVERAGE(OFFSET($H$3,0,0,'Données projet'!$E$9+1,1))</f>
        <v>#N/A</v>
      </c>
      <c r="T186" s="60" t="e">
        <f t="shared" si="142"/>
        <v>#N/A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 t="e">
        <f>EXP(-LN(2)/35)*Z185+(1-EXP(-LN(2)/35))/(LN(2)/35)*V186*W186*VLOOKUP('Données projet'!$B$9,Paramètres!$A$1:$I$89,3,0)*0.475*44/12</f>
        <v>#N/A</v>
      </c>
      <c r="AA186" s="23" t="e">
        <f>EXP(-LN(2)/25)*AA185+(1-EXP(-LN(2)/25))/(LN(2)/25)*Calculateur!V186*Calculateur!X186*VLOOKUP('Données projet'!$B$9,Paramètres!$A$1:$I$89,3,0)*0.475*44/12</f>
        <v>#N/A</v>
      </c>
      <c r="AB186" s="23" t="e">
        <f>EXP(-LN(2)/2)*AB185+(1-EXP(-LN(2)/2))/(LN(2)/2)*V186*Y186*VLOOKUP('Données projet'!$B$9,Paramètres!$A$1:$I$89,3,0)*0.475*44/12</f>
        <v>#N/A</v>
      </c>
      <c r="AC186" s="24" t="e">
        <f t="shared" si="163"/>
        <v>#N/A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0" t="e">
        <f t="shared" si="113"/>
        <v>#N/A</v>
      </c>
      <c r="AN186" s="60" t="e">
        <f ca="1">AVERAGE(OFFSET($AM$3,0,0,'Données projet'!$E$10+1,1))-AVERAGE(OFFSET($H$3,0,0,'Données projet'!$E$10+1,1))</f>
        <v>#N/A</v>
      </c>
      <c r="AO186" s="60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-1.0818439477588981E-13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357.083670644861</v>
      </c>
      <c r="BJ186" s="60">
        <f t="shared" si="146"/>
        <v>299.88885091109654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-3.694822225952521E-13</v>
      </c>
      <c r="BZ186" s="14">
        <f>BY186*VLOOKUP('Données projet'!$B$12,Paramètres!$A$1:$I$89,3,0)*VLOOKUP('Données projet'!$B$12,Paramètres!$A$1:$I$89,5,0)</f>
        <v>-1.7291768017457797E-13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245.98992992759543</v>
      </c>
      <c r="CE186" s="60">
        <f t="shared" si="148"/>
        <v>145.34368562171613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-9.3464223027694966E-13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455.50822833641354</v>
      </c>
      <c r="CZ186" s="60">
        <f t="shared" si="150"/>
        <v>261.14722581688039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-9.6633812063373625E-13</v>
      </c>
      <c r="DP186" s="18">
        <f>DO186*VLOOKUP('Données projet'!$B$14,Paramètres!$A$1:$I$89,3,0)*VLOOKUP('Données projet'!$B$14,Paramètres!$A$1:$I$89,5,0)</f>
        <v>-1.0401663530501537E-12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502.07782026233912</v>
      </c>
      <c r="DU186" s="60">
        <f t="shared" si="152"/>
        <v>285.83623046025156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-9.6633812063373625E-13</v>
      </c>
      <c r="EK186" s="18">
        <f>EJ186*VLOOKUP('Données projet'!$B$15,Paramètres!$A$1:$I$89,3,0)*VLOOKUP('Données projet'!$B$15,Paramètres!$A$1:$I$89,5,0)</f>
        <v>-8.7434273154940449E-13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428.8489304403459</v>
      </c>
      <c r="EP186" s="60">
        <f t="shared" si="154"/>
        <v>247.01165577562966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 t="e">
        <f>N187*VLOOKUP('Données projet'!$B$9,Paramètres!$A$1:$I$89,3,0)*VLOOKUP('Données projet'!$B$9,Paramètres!$A$1:$I$89,5,0)</f>
        <v>#N/A</v>
      </c>
      <c r="P187" s="14" t="e">
        <f t="shared" si="141"/>
        <v>#N/A</v>
      </c>
      <c r="Q187" s="22" t="e">
        <f t="shared" si="162"/>
        <v>#N/A</v>
      </c>
      <c r="R187" s="60" t="e">
        <f t="shared" si="109"/>
        <v>#N/A</v>
      </c>
      <c r="S187" s="60" t="e">
        <f ca="1">AVERAGE(OFFSET($R$3,0,0,'Données projet'!$E$9+1,1))-AVERAGE(OFFSET($H$3,0,0,'Données projet'!$E$9+1,1))</f>
        <v>#N/A</v>
      </c>
      <c r="T187" s="60" t="e">
        <f t="shared" si="142"/>
        <v>#N/A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 t="e">
        <f>EXP(-LN(2)/35)*Z186+(1-EXP(-LN(2)/35))/(LN(2)/35)*V187*W187*VLOOKUP('Données projet'!$B$9,Paramètres!$A$1:$I$89,3,0)*0.475*44/12</f>
        <v>#N/A</v>
      </c>
      <c r="AA187" s="23" t="e">
        <f>EXP(-LN(2)/25)*AA186+(1-EXP(-LN(2)/25))/(LN(2)/25)*Calculateur!V187*Calculateur!X187*VLOOKUP('Données projet'!$B$9,Paramètres!$A$1:$I$89,3,0)*0.475*44/12</f>
        <v>#N/A</v>
      </c>
      <c r="AB187" s="23" t="e">
        <f>EXP(-LN(2)/2)*AB186+(1-EXP(-LN(2)/2))/(LN(2)/2)*V187*Y187*VLOOKUP('Données projet'!$B$9,Paramètres!$A$1:$I$89,3,0)*0.475*44/12</f>
        <v>#N/A</v>
      </c>
      <c r="AC187" s="24" t="e">
        <f t="shared" si="163"/>
        <v>#N/A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0" t="e">
        <f t="shared" si="113"/>
        <v>#N/A</v>
      </c>
      <c r="AN187" s="60" t="e">
        <f ca="1">AVERAGE(OFFSET($AM$3,0,0,'Données projet'!$E$10+1,1))-AVERAGE(OFFSET($H$3,0,0,'Données projet'!$E$10+1,1))</f>
        <v>#N/A</v>
      </c>
      <c r="AO187" s="60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-1.0818439477588981E-13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357.083670644861</v>
      </c>
      <c r="BJ187" s="60">
        <f t="shared" si="146"/>
        <v>299.88885091109654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-3.694822225952521E-13</v>
      </c>
      <c r="BZ187" s="14">
        <f>BY187*VLOOKUP('Données projet'!$B$12,Paramètres!$A$1:$I$89,3,0)*VLOOKUP('Données projet'!$B$12,Paramètres!$A$1:$I$89,5,0)</f>
        <v>-1.7291768017457797E-13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245.98992992759543</v>
      </c>
      <c r="CE187" s="60">
        <f t="shared" si="148"/>
        <v>145.34368562171613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-9.3464223027694966E-13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455.50822833641354</v>
      </c>
      <c r="CZ187" s="60">
        <f t="shared" si="150"/>
        <v>261.14722581688039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-9.6633812063373625E-13</v>
      </c>
      <c r="DP187" s="18">
        <f>DO187*VLOOKUP('Données projet'!$B$14,Paramètres!$A$1:$I$89,3,0)*VLOOKUP('Données projet'!$B$14,Paramètres!$A$1:$I$89,5,0)</f>
        <v>-1.0401663530501537E-12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502.07782026233912</v>
      </c>
      <c r="DU187" s="60">
        <f t="shared" si="152"/>
        <v>285.83623046025156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-9.6633812063373625E-13</v>
      </c>
      <c r="EK187" s="18">
        <f>EJ187*VLOOKUP('Données projet'!$B$15,Paramètres!$A$1:$I$89,3,0)*VLOOKUP('Données projet'!$B$15,Paramètres!$A$1:$I$89,5,0)</f>
        <v>-8.7434273154940449E-13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428.8489304403459</v>
      </c>
      <c r="EP187" s="60">
        <f t="shared" si="154"/>
        <v>247.01165577562966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 t="e">
        <f>N188*VLOOKUP('Données projet'!$B$9,Paramètres!$A$1:$I$89,3,0)*VLOOKUP('Données projet'!$B$9,Paramètres!$A$1:$I$89,5,0)</f>
        <v>#N/A</v>
      </c>
      <c r="P188" s="14" t="e">
        <f t="shared" si="141"/>
        <v>#N/A</v>
      </c>
      <c r="Q188" s="22" t="e">
        <f t="shared" si="162"/>
        <v>#N/A</v>
      </c>
      <c r="R188" s="60" t="e">
        <f t="shared" si="109"/>
        <v>#N/A</v>
      </c>
      <c r="S188" s="60" t="e">
        <f ca="1">AVERAGE(OFFSET($R$3,0,0,'Données projet'!$E$9+1,1))-AVERAGE(OFFSET($H$3,0,0,'Données projet'!$E$9+1,1))</f>
        <v>#N/A</v>
      </c>
      <c r="T188" s="60" t="e">
        <f t="shared" si="142"/>
        <v>#N/A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 t="e">
        <f>EXP(-LN(2)/35)*Z187+(1-EXP(-LN(2)/35))/(LN(2)/35)*V188*W188*VLOOKUP('Données projet'!$B$9,Paramètres!$A$1:$I$89,3,0)*0.475*44/12</f>
        <v>#N/A</v>
      </c>
      <c r="AA188" s="23" t="e">
        <f>EXP(-LN(2)/25)*AA187+(1-EXP(-LN(2)/25))/(LN(2)/25)*Calculateur!V188*Calculateur!X188*VLOOKUP('Données projet'!$B$9,Paramètres!$A$1:$I$89,3,0)*0.475*44/12</f>
        <v>#N/A</v>
      </c>
      <c r="AB188" s="23" t="e">
        <f>EXP(-LN(2)/2)*AB187+(1-EXP(-LN(2)/2))/(LN(2)/2)*V188*Y188*VLOOKUP('Données projet'!$B$9,Paramètres!$A$1:$I$89,3,0)*0.475*44/12</f>
        <v>#N/A</v>
      </c>
      <c r="AC188" s="24" t="e">
        <f t="shared" si="163"/>
        <v>#N/A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0" t="e">
        <f t="shared" si="113"/>
        <v>#N/A</v>
      </c>
      <c r="AN188" s="60" t="e">
        <f ca="1">AVERAGE(OFFSET($AM$3,0,0,'Données projet'!$E$10+1,1))-AVERAGE(OFFSET($H$3,0,0,'Données projet'!$E$10+1,1))</f>
        <v>#N/A</v>
      </c>
      <c r="AO188" s="60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-1.0818439477588981E-13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357.083670644861</v>
      </c>
      <c r="BJ188" s="60">
        <f t="shared" si="146"/>
        <v>299.88885091109654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-3.694822225952521E-13</v>
      </c>
      <c r="BZ188" s="14">
        <f>BY188*VLOOKUP('Données projet'!$B$12,Paramètres!$A$1:$I$89,3,0)*VLOOKUP('Données projet'!$B$12,Paramètres!$A$1:$I$89,5,0)</f>
        <v>-1.7291768017457797E-13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245.98992992759543</v>
      </c>
      <c r="CE188" s="60">
        <f t="shared" si="148"/>
        <v>145.34368562171613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-9.3464223027694966E-13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455.50822833641354</v>
      </c>
      <c r="CZ188" s="60">
        <f t="shared" si="150"/>
        <v>261.14722581688039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-9.6633812063373625E-13</v>
      </c>
      <c r="DP188" s="18">
        <f>DO188*VLOOKUP('Données projet'!$B$14,Paramètres!$A$1:$I$89,3,0)*VLOOKUP('Données projet'!$B$14,Paramètres!$A$1:$I$89,5,0)</f>
        <v>-1.0401663530501537E-12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502.07782026233912</v>
      </c>
      <c r="DU188" s="60">
        <f t="shared" si="152"/>
        <v>285.83623046025156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-9.6633812063373625E-13</v>
      </c>
      <c r="EK188" s="18">
        <f>EJ188*VLOOKUP('Données projet'!$B$15,Paramètres!$A$1:$I$89,3,0)*VLOOKUP('Données projet'!$B$15,Paramètres!$A$1:$I$89,5,0)</f>
        <v>-8.7434273154940449E-13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428.8489304403459</v>
      </c>
      <c r="EP188" s="60">
        <f t="shared" si="154"/>
        <v>247.01165577562966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 t="e">
        <f>N189*VLOOKUP('Données projet'!$B$9,Paramètres!$A$1:$I$89,3,0)*VLOOKUP('Données projet'!$B$9,Paramètres!$A$1:$I$89,5,0)</f>
        <v>#N/A</v>
      </c>
      <c r="P189" s="14" t="e">
        <f t="shared" si="141"/>
        <v>#N/A</v>
      </c>
      <c r="Q189" s="22" t="e">
        <f t="shared" si="162"/>
        <v>#N/A</v>
      </c>
      <c r="R189" s="60" t="e">
        <f t="shared" si="109"/>
        <v>#N/A</v>
      </c>
      <c r="S189" s="60" t="e">
        <f ca="1">AVERAGE(OFFSET($R$3,0,0,'Données projet'!$E$9+1,1))-AVERAGE(OFFSET($H$3,0,0,'Données projet'!$E$9+1,1))</f>
        <v>#N/A</v>
      </c>
      <c r="T189" s="60" t="e">
        <f t="shared" si="142"/>
        <v>#N/A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 t="e">
        <f>EXP(-LN(2)/35)*Z188+(1-EXP(-LN(2)/35))/(LN(2)/35)*V189*W189*VLOOKUP('Données projet'!$B$9,Paramètres!$A$1:$I$89,3,0)*0.475*44/12</f>
        <v>#N/A</v>
      </c>
      <c r="AA189" s="23" t="e">
        <f>EXP(-LN(2)/25)*AA188+(1-EXP(-LN(2)/25))/(LN(2)/25)*Calculateur!V189*Calculateur!X189*VLOOKUP('Données projet'!$B$9,Paramètres!$A$1:$I$89,3,0)*0.475*44/12</f>
        <v>#N/A</v>
      </c>
      <c r="AB189" s="23" t="e">
        <f>EXP(-LN(2)/2)*AB188+(1-EXP(-LN(2)/2))/(LN(2)/2)*V189*Y189*VLOOKUP('Données projet'!$B$9,Paramètres!$A$1:$I$89,3,0)*0.475*44/12</f>
        <v>#N/A</v>
      </c>
      <c r="AC189" s="24" t="e">
        <f t="shared" si="163"/>
        <v>#N/A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0" t="e">
        <f t="shared" si="113"/>
        <v>#N/A</v>
      </c>
      <c r="AN189" s="60" t="e">
        <f ca="1">AVERAGE(OFFSET($AM$3,0,0,'Données projet'!$E$10+1,1))-AVERAGE(OFFSET($H$3,0,0,'Données projet'!$E$10+1,1))</f>
        <v>#N/A</v>
      </c>
      <c r="AO189" s="60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-1.0818439477588981E-13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357.083670644861</v>
      </c>
      <c r="BJ189" s="60">
        <f t="shared" si="146"/>
        <v>299.88885091109654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-3.694822225952521E-13</v>
      </c>
      <c r="BZ189" s="14">
        <f>BY189*VLOOKUP('Données projet'!$B$12,Paramètres!$A$1:$I$89,3,0)*VLOOKUP('Données projet'!$B$12,Paramètres!$A$1:$I$89,5,0)</f>
        <v>-1.7291768017457797E-13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245.98992992759543</v>
      </c>
      <c r="CE189" s="60">
        <f t="shared" si="148"/>
        <v>145.34368562171613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-9.3464223027694966E-13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455.50822833641354</v>
      </c>
      <c r="CZ189" s="60">
        <f t="shared" si="150"/>
        <v>261.14722581688039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-9.6633812063373625E-13</v>
      </c>
      <c r="DP189" s="18">
        <f>DO189*VLOOKUP('Données projet'!$B$14,Paramètres!$A$1:$I$89,3,0)*VLOOKUP('Données projet'!$B$14,Paramètres!$A$1:$I$89,5,0)</f>
        <v>-1.0401663530501537E-12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502.07782026233912</v>
      </c>
      <c r="DU189" s="60">
        <f t="shared" si="152"/>
        <v>285.83623046025156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-9.6633812063373625E-13</v>
      </c>
      <c r="EK189" s="18">
        <f>EJ189*VLOOKUP('Données projet'!$B$15,Paramètres!$A$1:$I$89,3,0)*VLOOKUP('Données projet'!$B$15,Paramètres!$A$1:$I$89,5,0)</f>
        <v>-8.7434273154940449E-13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428.8489304403459</v>
      </c>
      <c r="EP189" s="60">
        <f t="shared" si="154"/>
        <v>247.01165577562966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 t="e">
        <f>N190*VLOOKUP('Données projet'!$B$9,Paramètres!$A$1:$I$89,3,0)*VLOOKUP('Données projet'!$B$9,Paramètres!$A$1:$I$89,5,0)</f>
        <v>#N/A</v>
      </c>
      <c r="P190" s="14" t="e">
        <f t="shared" si="141"/>
        <v>#N/A</v>
      </c>
      <c r="Q190" s="22" t="e">
        <f t="shared" si="162"/>
        <v>#N/A</v>
      </c>
      <c r="R190" s="60" t="e">
        <f t="shared" si="109"/>
        <v>#N/A</v>
      </c>
      <c r="S190" s="60" t="e">
        <f ca="1">AVERAGE(OFFSET($R$3,0,0,'Données projet'!$E$9+1,1))-AVERAGE(OFFSET($H$3,0,0,'Données projet'!$E$9+1,1))</f>
        <v>#N/A</v>
      </c>
      <c r="T190" s="60" t="e">
        <f t="shared" si="142"/>
        <v>#N/A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 t="e">
        <f>EXP(-LN(2)/35)*Z189+(1-EXP(-LN(2)/35))/(LN(2)/35)*V190*W190*VLOOKUP('Données projet'!$B$9,Paramètres!$A$1:$I$89,3,0)*0.475*44/12</f>
        <v>#N/A</v>
      </c>
      <c r="AA190" s="23" t="e">
        <f>EXP(-LN(2)/25)*AA189+(1-EXP(-LN(2)/25))/(LN(2)/25)*Calculateur!V190*Calculateur!X190*VLOOKUP('Données projet'!$B$9,Paramètres!$A$1:$I$89,3,0)*0.475*44/12</f>
        <v>#N/A</v>
      </c>
      <c r="AB190" s="23" t="e">
        <f>EXP(-LN(2)/2)*AB189+(1-EXP(-LN(2)/2))/(LN(2)/2)*V190*Y190*VLOOKUP('Données projet'!$B$9,Paramètres!$A$1:$I$89,3,0)*0.475*44/12</f>
        <v>#N/A</v>
      </c>
      <c r="AC190" s="24" t="e">
        <f t="shared" si="163"/>
        <v>#N/A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0" t="e">
        <f t="shared" si="113"/>
        <v>#N/A</v>
      </c>
      <c r="AN190" s="60" t="e">
        <f ca="1">AVERAGE(OFFSET($AM$3,0,0,'Données projet'!$E$10+1,1))-AVERAGE(OFFSET($H$3,0,0,'Données projet'!$E$10+1,1))</f>
        <v>#N/A</v>
      </c>
      <c r="AO190" s="60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-1.0818439477588981E-13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357.083670644861</v>
      </c>
      <c r="BJ190" s="60">
        <f t="shared" si="146"/>
        <v>299.88885091109654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-3.694822225952521E-13</v>
      </c>
      <c r="BZ190" s="14">
        <f>BY190*VLOOKUP('Données projet'!$B$12,Paramètres!$A$1:$I$89,3,0)*VLOOKUP('Données projet'!$B$12,Paramètres!$A$1:$I$89,5,0)</f>
        <v>-1.7291768017457797E-13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245.98992992759543</v>
      </c>
      <c r="CE190" s="60">
        <f t="shared" si="148"/>
        <v>145.34368562171613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-9.3464223027694966E-13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455.50822833641354</v>
      </c>
      <c r="CZ190" s="60">
        <f t="shared" si="150"/>
        <v>261.14722581688039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-9.6633812063373625E-13</v>
      </c>
      <c r="DP190" s="18">
        <f>DO190*VLOOKUP('Données projet'!$B$14,Paramètres!$A$1:$I$89,3,0)*VLOOKUP('Données projet'!$B$14,Paramètres!$A$1:$I$89,5,0)</f>
        <v>-1.0401663530501537E-12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502.07782026233912</v>
      </c>
      <c r="DU190" s="60">
        <f t="shared" si="152"/>
        <v>285.83623046025156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-9.6633812063373625E-13</v>
      </c>
      <c r="EK190" s="18">
        <f>EJ190*VLOOKUP('Données projet'!$B$15,Paramètres!$A$1:$I$89,3,0)*VLOOKUP('Données projet'!$B$15,Paramètres!$A$1:$I$89,5,0)</f>
        <v>-8.7434273154940449E-13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428.8489304403459</v>
      </c>
      <c r="EP190" s="60">
        <f t="shared" si="154"/>
        <v>247.01165577562966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 t="e">
        <f>N191*VLOOKUP('Données projet'!$B$9,Paramètres!$A$1:$I$89,3,0)*VLOOKUP('Données projet'!$B$9,Paramètres!$A$1:$I$89,5,0)</f>
        <v>#N/A</v>
      </c>
      <c r="P191" s="14" t="e">
        <f t="shared" si="141"/>
        <v>#N/A</v>
      </c>
      <c r="Q191" s="22" t="e">
        <f t="shared" si="162"/>
        <v>#N/A</v>
      </c>
      <c r="R191" s="60" t="e">
        <f t="shared" si="109"/>
        <v>#N/A</v>
      </c>
      <c r="S191" s="60" t="e">
        <f ca="1">AVERAGE(OFFSET($R$3,0,0,'Données projet'!$E$9+1,1))-AVERAGE(OFFSET($H$3,0,0,'Données projet'!$E$9+1,1))</f>
        <v>#N/A</v>
      </c>
      <c r="T191" s="60" t="e">
        <f t="shared" si="142"/>
        <v>#N/A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 t="e">
        <f>EXP(-LN(2)/35)*Z190+(1-EXP(-LN(2)/35))/(LN(2)/35)*V191*W191*VLOOKUP('Données projet'!$B$9,Paramètres!$A$1:$I$89,3,0)*0.475*44/12</f>
        <v>#N/A</v>
      </c>
      <c r="AA191" s="23" t="e">
        <f>EXP(-LN(2)/25)*AA190+(1-EXP(-LN(2)/25))/(LN(2)/25)*Calculateur!V191*Calculateur!X191*VLOOKUP('Données projet'!$B$9,Paramètres!$A$1:$I$89,3,0)*0.475*44/12</f>
        <v>#N/A</v>
      </c>
      <c r="AB191" s="23" t="e">
        <f>EXP(-LN(2)/2)*AB190+(1-EXP(-LN(2)/2))/(LN(2)/2)*V191*Y191*VLOOKUP('Données projet'!$B$9,Paramètres!$A$1:$I$89,3,0)*0.475*44/12</f>
        <v>#N/A</v>
      </c>
      <c r="AC191" s="24" t="e">
        <f t="shared" si="163"/>
        <v>#N/A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0" t="e">
        <f t="shared" si="113"/>
        <v>#N/A</v>
      </c>
      <c r="AN191" s="60" t="e">
        <f ca="1">AVERAGE(OFFSET($AM$3,0,0,'Données projet'!$E$10+1,1))-AVERAGE(OFFSET($H$3,0,0,'Données projet'!$E$10+1,1))</f>
        <v>#N/A</v>
      </c>
      <c r="AO191" s="60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-1.0818439477588981E-13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357.083670644861</v>
      </c>
      <c r="BJ191" s="60">
        <f t="shared" si="146"/>
        <v>299.88885091109654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-3.694822225952521E-13</v>
      </c>
      <c r="BZ191" s="14">
        <f>BY191*VLOOKUP('Données projet'!$B$12,Paramètres!$A$1:$I$89,3,0)*VLOOKUP('Données projet'!$B$12,Paramètres!$A$1:$I$89,5,0)</f>
        <v>-1.7291768017457797E-13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245.98992992759543</v>
      </c>
      <c r="CE191" s="60">
        <f t="shared" si="148"/>
        <v>145.34368562171613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-9.3464223027694966E-13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455.50822833641354</v>
      </c>
      <c r="CZ191" s="60">
        <f t="shared" si="150"/>
        <v>261.14722581688039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-9.6633812063373625E-13</v>
      </c>
      <c r="DP191" s="18">
        <f>DO191*VLOOKUP('Données projet'!$B$14,Paramètres!$A$1:$I$89,3,0)*VLOOKUP('Données projet'!$B$14,Paramètres!$A$1:$I$89,5,0)</f>
        <v>-1.0401663530501537E-12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502.07782026233912</v>
      </c>
      <c r="DU191" s="60">
        <f t="shared" si="152"/>
        <v>285.83623046025156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-9.6633812063373625E-13</v>
      </c>
      <c r="EK191" s="18">
        <f>EJ191*VLOOKUP('Données projet'!$B$15,Paramètres!$A$1:$I$89,3,0)*VLOOKUP('Données projet'!$B$15,Paramètres!$A$1:$I$89,5,0)</f>
        <v>-8.7434273154940449E-13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428.8489304403459</v>
      </c>
      <c r="EP191" s="60">
        <f t="shared" si="154"/>
        <v>247.01165577562966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 t="e">
        <f>N192*VLOOKUP('Données projet'!$B$9,Paramètres!$A$1:$I$89,3,0)*VLOOKUP('Données projet'!$B$9,Paramètres!$A$1:$I$89,5,0)</f>
        <v>#N/A</v>
      </c>
      <c r="P192" s="14" t="e">
        <f t="shared" si="141"/>
        <v>#N/A</v>
      </c>
      <c r="Q192" s="22" t="e">
        <f t="shared" si="162"/>
        <v>#N/A</v>
      </c>
      <c r="R192" s="60" t="e">
        <f t="shared" si="109"/>
        <v>#N/A</v>
      </c>
      <c r="S192" s="60" t="e">
        <f ca="1">AVERAGE(OFFSET($R$3,0,0,'Données projet'!$E$9+1,1))-AVERAGE(OFFSET($H$3,0,0,'Données projet'!$E$9+1,1))</f>
        <v>#N/A</v>
      </c>
      <c r="T192" s="60" t="e">
        <f t="shared" si="142"/>
        <v>#N/A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 t="e">
        <f>EXP(-LN(2)/35)*Z191+(1-EXP(-LN(2)/35))/(LN(2)/35)*V192*W192*VLOOKUP('Données projet'!$B$9,Paramètres!$A$1:$I$89,3,0)*0.475*44/12</f>
        <v>#N/A</v>
      </c>
      <c r="AA192" s="23" t="e">
        <f>EXP(-LN(2)/25)*AA191+(1-EXP(-LN(2)/25))/(LN(2)/25)*Calculateur!V192*Calculateur!X192*VLOOKUP('Données projet'!$B$9,Paramètres!$A$1:$I$89,3,0)*0.475*44/12</f>
        <v>#N/A</v>
      </c>
      <c r="AB192" s="23" t="e">
        <f>EXP(-LN(2)/2)*AB191+(1-EXP(-LN(2)/2))/(LN(2)/2)*V192*Y192*VLOOKUP('Données projet'!$B$9,Paramètres!$A$1:$I$89,3,0)*0.475*44/12</f>
        <v>#N/A</v>
      </c>
      <c r="AC192" s="24" t="e">
        <f t="shared" si="163"/>
        <v>#N/A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0" t="e">
        <f t="shared" si="113"/>
        <v>#N/A</v>
      </c>
      <c r="AN192" s="60" t="e">
        <f ca="1">AVERAGE(OFFSET($AM$3,0,0,'Données projet'!$E$10+1,1))-AVERAGE(OFFSET($H$3,0,0,'Données projet'!$E$10+1,1))</f>
        <v>#N/A</v>
      </c>
      <c r="AO192" s="60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-1.0818439477588981E-13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357.083670644861</v>
      </c>
      <c r="BJ192" s="60">
        <f t="shared" si="146"/>
        <v>299.88885091109654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-3.694822225952521E-13</v>
      </c>
      <c r="BZ192" s="14">
        <f>BY192*VLOOKUP('Données projet'!$B$12,Paramètres!$A$1:$I$89,3,0)*VLOOKUP('Données projet'!$B$12,Paramètres!$A$1:$I$89,5,0)</f>
        <v>-1.7291768017457797E-13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245.98992992759543</v>
      </c>
      <c r="CE192" s="60">
        <f t="shared" si="148"/>
        <v>145.34368562171613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-9.3464223027694966E-13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455.50822833641354</v>
      </c>
      <c r="CZ192" s="60">
        <f t="shared" si="150"/>
        <v>261.14722581688039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-9.6633812063373625E-13</v>
      </c>
      <c r="DP192" s="18">
        <f>DO192*VLOOKUP('Données projet'!$B$14,Paramètres!$A$1:$I$89,3,0)*VLOOKUP('Données projet'!$B$14,Paramètres!$A$1:$I$89,5,0)</f>
        <v>-1.0401663530501537E-12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502.07782026233912</v>
      </c>
      <c r="DU192" s="60">
        <f t="shared" si="152"/>
        <v>285.83623046025156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-9.6633812063373625E-13</v>
      </c>
      <c r="EK192" s="18">
        <f>EJ192*VLOOKUP('Données projet'!$B$15,Paramètres!$A$1:$I$89,3,0)*VLOOKUP('Données projet'!$B$15,Paramètres!$A$1:$I$89,5,0)</f>
        <v>-8.7434273154940449E-13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428.8489304403459</v>
      </c>
      <c r="EP192" s="60">
        <f t="shared" si="154"/>
        <v>247.01165577562966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 t="e">
        <f>N193*VLOOKUP('Données projet'!$B$9,Paramètres!$A$1:$I$89,3,0)*VLOOKUP('Données projet'!$B$9,Paramètres!$A$1:$I$89,5,0)</f>
        <v>#N/A</v>
      </c>
      <c r="P193" s="14" t="e">
        <f t="shared" si="141"/>
        <v>#N/A</v>
      </c>
      <c r="Q193" s="22" t="e">
        <f t="shared" si="162"/>
        <v>#N/A</v>
      </c>
      <c r="R193" s="60" t="e">
        <f t="shared" si="109"/>
        <v>#N/A</v>
      </c>
      <c r="S193" s="60" t="e">
        <f ca="1">AVERAGE(OFFSET($R$3,0,0,'Données projet'!$E$9+1,1))-AVERAGE(OFFSET($H$3,0,0,'Données projet'!$E$9+1,1))</f>
        <v>#N/A</v>
      </c>
      <c r="T193" s="60" t="e">
        <f t="shared" si="142"/>
        <v>#N/A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 t="e">
        <f>EXP(-LN(2)/35)*Z192+(1-EXP(-LN(2)/35))/(LN(2)/35)*V193*W193*VLOOKUP('Données projet'!$B$9,Paramètres!$A$1:$I$89,3,0)*0.475*44/12</f>
        <v>#N/A</v>
      </c>
      <c r="AA193" s="23" t="e">
        <f>EXP(-LN(2)/25)*AA192+(1-EXP(-LN(2)/25))/(LN(2)/25)*Calculateur!V193*Calculateur!X193*VLOOKUP('Données projet'!$B$9,Paramètres!$A$1:$I$89,3,0)*0.475*44/12</f>
        <v>#N/A</v>
      </c>
      <c r="AB193" s="23" t="e">
        <f>EXP(-LN(2)/2)*AB192+(1-EXP(-LN(2)/2))/(LN(2)/2)*V193*Y193*VLOOKUP('Données projet'!$B$9,Paramètres!$A$1:$I$89,3,0)*0.475*44/12</f>
        <v>#N/A</v>
      </c>
      <c r="AC193" s="24" t="e">
        <f t="shared" si="163"/>
        <v>#N/A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0" t="e">
        <f t="shared" si="113"/>
        <v>#N/A</v>
      </c>
      <c r="AN193" s="60" t="e">
        <f ca="1">AVERAGE(OFFSET($AM$3,0,0,'Données projet'!$E$10+1,1))-AVERAGE(OFFSET($H$3,0,0,'Données projet'!$E$10+1,1))</f>
        <v>#N/A</v>
      </c>
      <c r="AO193" s="60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-1.0818439477588981E-13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357.083670644861</v>
      </c>
      <c r="BJ193" s="60">
        <f t="shared" si="146"/>
        <v>299.88885091109654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-3.694822225952521E-13</v>
      </c>
      <c r="BZ193" s="14">
        <f>BY193*VLOOKUP('Données projet'!$B$12,Paramètres!$A$1:$I$89,3,0)*VLOOKUP('Données projet'!$B$12,Paramètres!$A$1:$I$89,5,0)</f>
        <v>-1.7291768017457797E-13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245.98992992759543</v>
      </c>
      <c r="CE193" s="60">
        <f t="shared" si="148"/>
        <v>145.34368562171613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-9.3464223027694966E-13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455.50822833641354</v>
      </c>
      <c r="CZ193" s="60">
        <f t="shared" si="150"/>
        <v>261.14722581688039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-9.6633812063373625E-13</v>
      </c>
      <c r="DP193" s="18">
        <f>DO193*VLOOKUP('Données projet'!$B$14,Paramètres!$A$1:$I$89,3,0)*VLOOKUP('Données projet'!$B$14,Paramètres!$A$1:$I$89,5,0)</f>
        <v>-1.0401663530501537E-12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502.07782026233912</v>
      </c>
      <c r="DU193" s="60">
        <f t="shared" si="152"/>
        <v>285.83623046025156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-9.6633812063373625E-13</v>
      </c>
      <c r="EK193" s="18">
        <f>EJ193*VLOOKUP('Données projet'!$B$15,Paramètres!$A$1:$I$89,3,0)*VLOOKUP('Données projet'!$B$15,Paramètres!$A$1:$I$89,5,0)</f>
        <v>-8.7434273154940449E-13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428.8489304403459</v>
      </c>
      <c r="EP193" s="60">
        <f t="shared" si="154"/>
        <v>247.01165577562966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 t="e">
        <f>N194*VLOOKUP('Données projet'!$B$9,Paramètres!$A$1:$I$89,3,0)*VLOOKUP('Données projet'!$B$9,Paramètres!$A$1:$I$89,5,0)</f>
        <v>#N/A</v>
      </c>
      <c r="P194" s="14" t="e">
        <f t="shared" si="141"/>
        <v>#N/A</v>
      </c>
      <c r="Q194" s="22" t="e">
        <f t="shared" si="162"/>
        <v>#N/A</v>
      </c>
      <c r="R194" s="60" t="e">
        <f t="shared" si="109"/>
        <v>#N/A</v>
      </c>
      <c r="S194" s="60" t="e">
        <f ca="1">AVERAGE(OFFSET($R$3,0,0,'Données projet'!$E$9+1,1))-AVERAGE(OFFSET($H$3,0,0,'Données projet'!$E$9+1,1))</f>
        <v>#N/A</v>
      </c>
      <c r="T194" s="60" t="e">
        <f t="shared" si="142"/>
        <v>#N/A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 t="e">
        <f>EXP(-LN(2)/35)*Z193+(1-EXP(-LN(2)/35))/(LN(2)/35)*V194*W194*VLOOKUP('Données projet'!$B$9,Paramètres!$A$1:$I$89,3,0)*0.475*44/12</f>
        <v>#N/A</v>
      </c>
      <c r="AA194" s="23" t="e">
        <f>EXP(-LN(2)/25)*AA193+(1-EXP(-LN(2)/25))/(LN(2)/25)*Calculateur!V194*Calculateur!X194*VLOOKUP('Données projet'!$B$9,Paramètres!$A$1:$I$89,3,0)*0.475*44/12</f>
        <v>#N/A</v>
      </c>
      <c r="AB194" s="23" t="e">
        <f>EXP(-LN(2)/2)*AB193+(1-EXP(-LN(2)/2))/(LN(2)/2)*V194*Y194*VLOOKUP('Données projet'!$B$9,Paramètres!$A$1:$I$89,3,0)*0.475*44/12</f>
        <v>#N/A</v>
      </c>
      <c r="AC194" s="24" t="e">
        <f t="shared" si="163"/>
        <v>#N/A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0" t="e">
        <f t="shared" si="113"/>
        <v>#N/A</v>
      </c>
      <c r="AN194" s="60" t="e">
        <f ca="1">AVERAGE(OFFSET($AM$3,0,0,'Données projet'!$E$10+1,1))-AVERAGE(OFFSET($H$3,0,0,'Données projet'!$E$10+1,1))</f>
        <v>#N/A</v>
      </c>
      <c r="AO194" s="60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-1.0818439477588981E-13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357.083670644861</v>
      </c>
      <c r="BJ194" s="60">
        <f t="shared" si="146"/>
        <v>299.88885091109654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-3.694822225952521E-13</v>
      </c>
      <c r="BZ194" s="14">
        <f>BY194*VLOOKUP('Données projet'!$B$12,Paramètres!$A$1:$I$89,3,0)*VLOOKUP('Données projet'!$B$12,Paramètres!$A$1:$I$89,5,0)</f>
        <v>-1.7291768017457797E-13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245.98992992759543</v>
      </c>
      <c r="CE194" s="60">
        <f t="shared" si="148"/>
        <v>145.34368562171613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-9.3464223027694966E-13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455.50822833641354</v>
      </c>
      <c r="CZ194" s="60">
        <f t="shared" si="150"/>
        <v>261.14722581688039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-9.6633812063373625E-13</v>
      </c>
      <c r="DP194" s="18">
        <f>DO194*VLOOKUP('Données projet'!$B$14,Paramètres!$A$1:$I$89,3,0)*VLOOKUP('Données projet'!$B$14,Paramètres!$A$1:$I$89,5,0)</f>
        <v>-1.0401663530501537E-12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502.07782026233912</v>
      </c>
      <c r="DU194" s="60">
        <f t="shared" si="152"/>
        <v>285.83623046025156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-9.6633812063373625E-13</v>
      </c>
      <c r="EK194" s="18">
        <f>EJ194*VLOOKUP('Données projet'!$B$15,Paramètres!$A$1:$I$89,3,0)*VLOOKUP('Données projet'!$B$15,Paramètres!$A$1:$I$89,5,0)</f>
        <v>-8.7434273154940449E-13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428.8489304403459</v>
      </c>
      <c r="EP194" s="60">
        <f t="shared" si="154"/>
        <v>247.01165577562966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 t="e">
        <f>N195*VLOOKUP('Données projet'!$B$9,Paramètres!$A$1:$I$89,3,0)*VLOOKUP('Données projet'!$B$9,Paramètres!$A$1:$I$89,5,0)</f>
        <v>#N/A</v>
      </c>
      <c r="P195" s="14" t="e">
        <f t="shared" si="141"/>
        <v>#N/A</v>
      </c>
      <c r="Q195" s="22" t="e">
        <f t="shared" si="162"/>
        <v>#N/A</v>
      </c>
      <c r="R195" s="60" t="e">
        <f t="shared" ref="R195:R203" si="191">Q195+(I195+J195)*44/12</f>
        <v>#N/A</v>
      </c>
      <c r="S195" s="60" t="e">
        <f ca="1">AVERAGE(OFFSET($R$3,0,0,'Données projet'!$E$9+1,1))-AVERAGE(OFFSET($H$3,0,0,'Données projet'!$E$9+1,1))</f>
        <v>#N/A</v>
      </c>
      <c r="T195" s="60" t="e">
        <f t="shared" si="142"/>
        <v>#N/A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 t="e">
        <f>EXP(-LN(2)/35)*Z194+(1-EXP(-LN(2)/35))/(LN(2)/35)*V195*W195*VLOOKUP('Données projet'!$B$9,Paramètres!$A$1:$I$89,3,0)*0.475*44/12</f>
        <v>#N/A</v>
      </c>
      <c r="AA195" s="23" t="e">
        <f>EXP(-LN(2)/25)*AA194+(1-EXP(-LN(2)/25))/(LN(2)/25)*Calculateur!V195*Calculateur!X195*VLOOKUP('Données projet'!$B$9,Paramètres!$A$1:$I$89,3,0)*0.475*44/12</f>
        <v>#N/A</v>
      </c>
      <c r="AB195" s="23" t="e">
        <f>EXP(-LN(2)/2)*AB194+(1-EXP(-LN(2)/2))/(LN(2)/2)*V195*Y195*VLOOKUP('Données projet'!$B$9,Paramètres!$A$1:$I$89,3,0)*0.475*44/12</f>
        <v>#N/A</v>
      </c>
      <c r="AC195" s="24" t="e">
        <f t="shared" si="163"/>
        <v>#N/A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0" t="e">
        <f t="shared" si="113"/>
        <v>#N/A</v>
      </c>
      <c r="AN195" s="60" t="e">
        <f ca="1">AVERAGE(OFFSET($AM$3,0,0,'Données projet'!$E$10+1,1))-AVERAGE(OFFSET($H$3,0,0,'Données projet'!$E$10+1,1))</f>
        <v>#N/A</v>
      </c>
      <c r="AO195" s="60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-1.0818439477588981E-13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357.083670644861</v>
      </c>
      <c r="BJ195" s="60">
        <f t="shared" si="146"/>
        <v>299.88885091109654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-3.694822225952521E-13</v>
      </c>
      <c r="BZ195" s="14">
        <f>BY195*VLOOKUP('Données projet'!$B$12,Paramètres!$A$1:$I$89,3,0)*VLOOKUP('Données projet'!$B$12,Paramètres!$A$1:$I$89,5,0)</f>
        <v>-1.7291768017457797E-13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245.98992992759543</v>
      </c>
      <c r="CE195" s="60">
        <f t="shared" si="148"/>
        <v>145.34368562171613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-9.3464223027694966E-13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455.50822833641354</v>
      </c>
      <c r="CZ195" s="60">
        <f t="shared" si="150"/>
        <v>261.14722581688039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-9.6633812063373625E-13</v>
      </c>
      <c r="DP195" s="18">
        <f>DO195*VLOOKUP('Données projet'!$B$14,Paramètres!$A$1:$I$89,3,0)*VLOOKUP('Données projet'!$B$14,Paramètres!$A$1:$I$89,5,0)</f>
        <v>-1.0401663530501537E-12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502.07782026233912</v>
      </c>
      <c r="DU195" s="60">
        <f t="shared" si="152"/>
        <v>285.83623046025156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-9.6633812063373625E-13</v>
      </c>
      <c r="EK195" s="18">
        <f>EJ195*VLOOKUP('Données projet'!$B$15,Paramètres!$A$1:$I$89,3,0)*VLOOKUP('Données projet'!$B$15,Paramètres!$A$1:$I$89,5,0)</f>
        <v>-8.7434273154940449E-13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428.8489304403459</v>
      </c>
      <c r="EP195" s="60">
        <f t="shared" si="154"/>
        <v>247.01165577562966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 t="e">
        <f>N196*VLOOKUP('Données projet'!$B$9,Paramètres!$A$1:$I$89,3,0)*VLOOKUP('Données projet'!$B$9,Paramètres!$A$1:$I$89,5,0)</f>
        <v>#N/A</v>
      </c>
      <c r="P196" s="14" t="e">
        <f t="shared" si="141"/>
        <v>#N/A</v>
      </c>
      <c r="Q196" s="22" t="e">
        <f t="shared" si="162"/>
        <v>#N/A</v>
      </c>
      <c r="R196" s="60" t="e">
        <f t="shared" si="191"/>
        <v>#N/A</v>
      </c>
      <c r="S196" s="60" t="e">
        <f ca="1">AVERAGE(OFFSET($R$3,0,0,'Données projet'!$E$9+1,1))-AVERAGE(OFFSET($H$3,0,0,'Données projet'!$E$9+1,1))</f>
        <v>#N/A</v>
      </c>
      <c r="T196" s="60" t="e">
        <f t="shared" si="142"/>
        <v>#N/A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 t="e">
        <f>EXP(-LN(2)/35)*Z195+(1-EXP(-LN(2)/35))/(LN(2)/35)*V196*W196*VLOOKUP('Données projet'!$B$9,Paramètres!$A$1:$I$89,3,0)*0.475*44/12</f>
        <v>#N/A</v>
      </c>
      <c r="AA196" s="23" t="e">
        <f>EXP(-LN(2)/25)*AA195+(1-EXP(-LN(2)/25))/(LN(2)/25)*Calculateur!V196*Calculateur!X196*VLOOKUP('Données projet'!$B$9,Paramètres!$A$1:$I$89,3,0)*0.475*44/12</f>
        <v>#N/A</v>
      </c>
      <c r="AB196" s="23" t="e">
        <f>EXP(-LN(2)/2)*AB195+(1-EXP(-LN(2)/2))/(LN(2)/2)*V196*Y196*VLOOKUP('Données projet'!$B$9,Paramètres!$A$1:$I$89,3,0)*0.475*44/12</f>
        <v>#N/A</v>
      </c>
      <c r="AC196" s="24" t="e">
        <f t="shared" si="163"/>
        <v>#N/A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0" t="e">
        <f t="shared" ref="AM196:AM203" si="193">AL196+(AD196+AE196)*44/12</f>
        <v>#N/A</v>
      </c>
      <c r="AN196" s="60" t="e">
        <f ca="1">AVERAGE(OFFSET($AM$3,0,0,'Données projet'!$E$10+1,1))-AVERAGE(OFFSET($H$3,0,0,'Données projet'!$E$10+1,1))</f>
        <v>#N/A</v>
      </c>
      <c r="AO196" s="60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-1.0818439477588981E-13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357.083670644861</v>
      </c>
      <c r="BJ196" s="60">
        <f t="shared" si="146"/>
        <v>299.88885091109654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-3.694822225952521E-13</v>
      </c>
      <c r="BZ196" s="14">
        <f>BY196*VLOOKUP('Données projet'!$B$12,Paramètres!$A$1:$I$89,3,0)*VLOOKUP('Données projet'!$B$12,Paramètres!$A$1:$I$89,5,0)</f>
        <v>-1.7291768017457797E-13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245.98992992759543</v>
      </c>
      <c r="CE196" s="60">
        <f t="shared" si="148"/>
        <v>145.34368562171613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-9.3464223027694966E-13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455.50822833641354</v>
      </c>
      <c r="CZ196" s="60">
        <f t="shared" si="150"/>
        <v>261.14722581688039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-9.6633812063373625E-13</v>
      </c>
      <c r="DP196" s="18">
        <f>DO196*VLOOKUP('Données projet'!$B$14,Paramètres!$A$1:$I$89,3,0)*VLOOKUP('Données projet'!$B$14,Paramètres!$A$1:$I$89,5,0)</f>
        <v>-1.0401663530501537E-12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502.07782026233912</v>
      </c>
      <c r="DU196" s="60">
        <f t="shared" si="152"/>
        <v>285.83623046025156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-9.6633812063373625E-13</v>
      </c>
      <c r="EK196" s="18">
        <f>EJ196*VLOOKUP('Données projet'!$B$15,Paramètres!$A$1:$I$89,3,0)*VLOOKUP('Données projet'!$B$15,Paramètres!$A$1:$I$89,5,0)</f>
        <v>-8.7434273154940449E-13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428.8489304403459</v>
      </c>
      <c r="EP196" s="60">
        <f t="shared" si="154"/>
        <v>247.01165577562966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 t="e">
        <f>N197*VLOOKUP('Données projet'!$B$9,Paramètres!$A$1:$I$89,3,0)*VLOOKUP('Données projet'!$B$9,Paramètres!$A$1:$I$89,5,0)</f>
        <v>#N/A</v>
      </c>
      <c r="P197" s="14" t="e">
        <f t="shared" ref="P197:P203" si="203">EXP(-1.0587+0.8836*LN(O197)+0.284)</f>
        <v>#N/A</v>
      </c>
      <c r="Q197" s="22" t="e">
        <f t="shared" si="162"/>
        <v>#N/A</v>
      </c>
      <c r="R197" s="60" t="e">
        <f t="shared" si="191"/>
        <v>#N/A</v>
      </c>
      <c r="S197" s="60" t="e">
        <f ca="1">AVERAGE(OFFSET($R$3,0,0,'Données projet'!$E$9+1,1))-AVERAGE(OFFSET($H$3,0,0,'Données projet'!$E$9+1,1))</f>
        <v>#N/A</v>
      </c>
      <c r="T197" s="60" t="e">
        <f t="shared" ref="T197:T203" si="204">$T$3</f>
        <v>#N/A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 t="e">
        <f>EXP(-LN(2)/35)*Z196+(1-EXP(-LN(2)/35))/(LN(2)/35)*V197*W197*VLOOKUP('Données projet'!$B$9,Paramètres!$A$1:$I$89,3,0)*0.475*44/12</f>
        <v>#N/A</v>
      </c>
      <c r="AA197" s="23" t="e">
        <f>EXP(-LN(2)/25)*AA196+(1-EXP(-LN(2)/25))/(LN(2)/25)*Calculateur!V197*Calculateur!X197*VLOOKUP('Données projet'!$B$9,Paramètres!$A$1:$I$89,3,0)*0.475*44/12</f>
        <v>#N/A</v>
      </c>
      <c r="AB197" s="23" t="e">
        <f>EXP(-LN(2)/2)*AB196+(1-EXP(-LN(2)/2))/(LN(2)/2)*V197*Y197*VLOOKUP('Données projet'!$B$9,Paramètres!$A$1:$I$89,3,0)*0.475*44/12</f>
        <v>#N/A</v>
      </c>
      <c r="AC197" s="24" t="e">
        <f t="shared" si="163"/>
        <v>#N/A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0" t="e">
        <f t="shared" si="193"/>
        <v>#N/A</v>
      </c>
      <c r="AN197" s="60" t="e">
        <f ca="1">AVERAGE(OFFSET($AM$3,0,0,'Données projet'!$E$10+1,1))-AVERAGE(OFFSET($H$3,0,0,'Données projet'!$E$10+1,1))</f>
        <v>#N/A</v>
      </c>
      <c r="AO197" s="60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-1.0818439477588981E-13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357.083670644861</v>
      </c>
      <c r="BJ197" s="60">
        <f t="shared" ref="BJ197:BJ203" si="206">$BJ$3</f>
        <v>299.88885091109654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-3.694822225952521E-13</v>
      </c>
      <c r="BZ197" s="14">
        <f>BY197*VLOOKUP('Données projet'!$B$12,Paramètres!$A$1:$I$89,3,0)*VLOOKUP('Données projet'!$B$12,Paramètres!$A$1:$I$89,5,0)</f>
        <v>-1.7291768017457797E-13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245.98992992759543</v>
      </c>
      <c r="CE197" s="60">
        <f t="shared" ref="CE197:CE203" si="207">$CE$3</f>
        <v>145.34368562171613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-9.3464223027694966E-13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455.50822833641354</v>
      </c>
      <c r="CZ197" s="60">
        <f t="shared" ref="CZ197:CZ203" si="208">$CZ$3</f>
        <v>261.14722581688039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-9.6633812063373625E-13</v>
      </c>
      <c r="DP197" s="18">
        <f>DO197*VLOOKUP('Données projet'!$B$14,Paramètres!$A$1:$I$89,3,0)*VLOOKUP('Données projet'!$B$14,Paramètres!$A$1:$I$89,5,0)</f>
        <v>-1.0401663530501537E-12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502.07782026233912</v>
      </c>
      <c r="DU197" s="60">
        <f t="shared" ref="DU197:DU203" si="209">$DU$3</f>
        <v>285.83623046025156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-9.6633812063373625E-13</v>
      </c>
      <c r="EK197" s="18">
        <f>EJ197*VLOOKUP('Données projet'!$B$15,Paramètres!$A$1:$I$89,3,0)*VLOOKUP('Données projet'!$B$15,Paramètres!$A$1:$I$89,5,0)</f>
        <v>-8.7434273154940449E-13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428.8489304403459</v>
      </c>
      <c r="EP197" s="60">
        <f t="shared" ref="EP197:EP203" si="210">$EP$3</f>
        <v>247.01165577562966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 t="e">
        <f>N198*VLOOKUP('Données projet'!$B$9,Paramètres!$A$1:$I$89,3,0)*VLOOKUP('Données projet'!$B$9,Paramètres!$A$1:$I$89,5,0)</f>
        <v>#N/A</v>
      </c>
      <c r="P198" s="14" t="e">
        <f t="shared" si="203"/>
        <v>#N/A</v>
      </c>
      <c r="Q198" s="22" t="e">
        <f t="shared" si="162"/>
        <v>#N/A</v>
      </c>
      <c r="R198" s="60" t="e">
        <f t="shared" si="191"/>
        <v>#N/A</v>
      </c>
      <c r="S198" s="60" t="e">
        <f ca="1">AVERAGE(OFFSET($R$3,0,0,'Données projet'!$E$9+1,1))-AVERAGE(OFFSET($H$3,0,0,'Données projet'!$E$9+1,1))</f>
        <v>#N/A</v>
      </c>
      <c r="T198" s="60" t="e">
        <f t="shared" si="204"/>
        <v>#N/A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 t="e">
        <f>EXP(-LN(2)/35)*Z197+(1-EXP(-LN(2)/35))/(LN(2)/35)*V198*W198*VLOOKUP('Données projet'!$B$9,Paramètres!$A$1:$I$89,3,0)*0.475*44/12</f>
        <v>#N/A</v>
      </c>
      <c r="AA198" s="23" t="e">
        <f>EXP(-LN(2)/25)*AA197+(1-EXP(-LN(2)/25))/(LN(2)/25)*Calculateur!V198*Calculateur!X198*VLOOKUP('Données projet'!$B$9,Paramètres!$A$1:$I$89,3,0)*0.475*44/12</f>
        <v>#N/A</v>
      </c>
      <c r="AB198" s="23" t="e">
        <f>EXP(-LN(2)/2)*AB197+(1-EXP(-LN(2)/2))/(LN(2)/2)*V198*Y198*VLOOKUP('Données projet'!$B$9,Paramètres!$A$1:$I$89,3,0)*0.475*44/12</f>
        <v>#N/A</v>
      </c>
      <c r="AC198" s="24" t="e">
        <f t="shared" si="163"/>
        <v>#N/A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0" t="e">
        <f t="shared" si="193"/>
        <v>#N/A</v>
      </c>
      <c r="AN198" s="60" t="e">
        <f ca="1">AVERAGE(OFFSET($AM$3,0,0,'Données projet'!$E$10+1,1))-AVERAGE(OFFSET($H$3,0,0,'Données projet'!$E$10+1,1))</f>
        <v>#N/A</v>
      </c>
      <c r="AO198" s="60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-1.0818439477588981E-13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357.083670644861</v>
      </c>
      <c r="BJ198" s="60">
        <f t="shared" si="206"/>
        <v>299.88885091109654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-3.694822225952521E-13</v>
      </c>
      <c r="BZ198" s="14">
        <f>BY198*VLOOKUP('Données projet'!$B$12,Paramètres!$A$1:$I$89,3,0)*VLOOKUP('Données projet'!$B$12,Paramètres!$A$1:$I$89,5,0)</f>
        <v>-1.7291768017457797E-13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245.98992992759543</v>
      </c>
      <c r="CE198" s="60">
        <f t="shared" si="207"/>
        <v>145.34368562171613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-9.3464223027694966E-13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455.50822833641354</v>
      </c>
      <c r="CZ198" s="60">
        <f t="shared" si="208"/>
        <v>261.14722581688039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-9.6633812063373625E-13</v>
      </c>
      <c r="DP198" s="18">
        <f>DO198*VLOOKUP('Données projet'!$B$14,Paramètres!$A$1:$I$89,3,0)*VLOOKUP('Données projet'!$B$14,Paramètres!$A$1:$I$89,5,0)</f>
        <v>-1.0401663530501537E-12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502.07782026233912</v>
      </c>
      <c r="DU198" s="60">
        <f t="shared" si="209"/>
        <v>285.83623046025156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-9.6633812063373625E-13</v>
      </c>
      <c r="EK198" s="18">
        <f>EJ198*VLOOKUP('Données projet'!$B$15,Paramètres!$A$1:$I$89,3,0)*VLOOKUP('Données projet'!$B$15,Paramètres!$A$1:$I$89,5,0)</f>
        <v>-8.7434273154940449E-13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428.8489304403459</v>
      </c>
      <c r="EP198" s="60">
        <f t="shared" si="210"/>
        <v>247.01165577562966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 t="e">
        <f>N199*VLOOKUP('Données projet'!$B$9,Paramètres!$A$1:$I$89,3,0)*VLOOKUP('Données projet'!$B$9,Paramètres!$A$1:$I$89,5,0)</f>
        <v>#N/A</v>
      </c>
      <c r="P199" s="14" t="e">
        <f t="shared" si="203"/>
        <v>#N/A</v>
      </c>
      <c r="Q199" s="22" t="e">
        <f t="shared" si="162"/>
        <v>#N/A</v>
      </c>
      <c r="R199" s="60" t="e">
        <f t="shared" si="191"/>
        <v>#N/A</v>
      </c>
      <c r="S199" s="60" t="e">
        <f ca="1">AVERAGE(OFFSET($R$3,0,0,'Données projet'!$E$9+1,1))-AVERAGE(OFFSET($H$3,0,0,'Données projet'!$E$9+1,1))</f>
        <v>#N/A</v>
      </c>
      <c r="T199" s="60" t="e">
        <f t="shared" si="204"/>
        <v>#N/A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 t="e">
        <f>EXP(-LN(2)/35)*Z198+(1-EXP(-LN(2)/35))/(LN(2)/35)*V199*W199*VLOOKUP('Données projet'!$B$9,Paramètres!$A$1:$I$89,3,0)*0.475*44/12</f>
        <v>#N/A</v>
      </c>
      <c r="AA199" s="23" t="e">
        <f>EXP(-LN(2)/25)*AA198+(1-EXP(-LN(2)/25))/(LN(2)/25)*Calculateur!V199*Calculateur!X199*VLOOKUP('Données projet'!$B$9,Paramètres!$A$1:$I$89,3,0)*0.475*44/12</f>
        <v>#N/A</v>
      </c>
      <c r="AB199" s="23" t="e">
        <f>EXP(-LN(2)/2)*AB198+(1-EXP(-LN(2)/2))/(LN(2)/2)*V199*Y199*VLOOKUP('Données projet'!$B$9,Paramètres!$A$1:$I$89,3,0)*0.475*44/12</f>
        <v>#N/A</v>
      </c>
      <c r="AC199" s="24" t="e">
        <f t="shared" si="163"/>
        <v>#N/A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0" t="e">
        <f t="shared" si="193"/>
        <v>#N/A</v>
      </c>
      <c r="AN199" s="60" t="e">
        <f ca="1">AVERAGE(OFFSET($AM$3,0,0,'Données projet'!$E$10+1,1))-AVERAGE(OFFSET($H$3,0,0,'Données projet'!$E$10+1,1))</f>
        <v>#N/A</v>
      </c>
      <c r="AO199" s="60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-1.0818439477588981E-13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357.083670644861</v>
      </c>
      <c r="BJ199" s="60">
        <f t="shared" si="206"/>
        <v>299.88885091109654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-3.694822225952521E-13</v>
      </c>
      <c r="BZ199" s="14">
        <f>BY199*VLOOKUP('Données projet'!$B$12,Paramètres!$A$1:$I$89,3,0)*VLOOKUP('Données projet'!$B$12,Paramètres!$A$1:$I$89,5,0)</f>
        <v>-1.7291768017457797E-13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245.98992992759543</v>
      </c>
      <c r="CE199" s="60">
        <f t="shared" si="207"/>
        <v>145.34368562171613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-9.3464223027694966E-13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455.50822833641354</v>
      </c>
      <c r="CZ199" s="60">
        <f t="shared" si="208"/>
        <v>261.14722581688039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-9.6633812063373625E-13</v>
      </c>
      <c r="DP199" s="18">
        <f>DO199*VLOOKUP('Données projet'!$B$14,Paramètres!$A$1:$I$89,3,0)*VLOOKUP('Données projet'!$B$14,Paramètres!$A$1:$I$89,5,0)</f>
        <v>-1.0401663530501537E-12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502.07782026233912</v>
      </c>
      <c r="DU199" s="60">
        <f t="shared" si="209"/>
        <v>285.83623046025156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-9.6633812063373625E-13</v>
      </c>
      <c r="EK199" s="18">
        <f>EJ199*VLOOKUP('Données projet'!$B$15,Paramètres!$A$1:$I$89,3,0)*VLOOKUP('Données projet'!$B$15,Paramètres!$A$1:$I$89,5,0)</f>
        <v>-8.7434273154940449E-13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428.8489304403459</v>
      </c>
      <c r="EP199" s="60">
        <f t="shared" si="210"/>
        <v>247.01165577562966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 t="e">
        <f>N200*VLOOKUP('Données projet'!$B$9,Paramètres!$A$1:$I$89,3,0)*VLOOKUP('Données projet'!$B$9,Paramètres!$A$1:$I$89,5,0)</f>
        <v>#N/A</v>
      </c>
      <c r="P200" s="14" t="e">
        <f t="shared" si="203"/>
        <v>#N/A</v>
      </c>
      <c r="Q200" s="22" t="e">
        <f t="shared" si="162"/>
        <v>#N/A</v>
      </c>
      <c r="R200" s="60" t="e">
        <f t="shared" si="191"/>
        <v>#N/A</v>
      </c>
      <c r="S200" s="60" t="e">
        <f ca="1">AVERAGE(OFFSET($R$3,0,0,'Données projet'!$E$9+1,1))-AVERAGE(OFFSET($H$3,0,0,'Données projet'!$E$9+1,1))</f>
        <v>#N/A</v>
      </c>
      <c r="T200" s="60" t="e">
        <f t="shared" si="204"/>
        <v>#N/A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 t="e">
        <f>EXP(-LN(2)/35)*Z199+(1-EXP(-LN(2)/35))/(LN(2)/35)*V200*W200*VLOOKUP('Données projet'!$B$9,Paramètres!$A$1:$I$89,3,0)*0.475*44/12</f>
        <v>#N/A</v>
      </c>
      <c r="AA200" s="23" t="e">
        <f>EXP(-LN(2)/25)*AA199+(1-EXP(-LN(2)/25))/(LN(2)/25)*Calculateur!V200*Calculateur!X200*VLOOKUP('Données projet'!$B$9,Paramètres!$A$1:$I$89,3,0)*0.475*44/12</f>
        <v>#N/A</v>
      </c>
      <c r="AB200" s="23" t="e">
        <f>EXP(-LN(2)/2)*AB199+(1-EXP(-LN(2)/2))/(LN(2)/2)*V200*Y200*VLOOKUP('Données projet'!$B$9,Paramètres!$A$1:$I$89,3,0)*0.475*44/12</f>
        <v>#N/A</v>
      </c>
      <c r="AC200" s="24" t="e">
        <f t="shared" si="163"/>
        <v>#N/A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0" t="e">
        <f t="shared" si="193"/>
        <v>#N/A</v>
      </c>
      <c r="AN200" s="60" t="e">
        <f ca="1">AVERAGE(OFFSET($AM$3,0,0,'Données projet'!$E$10+1,1))-AVERAGE(OFFSET($H$3,0,0,'Données projet'!$E$10+1,1))</f>
        <v>#N/A</v>
      </c>
      <c r="AO200" s="60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-1.0818439477588981E-13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357.083670644861</v>
      </c>
      <c r="BJ200" s="60">
        <f t="shared" si="206"/>
        <v>299.88885091109654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-3.694822225952521E-13</v>
      </c>
      <c r="BZ200" s="14">
        <f>BY200*VLOOKUP('Données projet'!$B$12,Paramètres!$A$1:$I$89,3,0)*VLOOKUP('Données projet'!$B$12,Paramètres!$A$1:$I$89,5,0)</f>
        <v>-1.7291768017457797E-13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245.98992992759543</v>
      </c>
      <c r="CE200" s="60">
        <f t="shared" si="207"/>
        <v>145.34368562171613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-9.3464223027694966E-13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455.50822833641354</v>
      </c>
      <c r="CZ200" s="60">
        <f t="shared" si="208"/>
        <v>261.14722581688039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-9.6633812063373625E-13</v>
      </c>
      <c r="DP200" s="18">
        <f>DO200*VLOOKUP('Données projet'!$B$14,Paramètres!$A$1:$I$89,3,0)*VLOOKUP('Données projet'!$B$14,Paramètres!$A$1:$I$89,5,0)</f>
        <v>-1.0401663530501537E-12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502.07782026233912</v>
      </c>
      <c r="DU200" s="60">
        <f t="shared" si="209"/>
        <v>285.83623046025156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-9.6633812063373625E-13</v>
      </c>
      <c r="EK200" s="18">
        <f>EJ200*VLOOKUP('Données projet'!$B$15,Paramètres!$A$1:$I$89,3,0)*VLOOKUP('Données projet'!$B$15,Paramètres!$A$1:$I$89,5,0)</f>
        <v>-8.7434273154940449E-13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428.8489304403459</v>
      </c>
      <c r="EP200" s="60">
        <f t="shared" si="210"/>
        <v>247.01165577562966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 t="e">
        <f>N201*VLOOKUP('Données projet'!$B$9,Paramètres!$A$1:$I$89,3,0)*VLOOKUP('Données projet'!$B$9,Paramètres!$A$1:$I$89,5,0)</f>
        <v>#N/A</v>
      </c>
      <c r="P201" s="14" t="e">
        <f t="shared" si="203"/>
        <v>#N/A</v>
      </c>
      <c r="Q201" s="22" t="e">
        <f t="shared" si="162"/>
        <v>#N/A</v>
      </c>
      <c r="R201" s="60" t="e">
        <f t="shared" si="191"/>
        <v>#N/A</v>
      </c>
      <c r="S201" s="60" t="e">
        <f ca="1">AVERAGE(OFFSET($R$3,0,0,'Données projet'!$E$9+1,1))-AVERAGE(OFFSET($H$3,0,0,'Données projet'!$E$9+1,1))</f>
        <v>#N/A</v>
      </c>
      <c r="T201" s="60" t="e">
        <f t="shared" si="204"/>
        <v>#N/A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 t="e">
        <f>EXP(-LN(2)/35)*Z200+(1-EXP(-LN(2)/35))/(LN(2)/35)*V201*W201*VLOOKUP('Données projet'!$B$9,Paramètres!$A$1:$I$89,3,0)*0.475*44/12</f>
        <v>#N/A</v>
      </c>
      <c r="AA201" s="23" t="e">
        <f>EXP(-LN(2)/25)*AA200+(1-EXP(-LN(2)/25))/(LN(2)/25)*Calculateur!V201*Calculateur!X201*VLOOKUP('Données projet'!$B$9,Paramètres!$A$1:$I$89,3,0)*0.475*44/12</f>
        <v>#N/A</v>
      </c>
      <c r="AB201" s="23" t="e">
        <f>EXP(-LN(2)/2)*AB200+(1-EXP(-LN(2)/2))/(LN(2)/2)*V201*Y201*VLOOKUP('Données projet'!$B$9,Paramètres!$A$1:$I$89,3,0)*0.475*44/12</f>
        <v>#N/A</v>
      </c>
      <c r="AC201" s="24" t="e">
        <f t="shared" si="163"/>
        <v>#N/A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0" t="e">
        <f t="shared" si="193"/>
        <v>#N/A</v>
      </c>
      <c r="AN201" s="60" t="e">
        <f ca="1">AVERAGE(OFFSET($AM$3,0,0,'Données projet'!$E$10+1,1))-AVERAGE(OFFSET($H$3,0,0,'Données projet'!$E$10+1,1))</f>
        <v>#N/A</v>
      </c>
      <c r="AO201" s="60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-1.0818439477588981E-13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357.083670644861</v>
      </c>
      <c r="BJ201" s="60">
        <f t="shared" si="206"/>
        <v>299.88885091109654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-3.694822225952521E-13</v>
      </c>
      <c r="BZ201" s="14">
        <f>BY201*VLOOKUP('Données projet'!$B$12,Paramètres!$A$1:$I$89,3,0)*VLOOKUP('Données projet'!$B$12,Paramètres!$A$1:$I$89,5,0)</f>
        <v>-1.7291768017457797E-13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245.98992992759543</v>
      </c>
      <c r="CE201" s="60">
        <f t="shared" si="207"/>
        <v>145.34368562171613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-9.3464223027694966E-13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455.50822833641354</v>
      </c>
      <c r="CZ201" s="60">
        <f t="shared" si="208"/>
        <v>261.14722581688039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-9.6633812063373625E-13</v>
      </c>
      <c r="DP201" s="18">
        <f>DO201*VLOOKUP('Données projet'!$B$14,Paramètres!$A$1:$I$89,3,0)*VLOOKUP('Données projet'!$B$14,Paramètres!$A$1:$I$89,5,0)</f>
        <v>-1.0401663530501537E-12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502.07782026233912</v>
      </c>
      <c r="DU201" s="60">
        <f t="shared" si="209"/>
        <v>285.83623046025156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-9.6633812063373625E-13</v>
      </c>
      <c r="EK201" s="18">
        <f>EJ201*VLOOKUP('Données projet'!$B$15,Paramètres!$A$1:$I$89,3,0)*VLOOKUP('Données projet'!$B$15,Paramètres!$A$1:$I$89,5,0)</f>
        <v>-8.7434273154940449E-13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428.8489304403459</v>
      </c>
      <c r="EP201" s="60">
        <f t="shared" si="210"/>
        <v>247.01165577562966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 t="e">
        <f>N202*VLOOKUP('Données projet'!$B$9,Paramètres!$A$1:$I$89,3,0)*VLOOKUP('Données projet'!$B$9,Paramètres!$A$1:$I$89,5,0)</f>
        <v>#N/A</v>
      </c>
      <c r="P202" s="14" t="e">
        <f t="shared" si="203"/>
        <v>#N/A</v>
      </c>
      <c r="Q202" s="22" t="e">
        <f t="shared" si="162"/>
        <v>#N/A</v>
      </c>
      <c r="R202" s="60" t="e">
        <f t="shared" si="191"/>
        <v>#N/A</v>
      </c>
      <c r="S202" s="60" t="e">
        <f ca="1">AVERAGE(OFFSET($R$3,0,0,'Données projet'!$E$9+1,1))-AVERAGE(OFFSET($H$3,0,0,'Données projet'!$E$9+1,1))</f>
        <v>#N/A</v>
      </c>
      <c r="T202" s="60" t="e">
        <f t="shared" si="204"/>
        <v>#N/A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 t="e">
        <f>EXP(-LN(2)/35)*Z201+(1-EXP(-LN(2)/35))/(LN(2)/35)*V202*W202*VLOOKUP('Données projet'!$B$9,Paramètres!$A$1:$I$89,3,0)*0.475*44/12</f>
        <v>#N/A</v>
      </c>
      <c r="AA202" s="23" t="e">
        <f>EXP(-LN(2)/25)*AA201+(1-EXP(-LN(2)/25))/(LN(2)/25)*Calculateur!V202*Calculateur!X202*VLOOKUP('Données projet'!$B$9,Paramètres!$A$1:$I$89,3,0)*0.475*44/12</f>
        <v>#N/A</v>
      </c>
      <c r="AB202" s="23" t="e">
        <f>EXP(-LN(2)/2)*AB201+(1-EXP(-LN(2)/2))/(LN(2)/2)*V202*Y202*VLOOKUP('Données projet'!$B$9,Paramètres!$A$1:$I$89,3,0)*0.475*44/12</f>
        <v>#N/A</v>
      </c>
      <c r="AC202" s="24" t="e">
        <f t="shared" si="163"/>
        <v>#N/A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0" t="e">
        <f t="shared" si="193"/>
        <v>#N/A</v>
      </c>
      <c r="AN202" s="60" t="e">
        <f ca="1">AVERAGE(OFFSET($AM$3,0,0,'Données projet'!$E$10+1,1))-AVERAGE(OFFSET($H$3,0,0,'Données projet'!$E$10+1,1))</f>
        <v>#N/A</v>
      </c>
      <c r="AO202" s="60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-1.0818439477588981E-13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357.083670644861</v>
      </c>
      <c r="BJ202" s="60">
        <f t="shared" si="206"/>
        <v>299.88885091109654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-3.694822225952521E-13</v>
      </c>
      <c r="BZ202" s="14">
        <f>BY202*VLOOKUP('Données projet'!$B$12,Paramètres!$A$1:$I$89,3,0)*VLOOKUP('Données projet'!$B$12,Paramètres!$A$1:$I$89,5,0)</f>
        <v>-1.7291768017457797E-13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245.98992992759543</v>
      </c>
      <c r="CE202" s="60">
        <f t="shared" si="207"/>
        <v>145.34368562171613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-9.3464223027694966E-13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455.50822833641354</v>
      </c>
      <c r="CZ202" s="60">
        <f t="shared" si="208"/>
        <v>261.14722581688039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-9.6633812063373625E-13</v>
      </c>
      <c r="DP202" s="18">
        <f>DO202*VLOOKUP('Données projet'!$B$14,Paramètres!$A$1:$I$89,3,0)*VLOOKUP('Données projet'!$B$14,Paramètres!$A$1:$I$89,5,0)</f>
        <v>-1.0401663530501537E-12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502.07782026233912</v>
      </c>
      <c r="DU202" s="60">
        <f t="shared" si="209"/>
        <v>285.83623046025156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-9.6633812063373625E-13</v>
      </c>
      <c r="EK202" s="18">
        <f>EJ202*VLOOKUP('Données projet'!$B$15,Paramètres!$A$1:$I$89,3,0)*VLOOKUP('Données projet'!$B$15,Paramètres!$A$1:$I$89,5,0)</f>
        <v>-8.7434273154940449E-13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428.8489304403459</v>
      </c>
      <c r="EP202" s="60">
        <f t="shared" si="210"/>
        <v>247.01165577562966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 t="e">
        <f>N203*VLOOKUP('Données projet'!$B$9,Paramètres!$A$1:$I$89,3,0)*VLOOKUP('Données projet'!$B$9,Paramètres!$A$1:$I$89,5,0)</f>
        <v>#N/A</v>
      </c>
      <c r="P203" s="14" t="e">
        <f t="shared" si="203"/>
        <v>#N/A</v>
      </c>
      <c r="Q203" s="22" t="e">
        <f t="shared" si="162"/>
        <v>#N/A</v>
      </c>
      <c r="R203" s="60" t="e">
        <f t="shared" si="191"/>
        <v>#N/A</v>
      </c>
      <c r="S203" s="60" t="e">
        <f ca="1">AVERAGE(OFFSET($R$3,0,0,'Données projet'!$E$9+1,1))-AVERAGE(OFFSET($H$3,0,0,'Données projet'!$E$9+1,1))</f>
        <v>#N/A</v>
      </c>
      <c r="T203" s="60" t="e">
        <f t="shared" si="204"/>
        <v>#N/A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 t="e">
        <f>EXP(-LN(2)/35)*Z202+(1-EXP(-LN(2)/35))/(LN(2)/35)*V203*W203*VLOOKUP('Données projet'!$B$9,Paramètres!$A$1:$I$89,3,0)*0.475*44/12</f>
        <v>#N/A</v>
      </c>
      <c r="AA203" s="23" t="e">
        <f>EXP(-LN(2)/25)*AA202+(1-EXP(-LN(2)/25))/(LN(2)/25)*Calculateur!V203*Calculateur!X203*VLOOKUP('Données projet'!$B$9,Paramètres!$A$1:$I$89,3,0)*0.475*44/12</f>
        <v>#N/A</v>
      </c>
      <c r="AB203" s="23" t="e">
        <f>EXP(-LN(2)/2)*AB202+(1-EXP(-LN(2)/2))/(LN(2)/2)*V203*Y203*VLOOKUP('Données projet'!$B$9,Paramètres!$A$1:$I$89,3,0)*0.475*44/12</f>
        <v>#N/A</v>
      </c>
      <c r="AC203" s="24" t="e">
        <f t="shared" si="163"/>
        <v>#N/A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0" t="e">
        <f t="shared" si="193"/>
        <v>#N/A</v>
      </c>
      <c r="AN203" s="60" t="e">
        <f ca="1">AVERAGE(OFFSET($AM$3,0,0,'Données projet'!$E$10+1,1))-AVERAGE(OFFSET($H$3,0,0,'Données projet'!$E$10+1,1))</f>
        <v>#N/A</v>
      </c>
      <c r="AO203" s="60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-1.0818439477588981E-13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357.083670644861</v>
      </c>
      <c r="BJ203" s="60">
        <f t="shared" si="206"/>
        <v>299.88885091109654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-3.694822225952521E-13</v>
      </c>
      <c r="BZ203" s="14">
        <f>BY203*VLOOKUP('Données projet'!$B$12,Paramètres!$A$1:$I$89,3,0)*VLOOKUP('Données projet'!$B$12,Paramètres!$A$1:$I$89,5,0)</f>
        <v>-1.7291768017457797E-13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245.98992992759543</v>
      </c>
      <c r="CE203" s="60">
        <f t="shared" si="207"/>
        <v>145.34368562171613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-9.3464223027694966E-13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455.50822833641354</v>
      </c>
      <c r="CZ203" s="60">
        <f t="shared" si="208"/>
        <v>261.14722581688039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-9.6633812063373625E-13</v>
      </c>
      <c r="DP203" s="18">
        <f>DO203*VLOOKUP('Données projet'!$B$14,Paramètres!$A$1:$I$89,3,0)*VLOOKUP('Données projet'!$B$14,Paramètres!$A$1:$I$89,5,0)</f>
        <v>-1.0401663530501537E-12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502.07782026233912</v>
      </c>
      <c r="DU203" s="60">
        <f t="shared" si="209"/>
        <v>285.83623046025156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-9.6633812063373625E-13</v>
      </c>
      <c r="EK203" s="18">
        <f>EJ203*VLOOKUP('Données projet'!$B$15,Paramètres!$A$1:$I$89,3,0)*VLOOKUP('Données projet'!$B$15,Paramètres!$A$1:$I$89,5,0)</f>
        <v>-8.7434273154940449E-13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428.8489304403459</v>
      </c>
      <c r="EP203" s="60">
        <f t="shared" si="210"/>
        <v>247.01165577562966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 t="e">
        <f>EXP(LN('Données projet'!B36)/'Données projet'!A36)</f>
        <v>#NUM!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 t="e">
        <f>EXP(LN('Données projet'!B62)/'Données projet'!A62)</f>
        <v>#NUM!</v>
      </c>
      <c r="BA205" s="86">
        <f>EXP(LN('Données projet'!B88)/'Données projet'!A88)</f>
        <v>1.2649598798623627</v>
      </c>
      <c r="BV205" s="86">
        <f>EXP(LN('Données projet'!B114)/'Données projet'!A114)</f>
        <v>1.167092777711815</v>
      </c>
      <c r="CQ205" s="86">
        <f>EXP(LN('Données projet'!B140)/'Données projet'!A140)</f>
        <v>1.2054868146447177</v>
      </c>
      <c r="DL205" s="86">
        <f>EXP(LN('Données projet'!B166)/'Données projet'!A166)</f>
        <v>1.2054868146447177</v>
      </c>
      <c r="EG205" s="86">
        <f>EXP(LN('Données projet'!B192)/'Données projet'!A192)</f>
        <v>1.2054868146447177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H63" sqref="A59:H63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55" zoomScaleNormal="55" workbookViewId="0">
      <selection activeCell="J22" sqref="A19:J2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/>
      </c>
      <c r="B6" s="153">
        <f>'Données projet'!D9</f>
        <v>0</v>
      </c>
      <c r="C6" s="154">
        <f>IF(OR('Données projet'!B9="",'Données projet'!C9="",'Données projet'!C9=0%),0,Calculateur!S3)</f>
        <v>0</v>
      </c>
      <c r="D6" s="154">
        <f>IF(OR('Données projet'!B9="",'Données projet'!C9="",'Données projet'!C9=0%),0,Calculateur!T3)</f>
        <v>0</v>
      </c>
      <c r="E6" s="154">
        <f>MIN(C6,D6)</f>
        <v>0</v>
      </c>
      <c r="F6" s="154">
        <f>E6*B6</f>
        <v>0</v>
      </c>
      <c r="G6" s="154">
        <f>F6*(100%-'Données projet'!$C$24)*(100%-'Données projet'!$C$25)*(100%-'Données projet'!$C$26)*(100%-'Données projet'!$C$27)</f>
        <v>0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>G6+I6+K6</f>
        <v>0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/>
      </c>
      <c r="B7" s="161">
        <f>'Données projet'!D10</f>
        <v>0</v>
      </c>
      <c r="C7" s="154">
        <f>IF(OR('Données projet'!B10="",'Données projet'!C10="",'Données projet'!C10=0%),0,Calculateur!AN3)</f>
        <v>0</v>
      </c>
      <c r="D7" s="154">
        <f>IF(OR('Données projet'!B10="",'Données projet'!C10="",'Données projet'!C10=0%),0,Calculateur!AO3)</f>
        <v>0</v>
      </c>
      <c r="E7" s="154">
        <f t="shared" ref="E7:E15" si="0">MIN(C7,D7)</f>
        <v>0</v>
      </c>
      <c r="F7" s="154">
        <f t="shared" ref="F7:F15" si="1">E7*B7</f>
        <v>0</v>
      </c>
      <c r="G7" s="154">
        <f>F7*(100%-'Données projet'!$C$24)*(100%-'Données projet'!$C$25)*(100%-'Données projet'!$C$26)*(100%-'Données projet'!$C$27)</f>
        <v>0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0</v>
      </c>
      <c r="K7" s="158">
        <f>J7*(100%-'Données projet'!$C$24)*(100%-'Données projet'!$C$25)*(100%-'Données projet'!$C$26)*(100%-'Données projet'!$C$27)</f>
        <v>0</v>
      </c>
      <c r="L7" s="159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Charme</v>
      </c>
      <c r="B8" s="161">
        <f>'Données projet'!D11</f>
        <v>0.75600000000000012</v>
      </c>
      <c r="C8" s="154">
        <f ca="1">IF(OR('Données projet'!B11="",'Données projet'!C11="",'Données projet'!C11=0%),0,Calculateur!BI3)</f>
        <v>357.083670644861</v>
      </c>
      <c r="D8" s="154">
        <f>IF(OR('Données projet'!B11="",'Données projet'!C11="",'Données projet'!C11=0%),0,Calculateur!BJ3)</f>
        <v>299.88885091109654</v>
      </c>
      <c r="E8" s="154">
        <f t="shared" ca="1" si="0"/>
        <v>299.88885091109654</v>
      </c>
      <c r="F8" s="154">
        <f t="shared" ca="1" si="1"/>
        <v>226.71597128878901</v>
      </c>
      <c r="G8" s="154">
        <f ca="1">F8*(100%-'Données projet'!$C$24)*(100%-'Données projet'!$C$25)*(100%-'Données projet'!$C$26)*(100%-'Données projet'!$C$27)</f>
        <v>204.04437415991012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7.5115384615384633</v>
      </c>
      <c r="K8" s="158">
        <f>J8*(100%-'Données projet'!$C$24)*(100%-'Données projet'!$C$25)*(100%-'Données projet'!$C$26)*(100%-'Données projet'!$C$27)</f>
        <v>6.7603846153846172</v>
      </c>
      <c r="L8" s="159">
        <f t="shared" ca="1" si="2"/>
        <v>210.80475877529474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Cèdre de l'Atlas</v>
      </c>
      <c r="B9" s="161">
        <f>'Données projet'!D12</f>
        <v>0.48599999999999999</v>
      </c>
      <c r="C9" s="154">
        <f ca="1">IF(OR('Données projet'!B12="",'Données projet'!C12="",'Données projet'!C12=0%),0,Calculateur!CD3)</f>
        <v>245.98992992759543</v>
      </c>
      <c r="D9" s="154">
        <f>IF(OR('Données projet'!B12="",'Données projet'!C12="",'Données projet'!C12=0%),0,Calculateur!CE3)</f>
        <v>145.34368562171613</v>
      </c>
      <c r="E9" s="154">
        <f t="shared" ca="1" si="0"/>
        <v>145.34368562171613</v>
      </c>
      <c r="F9" s="154">
        <f t="shared" ca="1" si="1"/>
        <v>70.637031212154042</v>
      </c>
      <c r="G9" s="154">
        <f ca="1">F9*(100%-'Données projet'!$C$24)*(100%-'Données projet'!$C$25)*(100%-'Données projet'!$C$26)*(100%-'Données projet'!$C$27)</f>
        <v>63.573328090938638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ca="1" si="2"/>
        <v>63.573328090938638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Alisier torminal</v>
      </c>
      <c r="B10" s="161">
        <f>'Données projet'!D13</f>
        <v>0.27</v>
      </c>
      <c r="C10" s="154">
        <f ca="1">IF(OR('Données projet'!B13="",'Données projet'!C13="",'Données projet'!C13=0%),0,Calculateur!CY3)</f>
        <v>455.50822833641354</v>
      </c>
      <c r="D10" s="154">
        <f>IF(OR('Données projet'!B13="",'Données projet'!C13="",'Données projet'!C13=0%),0,Calculateur!CZ3)</f>
        <v>261.14722581688039</v>
      </c>
      <c r="E10" s="154">
        <f t="shared" ca="1" si="0"/>
        <v>261.14722581688039</v>
      </c>
      <c r="F10" s="154">
        <f t="shared" ca="1" si="1"/>
        <v>70.509750970557704</v>
      </c>
      <c r="G10" s="154">
        <f ca="1">F10*(100%-'Données projet'!$C$24)*(100%-'Données projet'!$C$25)*(100%-'Données projet'!$C$26)*(100%-'Données projet'!$C$27)</f>
        <v>63.458775873501935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1.9575</v>
      </c>
      <c r="K10" s="158">
        <f>J10*(100%-'Données projet'!$C$24)*(100%-'Données projet'!$C$25)*(100%-'Données projet'!$C$26)*(100%-'Données projet'!$C$27)</f>
        <v>1.7617500000000001</v>
      </c>
      <c r="L10" s="159">
        <f t="shared" ca="1" si="2"/>
        <v>65.220525873501941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Cormier</v>
      </c>
      <c r="B11" s="161">
        <f>'Données projet'!D14</f>
        <v>0.27</v>
      </c>
      <c r="C11" s="154">
        <f ca="1">IF(OR('Données projet'!B14="",'Données projet'!C14="",'Données projet'!C14=0%),0,Calculateur!DT3)</f>
        <v>502.07782026233912</v>
      </c>
      <c r="D11" s="154">
        <f>IF(OR('Données projet'!B14="",'Données projet'!C14="",'Données projet'!C14=0%),0,Calculateur!DU3)</f>
        <v>285.83623046025156</v>
      </c>
      <c r="E11" s="154">
        <f t="shared" ca="1" si="0"/>
        <v>285.83623046025156</v>
      </c>
      <c r="F11" s="154">
        <f t="shared" ca="1" si="1"/>
        <v>77.17578222426792</v>
      </c>
      <c r="G11" s="154">
        <f ca="1">F11*(100%-'Données projet'!$C$24)*(100%-'Données projet'!$C$25)*(100%-'Données projet'!$C$26)*(100%-'Données projet'!$C$27)</f>
        <v>69.458204001841125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1.9575</v>
      </c>
      <c r="K11" s="158">
        <f>J11*(100%-'Données projet'!$C$24)*(100%-'Données projet'!$C$25)*(100%-'Données projet'!$C$26)*(100%-'Données projet'!$C$27)</f>
        <v>1.7617500000000001</v>
      </c>
      <c r="L11" s="159">
        <f t="shared" ca="1" si="2"/>
        <v>71.219954001841131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Chêne sessile</v>
      </c>
      <c r="B12" s="161">
        <f>'Données projet'!D15</f>
        <v>3.6180000000000003</v>
      </c>
      <c r="C12" s="154">
        <f ca="1">IF(OR('Données projet'!B15="",'Données projet'!C15="",'Données projet'!C15=0%),0,Calculateur!EO3)</f>
        <v>428.8489304403459</v>
      </c>
      <c r="D12" s="154">
        <f>IF(OR('Données projet'!B15="",'Données projet'!C15="",'Données projet'!C15=0%),0,Calculateur!EP3)</f>
        <v>247.01165577562966</v>
      </c>
      <c r="E12" s="154">
        <f t="shared" ca="1" si="0"/>
        <v>247.01165577562966</v>
      </c>
      <c r="F12" s="154">
        <f t="shared" ca="1" si="1"/>
        <v>893.68817059622825</v>
      </c>
      <c r="G12" s="154">
        <f ca="1">F12*(100%-'Données projet'!$C$24)*(100%-'Données projet'!$C$25)*(100%-'Données projet'!$C$26)*(100%-'Données projet'!$C$27)</f>
        <v>804.31935353660549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26.230500000000003</v>
      </c>
      <c r="K12" s="158">
        <f>J12*(100%-'Données projet'!$C$24)*(100%-'Données projet'!$C$25)*(100%-'Données projet'!$C$26)*(100%-'Données projet'!$C$27)</f>
        <v>23.607450000000004</v>
      </c>
      <c r="L12" s="159">
        <f t="shared" ca="1" si="2"/>
        <v>827.92680353660546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1338.7267062919968</v>
      </c>
      <c r="G16" s="173">
        <f t="shared" ca="1" si="3"/>
        <v>1204.8540356627973</v>
      </c>
      <c r="H16" s="174">
        <f t="shared" si="3"/>
        <v>0</v>
      </c>
      <c r="I16" s="174">
        <f t="shared" si="3"/>
        <v>0</v>
      </c>
      <c r="J16" s="175">
        <f t="shared" si="3"/>
        <v>37.657038461538463</v>
      </c>
      <c r="K16" s="175">
        <f t="shared" si="3"/>
        <v>33.891334615384622</v>
      </c>
      <c r="L16" s="176">
        <f t="shared" ca="1" si="3"/>
        <v>1238.745370278182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/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/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Charme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Cèdre de l'Atlas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Alisier torminal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Cormier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Chêne sessile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A80" zoomScale="55" zoomScaleNormal="55" workbookViewId="0">
      <selection activeCell="C90" sqref="C9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/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88">
        <f>'Données projet'!D9</f>
        <v>0</v>
      </c>
      <c r="V10" s="187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/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88">
        <f>'Données projet'!D10</f>
        <v>0</v>
      </c>
      <c r="V11" s="187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Charme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453.78192685434806</v>
      </c>
      <c r="U12" s="188">
        <f>'Données projet'!D11</f>
        <v>0.75600000000000012</v>
      </c>
      <c r="V12" s="187">
        <f t="shared" ref="V12:V19" si="1">U12*T12</f>
        <v>343.05913670188721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Cèdre de l'Atlas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708.34314416221252</v>
      </c>
      <c r="U13" s="188">
        <f>'Données projet'!D12</f>
        <v>0.48599999999999999</v>
      </c>
      <c r="V13" s="187">
        <f t="shared" si="1"/>
        <v>344.2547680628353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/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Alisier torminal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591.87660484177854</v>
      </c>
      <c r="U14" s="188">
        <f>'Données projet'!D13</f>
        <v>0.27</v>
      </c>
      <c r="V14" s="187">
        <f t="shared" si="1"/>
        <v>159.80668330728022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25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Cormier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591.87660484177854</v>
      </c>
      <c r="U15" s="188">
        <f>'Données projet'!D14</f>
        <v>0.27</v>
      </c>
      <c r="V15" s="187">
        <f t="shared" si="1"/>
        <v>159.80668330728022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/>
      <c r="O16" s="25"/>
      <c r="P16" s="25"/>
      <c r="Q16" s="263"/>
      <c r="R16" s="25"/>
      <c r="S16" s="183" t="str">
        <f>B200</f>
        <v>Chêne sessile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591.87660484177854</v>
      </c>
      <c r="U16" s="188">
        <f>'Données projet'!D15</f>
        <v>3.6180000000000003</v>
      </c>
      <c r="V16" s="187">
        <f t="shared" si="1"/>
        <v>2141.4095563175551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5"/>
      <c r="H20" s="201">
        <v>0</v>
      </c>
      <c r="I20" s="202">
        <v>7000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-34651.663172303161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0</v>
      </c>
      <c r="B24" s="191">
        <f>'Données projet'!D37</f>
        <v>0</v>
      </c>
      <c r="C24" s="204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0</v>
      </c>
      <c r="B25" s="191">
        <f>'Données projet'!D38</f>
        <v>0</v>
      </c>
      <c r="C25" s="204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9">
        <f ca="1">T23-T24</f>
        <v>-34651.663172303161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0</v>
      </c>
      <c r="B26" s="191">
        <f>'Données projet'!D39</f>
        <v>0</v>
      </c>
      <c r="C26" s="204"/>
      <c r="D26" s="192">
        <f t="shared" si="2"/>
        <v>0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0</v>
      </c>
      <c r="B27" s="191">
        <f>'Données projet'!D40</f>
        <v>0</v>
      </c>
      <c r="C27" s="204"/>
      <c r="D27" s="192">
        <f t="shared" si="2"/>
        <v>0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0</v>
      </c>
      <c r="B28" s="191">
        <f>'Données projet'!D41</f>
        <v>0</v>
      </c>
      <c r="C28" s="204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0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0</v>
      </c>
      <c r="B30" s="191">
        <f>'Données projet'!D43</f>
        <v>0</v>
      </c>
      <c r="C30" s="204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0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0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0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/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0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0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0</v>
      </c>
      <c r="B56" s="191">
        <f>'Données projet'!D64</f>
        <v>0</v>
      </c>
      <c r="C56" s="202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0</v>
      </c>
      <c r="B57" s="191">
        <f>'Données projet'!D65</f>
        <v>0</v>
      </c>
      <c r="C57" s="202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0</v>
      </c>
      <c r="B58" s="191">
        <f>'Données projet'!D66</f>
        <v>0</v>
      </c>
      <c r="C58" s="202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0</v>
      </c>
      <c r="B59" s="191">
        <f>'Données projet'!D67</f>
        <v>0</v>
      </c>
      <c r="C59" s="202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0</v>
      </c>
      <c r="B60" s="191">
        <f>'Données projet'!D68</f>
        <v>0</v>
      </c>
      <c r="C60" s="202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0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0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0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Charme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15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20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25</v>
      </c>
      <c r="B87" s="191">
        <f>'Données projet'!D90</f>
        <v>0</v>
      </c>
      <c r="C87" s="202">
        <v>10</v>
      </c>
      <c r="D87" s="189">
        <f>B87*C87</f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30</v>
      </c>
      <c r="B88" s="191">
        <f>'Données projet'!D91</f>
        <v>39.743589743589745</v>
      </c>
      <c r="C88" s="202">
        <v>10</v>
      </c>
      <c r="D88" s="189">
        <f>B88*C88</f>
        <v>397.43589743589746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35</v>
      </c>
      <c r="B89" s="191">
        <f>'Données projet'!D92</f>
        <v>0</v>
      </c>
      <c r="C89" s="202">
        <v>10</v>
      </c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40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45</v>
      </c>
      <c r="B91" s="191">
        <f>'Données projet'!D94</f>
        <v>41.666666666666664</v>
      </c>
      <c r="C91" s="202">
        <v>15</v>
      </c>
      <c r="D91" s="189">
        <f t="shared" si="6"/>
        <v>625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50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55</v>
      </c>
      <c r="B93" s="191">
        <f>'Données projet'!D96</f>
        <v>28.205128205128204</v>
      </c>
      <c r="C93" s="202">
        <v>20</v>
      </c>
      <c r="D93" s="189">
        <f t="shared" si="6"/>
        <v>564.10256410256409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60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65</v>
      </c>
      <c r="B95" s="191">
        <f>'Données projet'!D98</f>
        <v>28.205128205128204</v>
      </c>
      <c r="C95" s="202">
        <v>25</v>
      </c>
      <c r="D95" s="189">
        <f t="shared" si="6"/>
        <v>705.12820512820508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70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75</v>
      </c>
      <c r="B97" s="191">
        <f>'Données projet'!D100</f>
        <v>26.923076923076923</v>
      </c>
      <c r="C97" s="202">
        <v>30</v>
      </c>
      <c r="D97" s="189">
        <f t="shared" si="6"/>
        <v>807.69230769230774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80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85</v>
      </c>
      <c r="B99" s="191">
        <f>'Données projet'!D102</f>
        <v>25.641025641025639</v>
      </c>
      <c r="C99" s="202">
        <v>40</v>
      </c>
      <c r="D99" s="189">
        <f t="shared" si="6"/>
        <v>1025.6410256410256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90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95</v>
      </c>
      <c r="B101" s="191">
        <f>'Données projet'!D104</f>
        <v>23.717948717948715</v>
      </c>
      <c r="C101" s="202">
        <v>50</v>
      </c>
      <c r="D101" s="189">
        <f t="shared" si="6"/>
        <v>1185.8974358974358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100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110</v>
      </c>
      <c r="B103" s="191">
        <f>'Données projet'!D106</f>
        <v>33.333333333333336</v>
      </c>
      <c r="C103" s="202">
        <v>60</v>
      </c>
      <c r="D103" s="189">
        <f t="shared" si="6"/>
        <v>2000.0000000000002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120</v>
      </c>
      <c r="B104" s="191">
        <f>'Données projet'!D107</f>
        <v>251.28205128205127</v>
      </c>
      <c r="C104" s="202">
        <v>65</v>
      </c>
      <c r="D104" s="189">
        <f t="shared" si="6"/>
        <v>16333.333333333332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0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0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0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Cèdre de l'Atlas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0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0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7"/>
        <v>0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7"/>
        <v>0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7"/>
        <v>0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7"/>
        <v>0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7"/>
        <v>0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>
        <f>IF(O113+1&lt;=MIN('Données projet'!$E$9:$E$18),O113+1,"STOP")</f>
        <v>81</v>
      </c>
      <c r="P114" s="195">
        <f t="shared" si="7"/>
        <v>0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>
        <f>IF(O114+1&lt;=MIN('Données projet'!$E$9:$E$18),O114+1,"STOP")</f>
        <v>82</v>
      </c>
      <c r="P115" s="195">
        <f t="shared" si="7"/>
        <v>0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30</v>
      </c>
      <c r="B116" s="191">
        <f>'Données projet'!D114</f>
        <v>0</v>
      </c>
      <c r="C116" s="202">
        <v>10</v>
      </c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>
        <f>IF(O115+1&lt;=MIN('Données projet'!$E$9:$E$18),O115+1,"STOP")</f>
        <v>83</v>
      </c>
      <c r="P116" s="195">
        <f t="shared" si="7"/>
        <v>0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51</v>
      </c>
      <c r="B117" s="191">
        <f>'Données projet'!D115</f>
        <v>100</v>
      </c>
      <c r="C117" s="202">
        <v>15</v>
      </c>
      <c r="D117" s="189">
        <f t="shared" ref="D117:D135" si="8">B117*C117</f>
        <v>1500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>
        <f>IF(O116+1&lt;=MIN('Données projet'!$E$9:$E$18),O116+1,"STOP")</f>
        <v>84</v>
      </c>
      <c r="P117" s="195">
        <f t="shared" si="7"/>
        <v>0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63</v>
      </c>
      <c r="B118" s="191">
        <f>'Données projet'!D116</f>
        <v>108.46153846153845</v>
      </c>
      <c r="C118" s="202">
        <v>20</v>
      </c>
      <c r="D118" s="189">
        <f t="shared" si="8"/>
        <v>2169.2307692307691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>
        <f>IF(O117+1&lt;=MIN('Données projet'!$E$9:$E$18),O117+1,"STOP")</f>
        <v>85</v>
      </c>
      <c r="P118" s="195">
        <f t="shared" si="7"/>
        <v>0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75</v>
      </c>
      <c r="B119" s="191">
        <f>'Données projet'!D117</f>
        <v>85.384615384615415</v>
      </c>
      <c r="C119" s="202">
        <v>30</v>
      </c>
      <c r="D119" s="189">
        <f t="shared" si="8"/>
        <v>2561.5384615384623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>
        <f>IF(O118+1&lt;=MIN('Données projet'!$E$9:$E$18),O118+1,"STOP")</f>
        <v>86</v>
      </c>
      <c r="P119" s="195">
        <f t="shared" si="7"/>
        <v>0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87</v>
      </c>
      <c r="B120" s="191">
        <f>'Données projet'!D118</f>
        <v>83.076923076923038</v>
      </c>
      <c r="C120" s="202">
        <v>40</v>
      </c>
      <c r="D120" s="189">
        <f t="shared" si="8"/>
        <v>3323.0769230769215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>
        <f>IF(O119+1&lt;=MIN('Données projet'!$E$9:$E$18),O119+1,"STOP")</f>
        <v>87</v>
      </c>
      <c r="P120" s="195">
        <f t="shared" si="7"/>
        <v>0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99</v>
      </c>
      <c r="B121" s="191">
        <f>'Données projet'!D119</f>
        <v>198.46153846153845</v>
      </c>
      <c r="C121" s="202">
        <v>50</v>
      </c>
      <c r="D121" s="189">
        <f t="shared" si="8"/>
        <v>9923.076923076922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>
        <f>IF(O120+1&lt;=MIN('Données projet'!$E$9:$E$18),O120+1,"STOP")</f>
        <v>88</v>
      </c>
      <c r="P121" s="195">
        <f t="shared" si="7"/>
        <v>0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109</v>
      </c>
      <c r="B122" s="191">
        <f>'Données projet'!D120</f>
        <v>243.06569343065692</v>
      </c>
      <c r="C122" s="202">
        <v>60</v>
      </c>
      <c r="D122" s="189">
        <f t="shared" si="8"/>
        <v>14583.941605839414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>
        <f>IF(O121+1&lt;=MIN('Données projet'!$E$9:$E$18),O121+1,"STOP")</f>
        <v>89</v>
      </c>
      <c r="P122" s="195">
        <f t="shared" si="7"/>
        <v>0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0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>
        <f>IF(O122+1&lt;=MIN('Données projet'!$E$9:$E$18),O122+1,"STOP")</f>
        <v>90</v>
      </c>
      <c r="P123" s="195">
        <f t="shared" si="7"/>
        <v>0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0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>
        <f>IF(O123+1&lt;=MIN('Données projet'!$E$9:$E$18),O123+1,"STOP")</f>
        <v>91</v>
      </c>
      <c r="P124" s="195">
        <f t="shared" si="7"/>
        <v>0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>
        <f>IF(O124+1&lt;=MIN('Données projet'!$E$9:$E$18),O124+1,"STOP")</f>
        <v>92</v>
      </c>
      <c r="P125" s="195">
        <f t="shared" si="7"/>
        <v>0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>
        <f>IF(O125+1&lt;=MIN('Données projet'!$E$9:$E$18),O125+1,"STOP")</f>
        <v>93</v>
      </c>
      <c r="P126" s="195">
        <f t="shared" si="7"/>
        <v>0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>
        <f>IF(O126+1&lt;=MIN('Données projet'!$E$9:$E$18),O126+1,"STOP")</f>
        <v>94</v>
      </c>
      <c r="P127" s="195">
        <f t="shared" si="7"/>
        <v>0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>
        <f>IF(O127+1&lt;=MIN('Données projet'!$E$9:$E$18),O127+1,"STOP")</f>
        <v>95</v>
      </c>
      <c r="P128" s="195">
        <f t="shared" si="7"/>
        <v>0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>
        <f>IF(O128+1&lt;=MIN('Données projet'!$E$9:$E$18),O128+1,"STOP")</f>
        <v>96</v>
      </c>
      <c r="P129" s="195">
        <f t="shared" ref="P129:P132" si="9">$P$25/(1+$M$4)^O129</f>
        <v>0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>
        <f>IF(O129+1&lt;=MIN('Données projet'!$E$9:$E$18),O129+1,"STOP")</f>
        <v>97</v>
      </c>
      <c r="P130" s="195">
        <f t="shared" si="9"/>
        <v>0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>
        <f>IF(O130+1&lt;=MIN('Données projet'!$E$9:$E$18),O130+1,"STOP")</f>
        <v>98</v>
      </c>
      <c r="P131" s="195">
        <f t="shared" si="9"/>
        <v>0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>
        <f>IF(O131+1&lt;=MIN('Données projet'!$E$9:$E$18),O131+1,"STOP")</f>
        <v>99</v>
      </c>
      <c r="P132" s="195">
        <f t="shared" si="9"/>
        <v>0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Alisier torminal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5">
        <f>'Données projet'!D140</f>
        <v>0</v>
      </c>
      <c r="C147" s="204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5">
        <f>'Données projet'!D141</f>
        <v>0</v>
      </c>
      <c r="C148" s="204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5">
        <f>'Données projet'!D142</f>
        <v>29</v>
      </c>
      <c r="C149" s="204">
        <v>10</v>
      </c>
      <c r="D149" s="192">
        <f t="shared" si="10"/>
        <v>290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5">
        <f>'Données projet'!D143</f>
        <v>0</v>
      </c>
      <c r="C150" s="204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5">
        <f>'Données projet'!D144</f>
        <v>42</v>
      </c>
      <c r="C151" s="204">
        <v>10</v>
      </c>
      <c r="D151" s="192">
        <f t="shared" si="10"/>
        <v>420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5">
        <f>'Données projet'!D145</f>
        <v>0</v>
      </c>
      <c r="C152" s="204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5">
        <f>'Données projet'!D146</f>
        <v>42</v>
      </c>
      <c r="C153" s="204">
        <v>10</v>
      </c>
      <c r="D153" s="192">
        <f t="shared" si="10"/>
        <v>420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5">
        <f>'Données projet'!D147</f>
        <v>0</v>
      </c>
      <c r="C154" s="204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5">
        <f>'Données projet'!D148</f>
        <v>42</v>
      </c>
      <c r="C155" s="204">
        <v>20</v>
      </c>
      <c r="D155" s="192">
        <f t="shared" si="10"/>
        <v>840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5">
        <f>'Données projet'!D149</f>
        <v>0</v>
      </c>
      <c r="C156" s="204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5">
        <f>'Données projet'!D150</f>
        <v>42</v>
      </c>
      <c r="C157" s="204">
        <v>30</v>
      </c>
      <c r="D157" s="192">
        <f t="shared" si="10"/>
        <v>1260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5">
        <f>'Données projet'!D151</f>
        <v>0</v>
      </c>
      <c r="C158" s="204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5">
        <f>'Données projet'!D152</f>
        <v>42</v>
      </c>
      <c r="C159" s="204">
        <v>40</v>
      </c>
      <c r="D159" s="192">
        <f t="shared" si="10"/>
        <v>1680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90</v>
      </c>
      <c r="B160" s="185">
        <f>'Données projet'!D153</f>
        <v>42</v>
      </c>
      <c r="C160" s="204">
        <v>50</v>
      </c>
      <c r="D160" s="192">
        <f t="shared" si="10"/>
        <v>2100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100</v>
      </c>
      <c r="B161" s="185">
        <f>'Données projet'!D154</f>
        <v>42</v>
      </c>
      <c r="C161" s="204">
        <v>70</v>
      </c>
      <c r="D161" s="192">
        <f t="shared" si="10"/>
        <v>2940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110</v>
      </c>
      <c r="B162" s="185">
        <f>'Données projet'!D155</f>
        <v>39</v>
      </c>
      <c r="C162" s="204">
        <v>100</v>
      </c>
      <c r="D162" s="192">
        <f t="shared" si="10"/>
        <v>3900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120</v>
      </c>
      <c r="B163" s="185">
        <f>'Données projet'!D156</f>
        <v>35</v>
      </c>
      <c r="C163" s="204">
        <v>120</v>
      </c>
      <c r="D163" s="192">
        <f t="shared" si="10"/>
        <v>4200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130</v>
      </c>
      <c r="B164" s="185">
        <f>'Données projet'!D157</f>
        <v>31</v>
      </c>
      <c r="C164" s="204">
        <v>120</v>
      </c>
      <c r="D164" s="192">
        <f t="shared" si="10"/>
        <v>3720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140</v>
      </c>
      <c r="B165" s="185">
        <f>'Données projet'!D158</f>
        <v>27</v>
      </c>
      <c r="C165" s="204">
        <v>150</v>
      </c>
      <c r="D165" s="192">
        <f t="shared" si="10"/>
        <v>4050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5">
        <f>'Données projet'!D159</f>
        <v>293</v>
      </c>
      <c r="C166" s="204">
        <v>200</v>
      </c>
      <c r="D166" s="192">
        <f t="shared" si="10"/>
        <v>58600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Cormier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20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25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30</v>
      </c>
      <c r="B180" s="191">
        <f>'Données projet'!D168</f>
        <v>29</v>
      </c>
      <c r="C180" s="204">
        <v>10</v>
      </c>
      <c r="D180" s="189">
        <f t="shared" si="11"/>
        <v>290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35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40</v>
      </c>
      <c r="B182" s="191">
        <f>'Données projet'!D170</f>
        <v>42</v>
      </c>
      <c r="C182" s="204">
        <v>10</v>
      </c>
      <c r="D182" s="189">
        <f t="shared" si="11"/>
        <v>420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45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50</v>
      </c>
      <c r="B184" s="191">
        <f>'Données projet'!D172</f>
        <v>42</v>
      </c>
      <c r="C184" s="204">
        <v>10</v>
      </c>
      <c r="D184" s="189">
        <f t="shared" si="11"/>
        <v>420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55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60</v>
      </c>
      <c r="B186" s="191">
        <f>'Données projet'!D174</f>
        <v>42</v>
      </c>
      <c r="C186" s="204">
        <v>20</v>
      </c>
      <c r="D186" s="189">
        <f t="shared" si="11"/>
        <v>840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65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70</v>
      </c>
      <c r="B188" s="191">
        <f>'Données projet'!D176</f>
        <v>42</v>
      </c>
      <c r="C188" s="204">
        <v>30</v>
      </c>
      <c r="D188" s="189">
        <f t="shared" si="11"/>
        <v>1260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75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80</v>
      </c>
      <c r="B190" s="191">
        <f>'Données projet'!D178</f>
        <v>42</v>
      </c>
      <c r="C190" s="204">
        <v>40</v>
      </c>
      <c r="D190" s="189">
        <f t="shared" si="11"/>
        <v>1680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90</v>
      </c>
      <c r="B191" s="191">
        <f>'Données projet'!D179</f>
        <v>42</v>
      </c>
      <c r="C191" s="204">
        <v>50</v>
      </c>
      <c r="D191" s="189">
        <f t="shared" si="11"/>
        <v>2100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100</v>
      </c>
      <c r="B192" s="191">
        <f>'Données projet'!D180</f>
        <v>42</v>
      </c>
      <c r="C192" s="204">
        <v>70</v>
      </c>
      <c r="D192" s="189">
        <f t="shared" si="11"/>
        <v>2940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110</v>
      </c>
      <c r="B193" s="191">
        <f>'Données projet'!D181</f>
        <v>39</v>
      </c>
      <c r="C193" s="204">
        <v>100</v>
      </c>
      <c r="D193" s="189">
        <f t="shared" si="11"/>
        <v>3900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120</v>
      </c>
      <c r="B194" s="191">
        <f>'Données projet'!D182</f>
        <v>35</v>
      </c>
      <c r="C194" s="204">
        <v>120</v>
      </c>
      <c r="D194" s="189">
        <f t="shared" si="11"/>
        <v>4200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130</v>
      </c>
      <c r="B195" s="191">
        <f>'Données projet'!D183</f>
        <v>31</v>
      </c>
      <c r="C195" s="204">
        <v>120</v>
      </c>
      <c r="D195" s="189">
        <f t="shared" si="11"/>
        <v>3720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140</v>
      </c>
      <c r="B196" s="191">
        <f>'Données projet'!D184</f>
        <v>27</v>
      </c>
      <c r="C196" s="204">
        <v>150</v>
      </c>
      <c r="D196" s="189">
        <f t="shared" si="11"/>
        <v>4050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150</v>
      </c>
      <c r="B197" s="191">
        <f>'Données projet'!D185</f>
        <v>293</v>
      </c>
      <c r="C197" s="204">
        <v>200</v>
      </c>
      <c r="D197" s="189">
        <f t="shared" si="11"/>
        <v>58600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Chêne sessile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20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25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30</v>
      </c>
      <c r="B211" s="191">
        <f>'Données projet'!D194</f>
        <v>29</v>
      </c>
      <c r="C211" s="204">
        <v>10</v>
      </c>
      <c r="D211" s="189">
        <f t="shared" si="12"/>
        <v>290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35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40</v>
      </c>
      <c r="B213" s="191">
        <f>'Données projet'!D196</f>
        <v>42</v>
      </c>
      <c r="C213" s="204">
        <v>10</v>
      </c>
      <c r="D213" s="189">
        <f t="shared" si="12"/>
        <v>420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45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50</v>
      </c>
      <c r="B215" s="191">
        <f>'Données projet'!D198</f>
        <v>42</v>
      </c>
      <c r="C215" s="204">
        <v>10</v>
      </c>
      <c r="D215" s="189">
        <f t="shared" si="12"/>
        <v>420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55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60</v>
      </c>
      <c r="B217" s="191">
        <f>'Données projet'!D200</f>
        <v>42</v>
      </c>
      <c r="C217" s="204">
        <v>20</v>
      </c>
      <c r="D217" s="189">
        <f t="shared" si="12"/>
        <v>840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65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70</v>
      </c>
      <c r="B219" s="191">
        <f>'Données projet'!D202</f>
        <v>42</v>
      </c>
      <c r="C219" s="204">
        <v>30</v>
      </c>
      <c r="D219" s="189">
        <f t="shared" si="12"/>
        <v>1260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75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80</v>
      </c>
      <c r="B221" s="191">
        <f>'Données projet'!D204</f>
        <v>42</v>
      </c>
      <c r="C221" s="204">
        <v>40</v>
      </c>
      <c r="D221" s="189">
        <f t="shared" si="12"/>
        <v>1680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90</v>
      </c>
      <c r="B222" s="191">
        <f>'Données projet'!D205</f>
        <v>42</v>
      </c>
      <c r="C222" s="204">
        <v>50</v>
      </c>
      <c r="D222" s="189">
        <f t="shared" si="12"/>
        <v>2100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100</v>
      </c>
      <c r="B223" s="191">
        <f>'Données projet'!D206</f>
        <v>42</v>
      </c>
      <c r="C223" s="204">
        <v>70</v>
      </c>
      <c r="D223" s="189">
        <f t="shared" si="12"/>
        <v>2940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110</v>
      </c>
      <c r="B224" s="191">
        <f>'Données projet'!D207</f>
        <v>39</v>
      </c>
      <c r="C224" s="204">
        <v>100</v>
      </c>
      <c r="D224" s="189">
        <f t="shared" si="12"/>
        <v>3900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120</v>
      </c>
      <c r="B225" s="191">
        <f>'Données projet'!D208</f>
        <v>35</v>
      </c>
      <c r="C225" s="204">
        <v>120</v>
      </c>
      <c r="D225" s="189">
        <f t="shared" si="12"/>
        <v>4200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130</v>
      </c>
      <c r="B226" s="191">
        <f>'Données projet'!D209</f>
        <v>31</v>
      </c>
      <c r="C226" s="204">
        <v>120</v>
      </c>
      <c r="D226" s="189">
        <f t="shared" si="12"/>
        <v>3720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140</v>
      </c>
      <c r="B227" s="191">
        <f>'Données projet'!D210</f>
        <v>27</v>
      </c>
      <c r="C227" s="204">
        <v>150</v>
      </c>
      <c r="D227" s="189">
        <f t="shared" si="12"/>
        <v>4050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150</v>
      </c>
      <c r="B228" s="191">
        <f>'Données projet'!D211</f>
        <v>293</v>
      </c>
      <c r="C228" s="204">
        <v>200</v>
      </c>
      <c r="D228" s="189">
        <f t="shared" si="12"/>
        <v>58600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2023-02-27T13:08:25Z</dcterms:modified>
</cp:coreProperties>
</file>