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DossiersLBC/EST (LW)/2SAUB-123 - La Cave/"/>
    </mc:Choice>
  </mc:AlternateContent>
  <xr:revisionPtr revIDLastSave="162" documentId="8_{29C1BB86-601D-4629-B943-B8EAB0753E16}" xr6:coauthVersionLast="47" xr6:coauthVersionMax="47" xr10:uidLastSave="{9E5DE6DA-1CDB-46BF-A1B9-9353D13E8625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B36" i="1"/>
  <c r="I20" i="6"/>
  <c r="E17" i="6"/>
  <c r="I22" i="6"/>
  <c r="I21" i="6"/>
  <c r="E141" i="6"/>
  <c r="E143" i="6" s="1"/>
  <c r="E110" i="6" l="1"/>
  <c r="E112" i="6" s="1"/>
  <c r="E79" i="6"/>
  <c r="E81" i="6" s="1"/>
  <c r="E50" i="6"/>
  <c r="E4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EY154" i="2"/>
  <c r="EA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Y155" i="2"/>
  <c r="EB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EA161" i="2"/>
  <c r="EX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Y161" i="2"/>
  <c r="EC162" i="2"/>
  <c r="DI161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X164" i="2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A165" i="2"/>
  <c r="HG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EX167" i="2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Y171" i="2"/>
  <c r="EV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EV179" i="2"/>
  <c r="DF179" i="2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EB195" i="2"/>
  <c r="EY194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EY198" i="2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DI200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AX200" i="2"/>
  <c r="EY202" i="2" l="1"/>
  <c r="CS116" i="2" a="1"/>
  <c r="CS116" i="2" s="1"/>
  <c r="CS38" i="2" a="1"/>
  <c r="CS38" i="2" s="1"/>
  <c r="CS66" i="2" a="1"/>
  <c r="CS66" i="2" s="1"/>
  <c r="EI198" i="2" a="1"/>
  <c r="EI198" i="2" s="1"/>
  <c r="BX107" i="2" a="1"/>
  <c r="BX107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CY147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Y66" i="2" l="1"/>
  <c r="CY187" i="2"/>
  <c r="CY36" i="2"/>
  <c r="CY180" i="2"/>
  <c r="CY110" i="2"/>
  <c r="CY113" i="2"/>
  <c r="CY167" i="2"/>
  <c r="CY19" i="2"/>
  <c r="CY172" i="2"/>
  <c r="CY149" i="2"/>
  <c r="CY126" i="2"/>
  <c r="CY114" i="2"/>
  <c r="CY92" i="2"/>
  <c r="CY33" i="2"/>
  <c r="CY191" i="2"/>
  <c r="CY132" i="2"/>
  <c r="CY62" i="2"/>
  <c r="CY100" i="2"/>
  <c r="CY102" i="2"/>
  <c r="CY98" i="2"/>
  <c r="CY106" i="2"/>
  <c r="CY37" i="2"/>
  <c r="CY203" i="2"/>
  <c r="CY34" i="2"/>
  <c r="CY48" i="2"/>
  <c r="CY78" i="2"/>
  <c r="CY148" i="2"/>
  <c r="CY59" i="2"/>
  <c r="CY141" i="2"/>
  <c r="CY125" i="2"/>
  <c r="CY13" i="2"/>
  <c r="CY117" i="2"/>
  <c r="CY136" i="2"/>
  <c r="CY99" i="2"/>
  <c r="CY107" i="2"/>
  <c r="CY159" i="2"/>
  <c r="CY144" i="2"/>
  <c r="CY80" i="2"/>
  <c r="CY63" i="2"/>
  <c r="CY165" i="2"/>
  <c r="CY82" i="2"/>
  <c r="CY179" i="2"/>
  <c r="CY105" i="2"/>
  <c r="CY184" i="2"/>
  <c r="CY109" i="2"/>
  <c r="CY190" i="2"/>
  <c r="CY118" i="2"/>
  <c r="CY20" i="2"/>
  <c r="CY160" i="2"/>
  <c r="CY14" i="2"/>
  <c r="CY10" i="2"/>
  <c r="CY161" i="2"/>
  <c r="CY88" i="2"/>
  <c r="CY143" i="2"/>
  <c r="CY57" i="2"/>
  <c r="CY139" i="2"/>
  <c r="CY30" i="2"/>
  <c r="CY24" i="2"/>
  <c r="CY46" i="2"/>
  <c r="CY25" i="2"/>
  <c r="CY70" i="2"/>
  <c r="CY23" i="2"/>
  <c r="CY145" i="2"/>
  <c r="CY116" i="2"/>
  <c r="CY3" i="2"/>
  <c r="C10" i="4" s="1"/>
  <c r="E10" i="4" s="1"/>
  <c r="F10" i="4" s="1"/>
  <c r="G10" i="4" s="1"/>
  <c r="L10" i="4" s="1"/>
  <c r="CY150" i="2"/>
  <c r="CY52" i="2"/>
  <c r="CY131" i="2"/>
  <c r="CY104" i="2"/>
  <c r="CY194" i="2"/>
  <c r="CY53" i="2"/>
  <c r="CY122" i="2"/>
  <c r="CY17" i="2"/>
  <c r="CY138" i="2"/>
  <c r="CY7" i="2"/>
  <c r="CY175" i="2"/>
  <c r="CY182" i="2"/>
  <c r="CY120" i="2"/>
  <c r="CY154" i="2"/>
  <c r="CY163" i="2"/>
  <c r="CY186" i="2"/>
  <c r="CY95" i="2"/>
  <c r="CY4" i="2"/>
  <c r="CY156" i="2"/>
  <c r="CY43" i="2"/>
  <c r="CY29" i="2"/>
  <c r="CY74" i="2"/>
  <c r="CY67" i="2"/>
  <c r="CY173" i="2"/>
  <c r="CY56" i="2"/>
  <c r="CY115" i="2"/>
  <c r="CY9" i="2"/>
  <c r="CY135" i="2"/>
  <c r="CY86" i="2"/>
  <c r="CY176" i="2"/>
  <c r="CY166" i="2"/>
  <c r="CY61" i="2"/>
  <c r="CY44" i="2"/>
  <c r="CY60" i="2"/>
  <c r="CY152" i="2"/>
  <c r="CY178" i="2"/>
  <c r="CY75" i="2"/>
  <c r="CY134" i="2"/>
  <c r="CY146" i="2"/>
  <c r="CY27" i="2"/>
  <c r="CY101" i="2"/>
  <c r="CY35" i="2"/>
  <c r="CY202" i="2"/>
  <c r="CY87" i="2"/>
  <c r="CY189" i="2"/>
  <c r="CY94" i="2"/>
  <c r="CY18" i="2"/>
  <c r="CY108" i="2"/>
  <c r="CY157" i="2"/>
  <c r="CY128" i="2"/>
  <c r="CY49" i="2"/>
  <c r="CY119" i="2"/>
  <c r="CY65" i="2"/>
  <c r="CY169" i="2"/>
  <c r="CY54" i="2"/>
  <c r="CY83" i="2"/>
  <c r="CY28" i="2"/>
  <c r="CY201" i="2"/>
  <c r="CY181" i="2"/>
  <c r="CY50" i="2"/>
  <c r="CY21" i="2"/>
  <c r="CY11" i="2"/>
  <c r="CY32" i="2"/>
  <c r="CY97" i="2"/>
  <c r="CY124" i="2"/>
  <c r="CY164" i="2"/>
  <c r="CY200" i="2"/>
  <c r="CY42" i="2"/>
  <c r="CY38" i="2"/>
  <c r="CY158" i="2"/>
  <c r="CY16" i="2"/>
  <c r="CY196" i="2"/>
  <c r="CY6" i="2"/>
  <c r="CY111" i="2"/>
  <c r="CY195" i="2"/>
  <c r="CY185" i="2"/>
  <c r="CY91" i="2"/>
  <c r="CY142" i="2"/>
  <c r="CY127" i="2"/>
  <c r="CY130" i="2"/>
  <c r="CY81" i="2"/>
  <c r="CY69" i="2"/>
  <c r="CY121" i="2"/>
  <c r="CY89" i="2"/>
  <c r="CY183" i="2"/>
  <c r="CY151" i="2"/>
  <c r="CY26" i="2"/>
  <c r="CY198" i="2"/>
  <c r="CY5" i="2"/>
  <c r="CY8" i="2"/>
  <c r="CY41" i="2"/>
  <c r="CY68" i="2"/>
  <c r="CY93" i="2"/>
  <c r="CY39" i="2"/>
  <c r="CY90" i="2"/>
  <c r="CY72" i="2"/>
  <c r="CY199" i="2"/>
  <c r="CY112" i="2"/>
  <c r="CY103" i="2"/>
  <c r="CY58" i="2"/>
  <c r="CY174" i="2"/>
  <c r="CY123" i="2"/>
  <c r="CY40" i="2"/>
  <c r="CY153" i="2"/>
  <c r="CY45" i="2"/>
  <c r="CY71" i="2"/>
  <c r="CY192" i="2"/>
  <c r="CY12" i="2"/>
  <c r="CY140" i="2"/>
  <c r="CY22" i="2"/>
  <c r="CY84" i="2"/>
  <c r="CY64" i="2"/>
  <c r="CY155" i="2"/>
  <c r="CY73" i="2"/>
  <c r="CY197" i="2"/>
  <c r="CY51" i="2"/>
  <c r="CY129" i="2"/>
  <c r="CY77" i="2"/>
  <c r="CY133" i="2"/>
  <c r="CY15" i="2"/>
  <c r="CY188" i="2"/>
  <c r="CY162" i="2"/>
  <c r="CY168" i="2"/>
  <c r="CY31" i="2"/>
  <c r="CY170" i="2"/>
  <c r="CY177" i="2"/>
  <c r="CY193" i="2"/>
  <c r="CY171" i="2"/>
  <c r="CY76" i="2"/>
  <c r="CY85" i="2"/>
  <c r="CY137" i="2"/>
  <c r="CY79" i="2"/>
  <c r="CY47" i="2"/>
  <c r="CY96" i="2"/>
  <c r="CY55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7" i="2" l="1"/>
  <c r="CD60" i="2"/>
  <c r="CD170" i="2"/>
  <c r="CD109" i="2"/>
  <c r="CD155" i="2"/>
  <c r="CD54" i="2"/>
  <c r="CD87" i="2"/>
  <c r="CD39" i="2"/>
  <c r="CD120" i="2"/>
  <c r="CD101" i="2"/>
  <c r="CD41" i="2"/>
  <c r="CD99" i="2"/>
  <c r="CD133" i="2"/>
  <c r="CD138" i="2"/>
  <c r="CD183" i="2"/>
  <c r="CD3" i="2"/>
  <c r="C9" i="4" s="1"/>
  <c r="E9" i="4" s="1"/>
  <c r="F9" i="4" s="1"/>
  <c r="G9" i="4" s="1"/>
  <c r="L9" i="4" s="1"/>
  <c r="CD185" i="2"/>
  <c r="CD134" i="2"/>
  <c r="CD57" i="2"/>
  <c r="CD77" i="2"/>
  <c r="CD194" i="2"/>
  <c r="CD65" i="2"/>
  <c r="CD8" i="2"/>
  <c r="CD154" i="2"/>
  <c r="CD95" i="2"/>
  <c r="CD161" i="2"/>
  <c r="CD10" i="2"/>
  <c r="CD18" i="2"/>
  <c r="CD13" i="2"/>
  <c r="CD163" i="2"/>
  <c r="CD122" i="2"/>
  <c r="CD42" i="2"/>
  <c r="CD75" i="2"/>
  <c r="CD156" i="2"/>
  <c r="CD150" i="2"/>
  <c r="CD107" i="2"/>
  <c r="CD196" i="2"/>
  <c r="CD67" i="2"/>
  <c r="CD119" i="2"/>
  <c r="CD184" i="2"/>
  <c r="CD172" i="2"/>
  <c r="CD28" i="2"/>
  <c r="CD164" i="2"/>
  <c r="CD127" i="2"/>
  <c r="CD94" i="2"/>
  <c r="CD22" i="2"/>
  <c r="CD121" i="2"/>
  <c r="CD197" i="2"/>
  <c r="CD59" i="2"/>
  <c r="CD12" i="2"/>
  <c r="CD62" i="2"/>
  <c r="CD165" i="2"/>
  <c r="CD46" i="2"/>
  <c r="CD189" i="2"/>
  <c r="CD86" i="2"/>
  <c r="CD82" i="2"/>
  <c r="CD182" i="2"/>
  <c r="CD32" i="2"/>
  <c r="CD167" i="2"/>
  <c r="CD61" i="2"/>
  <c r="CD145" i="2"/>
  <c r="CD38" i="2"/>
  <c r="CD115" i="2"/>
  <c r="CD129" i="2"/>
  <c r="CD200" i="2"/>
  <c r="CD128" i="2"/>
  <c r="CD7" i="2"/>
  <c r="CD48" i="2"/>
  <c r="CD171" i="2"/>
  <c r="CD53" i="2"/>
  <c r="CD117" i="2"/>
  <c r="CD26" i="2"/>
  <c r="CD51" i="2"/>
  <c r="CD100" i="2"/>
  <c r="CD30" i="2"/>
  <c r="CD25" i="2"/>
  <c r="CD69" i="2"/>
  <c r="CD159" i="2"/>
  <c r="CD140" i="2"/>
  <c r="CD47" i="2"/>
  <c r="CD143" i="2"/>
  <c r="CD83" i="2"/>
  <c r="CD174" i="2"/>
  <c r="CD16" i="2"/>
  <c r="CD27" i="2"/>
  <c r="CD123" i="2"/>
  <c r="CD142" i="2"/>
  <c r="CD178" i="2"/>
  <c r="CD81" i="2"/>
  <c r="CD190" i="2"/>
  <c r="CD73" i="2"/>
  <c r="CD203" i="2"/>
  <c r="CD102" i="2"/>
  <c r="CD141" i="2"/>
  <c r="CD49" i="2"/>
  <c r="CD104" i="2"/>
  <c r="CD139" i="2"/>
  <c r="CD70" i="2"/>
  <c r="CD56" i="2"/>
  <c r="CD157" i="2"/>
  <c r="CD35" i="2"/>
  <c r="CD88" i="2"/>
  <c r="CD68" i="2"/>
  <c r="CD149" i="2"/>
  <c r="CD144" i="2"/>
  <c r="CD181" i="2"/>
  <c r="CD191" i="2"/>
  <c r="CD151" i="2"/>
  <c r="CD152" i="2"/>
  <c r="CD11" i="2"/>
  <c r="CD173" i="2"/>
  <c r="CD132" i="2"/>
  <c r="CD96" i="2"/>
  <c r="CD44" i="2"/>
  <c r="CD137" i="2"/>
  <c r="CD78" i="2"/>
  <c r="CD153" i="2"/>
  <c r="CD4" i="2"/>
  <c r="CD74" i="2"/>
  <c r="CD6" i="2"/>
  <c r="CD136" i="2"/>
  <c r="CD72" i="2"/>
  <c r="CD92" i="2"/>
  <c r="CD201" i="2"/>
  <c r="CD36" i="2"/>
  <c r="CD158" i="2"/>
  <c r="CD198" i="2"/>
  <c r="CD193" i="2"/>
  <c r="CD50" i="2"/>
  <c r="CD40" i="2"/>
  <c r="CD37" i="2"/>
  <c r="CD124" i="2"/>
  <c r="CD195" i="2"/>
  <c r="CD5" i="2"/>
  <c r="CD14" i="2"/>
  <c r="CD131" i="2"/>
  <c r="CD177" i="2"/>
  <c r="CD24" i="2"/>
  <c r="CD19" i="2"/>
  <c r="CD118" i="2"/>
  <c r="CD166" i="2"/>
  <c r="CD66" i="2"/>
  <c r="CD20" i="2"/>
  <c r="CD9" i="2"/>
  <c r="CD90" i="2"/>
  <c r="CD71" i="2"/>
  <c r="CD176" i="2"/>
  <c r="CD105" i="2"/>
  <c r="CD85" i="2"/>
  <c r="CD52" i="2"/>
  <c r="CD110" i="2"/>
  <c r="CD15" i="2"/>
  <c r="CD186" i="2"/>
  <c r="CD34" i="2"/>
  <c r="CD76" i="2"/>
  <c r="CD188" i="2"/>
  <c r="CD147" i="2"/>
  <c r="CD113" i="2"/>
  <c r="CD175" i="2"/>
  <c r="CD179" i="2"/>
  <c r="CD114" i="2"/>
  <c r="CD64" i="2"/>
  <c r="CD160" i="2"/>
  <c r="CD84" i="2"/>
  <c r="CD89" i="2"/>
  <c r="CD23" i="2"/>
  <c r="CD93" i="2"/>
  <c r="CD80" i="2"/>
  <c r="CD91" i="2"/>
  <c r="CD111" i="2"/>
  <c r="CD55" i="2"/>
  <c r="CD130" i="2"/>
  <c r="CD29" i="2"/>
  <c r="CD202" i="2"/>
  <c r="CD169" i="2"/>
  <c r="CD33" i="2"/>
  <c r="CD162" i="2"/>
  <c r="CD126" i="2"/>
  <c r="CD58" i="2"/>
  <c r="CD79" i="2"/>
  <c r="CD98" i="2"/>
  <c r="CD31" i="2"/>
  <c r="CD146" i="2"/>
  <c r="CD180" i="2"/>
  <c r="CD148" i="2"/>
  <c r="CD43" i="2"/>
  <c r="CD116" i="2"/>
  <c r="CD97" i="2"/>
  <c r="CD168" i="2"/>
  <c r="CD125" i="2"/>
  <c r="CD63" i="2"/>
  <c r="CD135" i="2"/>
  <c r="CD187" i="2"/>
  <c r="CD106" i="2"/>
  <c r="CD103" i="2"/>
  <c r="CD199" i="2"/>
  <c r="CD112" i="2"/>
  <c r="CD192" i="2"/>
  <c r="CD21" i="2"/>
  <c r="CD108" i="2"/>
  <c r="CD45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17" i="2"/>
  <c r="BI82" i="2"/>
  <c r="BI104" i="2"/>
  <c r="BI49" i="2"/>
  <c r="BI58" i="2"/>
  <c r="BI196" i="2"/>
  <c r="BI12" i="2"/>
  <c r="BI127" i="2"/>
  <c r="BI24" i="2"/>
  <c r="BI23" i="2"/>
  <c r="BI106" i="2"/>
  <c r="BI141" i="2"/>
  <c r="BI6" i="2"/>
  <c r="BI71" i="2"/>
  <c r="BI30" i="2"/>
  <c r="BI189" i="2"/>
  <c r="BI111" i="2"/>
  <c r="BI179" i="2"/>
  <c r="BI201" i="2"/>
  <c r="BI76" i="2"/>
  <c r="BI32" i="2"/>
  <c r="BI173" i="2"/>
  <c r="BI3" i="2"/>
  <c r="C8" i="4" s="1"/>
  <c r="E8" i="4" s="1"/>
  <c r="F8" i="4" s="1"/>
  <c r="G8" i="4" s="1"/>
  <c r="L8" i="4" s="1"/>
  <c r="BI146" i="2"/>
  <c r="BI63" i="2"/>
  <c r="BI52" i="2"/>
  <c r="BI149" i="2"/>
  <c r="BI39" i="2"/>
  <c r="BI148" i="2"/>
  <c r="BI54" i="2"/>
  <c r="BI151" i="2"/>
  <c r="BI137" i="2"/>
  <c r="BI145" i="2"/>
  <c r="BI34" i="2"/>
  <c r="BI168" i="2"/>
  <c r="BI10" i="2"/>
  <c r="BI98" i="2"/>
  <c r="BI157" i="2"/>
  <c r="BI31" i="2"/>
  <c r="BI178" i="2"/>
  <c r="BI87" i="2"/>
  <c r="BI29" i="2"/>
  <c r="BI43" i="2"/>
  <c r="BI128" i="2"/>
  <c r="BI37" i="2"/>
  <c r="BI190" i="2"/>
  <c r="BI191" i="2"/>
  <c r="BI81" i="2"/>
  <c r="BI85" i="2"/>
  <c r="BI109" i="2"/>
  <c r="BI27" i="2"/>
  <c r="BI5" i="2"/>
  <c r="BI135" i="2"/>
  <c r="BI55" i="2"/>
  <c r="BI110" i="2"/>
  <c r="BI38" i="2"/>
  <c r="BI170" i="2"/>
  <c r="BI59" i="2"/>
  <c r="BI163" i="2"/>
  <c r="BI33" i="2"/>
  <c r="BI174" i="2"/>
  <c r="BI92" i="2"/>
  <c r="BI195" i="2"/>
  <c r="BI150" i="2"/>
  <c r="BI162" i="2"/>
  <c r="BI44" i="2"/>
  <c r="BI199" i="2"/>
  <c r="BI83" i="2"/>
  <c r="BI45" i="2"/>
  <c r="BI156" i="2"/>
  <c r="BI97" i="2"/>
  <c r="BI20" i="2"/>
  <c r="BI7" i="2"/>
  <c r="BI67" i="2"/>
  <c r="BI68" i="2"/>
  <c r="BI130" i="2"/>
  <c r="BI122" i="2"/>
  <c r="BI147" i="2"/>
  <c r="BI84" i="2"/>
  <c r="BI21" i="2"/>
  <c r="BI119" i="2"/>
  <c r="BI188" i="2"/>
  <c r="BI94" i="2"/>
  <c r="BI164" i="2"/>
  <c r="BI120" i="2"/>
  <c r="BI124" i="2"/>
  <c r="BI35" i="2"/>
  <c r="BI166" i="2"/>
  <c r="BI129" i="2"/>
  <c r="BI176" i="2"/>
  <c r="BI79" i="2"/>
  <c r="BI131" i="2"/>
  <c r="BI8" i="2"/>
  <c r="BI134" i="2"/>
  <c r="BI14" i="2"/>
  <c r="BI48" i="2"/>
  <c r="BI73" i="2"/>
  <c r="BI143" i="2"/>
  <c r="BI11" i="2"/>
  <c r="BI125" i="2"/>
  <c r="BI152" i="2"/>
  <c r="BI158" i="2"/>
  <c r="BI153" i="2"/>
  <c r="BI177" i="2"/>
  <c r="BI160" i="2"/>
  <c r="BI74" i="2"/>
  <c r="BI25" i="2"/>
  <c r="BI64" i="2"/>
  <c r="BI118" i="2"/>
  <c r="BI22" i="2"/>
  <c r="BI75" i="2"/>
  <c r="BI144" i="2"/>
  <c r="BI28" i="2"/>
  <c r="BI62" i="2"/>
  <c r="BI112" i="2"/>
  <c r="BI187" i="2"/>
  <c r="BI107" i="2"/>
  <c r="BI154" i="2"/>
  <c r="BI77" i="2"/>
  <c r="BI197" i="2"/>
  <c r="BI171" i="2"/>
  <c r="BI185" i="2"/>
  <c r="BI80" i="2"/>
  <c r="BI202" i="2"/>
  <c r="BI13" i="2"/>
  <c r="BI51" i="2"/>
  <c r="BI60" i="2"/>
  <c r="BI96" i="2"/>
  <c r="BI113" i="2"/>
  <c r="BI139" i="2"/>
  <c r="BI123" i="2"/>
  <c r="BI40" i="2"/>
  <c r="BI108" i="2"/>
  <c r="BI182" i="2"/>
  <c r="BI116" i="2"/>
  <c r="BI181" i="2"/>
  <c r="BI9" i="2"/>
  <c r="BI105" i="2"/>
  <c r="BI66" i="2"/>
  <c r="BI169" i="2"/>
  <c r="BI57" i="2"/>
  <c r="BI41" i="2"/>
  <c r="BI65" i="2"/>
  <c r="BI184" i="2"/>
  <c r="BI17" i="2"/>
  <c r="BI61" i="2"/>
  <c r="BI15" i="2"/>
  <c r="BI91" i="2"/>
  <c r="BI4" i="2"/>
  <c r="BI186" i="2"/>
  <c r="BI121" i="2"/>
  <c r="BI18" i="2"/>
  <c r="BI99" i="2"/>
  <c r="BI93" i="2"/>
  <c r="BI101" i="2"/>
  <c r="BI42" i="2"/>
  <c r="BI203" i="2"/>
  <c r="BI192" i="2"/>
  <c r="BI86" i="2"/>
  <c r="BI95" i="2"/>
  <c r="BI132" i="2"/>
  <c r="BI56" i="2"/>
  <c r="BI155" i="2"/>
  <c r="BI142" i="2"/>
  <c r="BI172" i="2"/>
  <c r="BI193" i="2"/>
  <c r="BI167" i="2"/>
  <c r="BI53" i="2"/>
  <c r="BI72" i="2"/>
  <c r="BI50" i="2"/>
  <c r="BI46" i="2"/>
  <c r="BI16" i="2"/>
  <c r="BI140" i="2"/>
  <c r="BI69" i="2"/>
  <c r="BI114" i="2"/>
  <c r="BI26" i="2"/>
  <c r="BI36" i="2"/>
  <c r="BI183" i="2"/>
  <c r="BI70" i="2"/>
  <c r="BI159" i="2"/>
  <c r="BI198" i="2"/>
  <c r="BI90" i="2"/>
  <c r="BI100" i="2"/>
  <c r="BI133" i="2"/>
  <c r="BI200" i="2"/>
  <c r="BI180" i="2"/>
  <c r="BI102" i="2"/>
  <c r="BI19" i="2"/>
  <c r="BI165" i="2"/>
  <c r="BI136" i="2"/>
  <c r="BI194" i="2"/>
  <c r="BI138" i="2"/>
  <c r="BI126" i="2"/>
  <c r="BI78" i="2"/>
  <c r="BI88" i="2"/>
  <c r="BI89" i="2"/>
  <c r="BI175" i="2"/>
  <c r="BI115" i="2"/>
  <c r="BI161" i="2"/>
  <c r="BI10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<sst xmlns="http://schemas.openxmlformats.org/spreadsheetml/2006/main" count="1175" uniqueCount="327">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</sst>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 2" xfId="3" xr:uid="{0A4D7889-6501-48F9-9C48-E07C9C11E3C6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1.61026971874272</c:v>
                </c:pt>
                <c:pt idx="2">
                  <c:v>1.9537219101790597</c:v>
                </c:pt>
                <c:pt idx="3">
                  <c:v>2.3707118322848957</c:v>
                </c:pt>
                <c:pt idx="4">
                  <c:v>2.8770423287489826</c:v>
                </c:pt>
                <c:pt idx="5">
                  <c:v>3.4919237817551125</c:v>
                </c:pt>
                <c:pt idx="6">
                  <c:v>4.2387112065378743</c:v>
                </c:pt>
                <c:pt idx="7">
                  <c:v>5.1458012568502349</c:v>
                </c:pt>
                <c:pt idx="8">
                  <c:v>6.2477239271485834</c:v>
                </c:pt>
                <c:pt idx="9">
                  <c:v>7.5864713229778715</c:v>
                </c:pt>
                <c:pt idx="10">
                  <c:v>9.2131151146152543</c:v>
                </c:pt>
                <c:pt idx="11">
                  <c:v>11.189775553584575</c:v>
                </c:pt>
                <c:pt idx="12">
                  <c:v>13.592018659924172</c:v>
                </c:pt>
                <c:pt idx="13">
                  <c:v>16.511774919981079</c:v>
                </c:pt>
                <c:pt idx="14">
                  <c:v>20.060893228443053</c:v>
                </c:pt>
                <c:pt idx="15">
                  <c:v>24.375468667319055</c:v>
                </c:pt>
                <c:pt idx="16">
                  <c:v>29.621113018033594</c:v>
                </c:pt>
                <c:pt idx="17">
                  <c:v>35.99937384529175</c:v>
                </c:pt>
                <c:pt idx="18">
                  <c:v>43.755553030014674</c:v>
                </c:pt>
                <c:pt idx="19">
                  <c:v>53.188230540869746</c:v>
                </c:pt>
                <c:pt idx="20">
                  <c:v>64.660866187990536</c:v>
                </c:pt>
                <c:pt idx="21">
                  <c:v>78.615933743551025</c:v>
                </c:pt>
                <c:pt idx="22">
                  <c:v>95.592141369009198</c:v>
                </c:pt>
                <c:pt idx="23">
                  <c:v>116.24541369526276</c:v>
                </c:pt>
                <c:pt idx="24">
                  <c:v>141.37445896345511</c:v>
                </c:pt>
                <c:pt idx="25">
                  <c:v>171.95192521209719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11.041335405636987</c:v>
                </c:pt>
                <c:pt idx="2">
                  <c:v>21.605876070567003</c:v>
                </c:pt>
                <c:pt idx="3">
                  <c:v>32.01643596784745</c:v>
                </c:pt>
                <c:pt idx="4">
                  <c:v>42.33207853721148</c:v>
                </c:pt>
                <c:pt idx="5">
                  <c:v>52.579573265773696</c:v>
                </c:pt>
                <c:pt idx="6">
                  <c:v>62.774190586641616</c:v>
                </c:pt>
                <c:pt idx="7">
                  <c:v>72.925774757599712</c:v>
                </c:pt>
                <c:pt idx="8">
                  <c:v>83.041182692845993</c:v>
                </c:pt>
                <c:pt idx="9">
                  <c:v>93.125454311542896</c:v>
                </c:pt>
                <c:pt idx="10">
                  <c:v>103.18244384692457</c:v>
                </c:pt>
                <c:pt idx="11">
                  <c:v>113.21519007874326</c:v>
                </c:pt>
                <c:pt idx="12">
                  <c:v>123.22614759144876</c:v>
                </c:pt>
                <c:pt idx="13">
                  <c:v>133.21733854362245</c:v>
                </c:pt>
                <c:pt idx="14">
                  <c:v>143.19045631996846</c:v>
                </c:pt>
                <c:pt idx="15">
                  <c:v>153.14693868521002</c:v>
                </c:pt>
                <c:pt idx="16">
                  <c:v>163.08802085664198</c:v>
                </c:pt>
                <c:pt idx="17">
                  <c:v>173.01477492255921</c:v>
                </c:pt>
                <c:pt idx="18">
                  <c:v>182.92813971815713</c:v>
                </c:pt>
                <c:pt idx="19">
                  <c:v>192.82894387200699</c:v>
                </c:pt>
                <c:pt idx="20">
                  <c:v>202.71792386222799</c:v>
                </c:pt>
                <c:pt idx="21">
                  <c:v>212.59573835879976</c:v>
                </c:pt>
                <c:pt idx="22">
                  <c:v>222.46297975660252</c:v>
                </c:pt>
                <c:pt idx="23">
                  <c:v>232.32018355226603</c:v>
                </c:pt>
                <c:pt idx="24">
                  <c:v>242.16783604424754</c:v>
                </c:pt>
                <c:pt idx="25">
                  <c:v>252.00638071339992</c:v>
                </c:pt>
                <c:pt idx="26">
                  <c:v>261.83622355391373</c:v>
                </c:pt>
                <c:pt idx="27">
                  <c:v>271.65773756104448</c:v>
                </c:pt>
                <c:pt idx="28">
                  <c:v>281.47126653530154</c:v>
                </c:pt>
                <c:pt idx="29">
                  <c:v>291.27712832791093</c:v>
                </c:pt>
                <c:pt idx="30">
                  <c:v>301.0756176260503</c:v>
                </c:pt>
                <c:pt idx="31">
                  <c:v>310.86700835628744</c:v>
                </c:pt>
                <c:pt idx="32">
                  <c:v>320.6515557691867</c:v>
                </c:pt>
                <c:pt idx="33">
                  <c:v>330.42949825601835</c:v>
                </c:pt>
                <c:pt idx="34">
                  <c:v>340.2010589390747</c:v>
                </c:pt>
                <c:pt idx="35">
                  <c:v>349.96644706963258</c:v>
                </c:pt>
                <c:pt idx="36">
                  <c:v>359.72585926165749</c:v>
                </c:pt>
                <c:pt idx="37">
                  <c:v>369.47948058457615</c:v>
                </c:pt>
                <c:pt idx="38">
                  <c:v>379.22748553459013</c:v>
                </c:pt>
                <c:pt idx="39">
                  <c:v>388.97003890086734</c:v>
                </c:pt>
                <c:pt idx="40">
                  <c:v>398.70729654039661</c:v>
                </c:pt>
                <c:pt idx="41">
                  <c:v>235.20291587046498</c:v>
                </c:pt>
                <c:pt idx="42">
                  <c:v>254.33980922354775</c:v>
                </c:pt>
                <c:pt idx="43">
                  <c:v>273.44411191932198</c:v>
                </c:pt>
                <c:pt idx="44">
                  <c:v>292.51842075958916</c:v>
                </c:pt>
                <c:pt idx="45">
                  <c:v>311.56496617197075</c:v>
                </c:pt>
                <c:pt idx="46">
                  <c:v>330.58568361100691</c:v>
                </c:pt>
                <c:pt idx="47">
                  <c:v>349.582267651476</c:v>
                </c:pt>
                <c:pt idx="48">
                  <c:v>274.55006795512287</c:v>
                </c:pt>
                <c:pt idx="49">
                  <c:v>292.86453982714596</c:v>
                </c:pt>
                <c:pt idx="50">
                  <c:v>311.15344961210752</c:v>
                </c:pt>
                <c:pt idx="51">
                  <c:v>329.41851079728985</c:v>
                </c:pt>
                <c:pt idx="52">
                  <c:v>347.66123135734097</c:v>
                </c:pt>
                <c:pt idx="53">
                  <c:v>365.88294811859879</c:v>
                </c:pt>
                <c:pt idx="54">
                  <c:v>384.08485391700259</c:v>
                </c:pt>
                <c:pt idx="55">
                  <c:v>402.26801933754859</c:v>
                </c:pt>
                <c:pt idx="56">
                  <c:v>311.08834984091453</c:v>
                </c:pt>
                <c:pt idx="57">
                  <c:v>328.19396479856761</c:v>
                </c:pt>
                <c:pt idx="58">
                  <c:v>345.27990498731378</c:v>
                </c:pt>
                <c:pt idx="59">
                  <c:v>362.34728079374071</c:v>
                </c:pt>
                <c:pt idx="60">
                  <c:v>379.39708947992523</c:v>
                </c:pt>
                <c:pt idx="61">
                  <c:v>396.4302313798932</c:v>
                </c:pt>
                <c:pt idx="62">
                  <c:v>413.44752316672458</c:v>
                </c:pt>
                <c:pt idx="63">
                  <c:v>430.4497088212899</c:v>
                </c:pt>
                <c:pt idx="64">
                  <c:v>348.71106589634365</c:v>
                </c:pt>
                <c:pt idx="65">
                  <c:v>364.47742095724635</c:v>
                </c:pt>
                <c:pt idx="66">
                  <c:v>380.22888113077198</c:v>
                </c:pt>
                <c:pt idx="67">
                  <c:v>395.96615021612865</c:v>
                </c:pt>
                <c:pt idx="68">
                  <c:v>411.68987151359096</c:v>
                </c:pt>
                <c:pt idx="69">
                  <c:v>427.40063518513381</c:v>
                </c:pt>
                <c:pt idx="70">
                  <c:v>443.09898447636436</c:v>
                </c:pt>
                <c:pt idx="71">
                  <c:v>458.78542101081433</c:v>
                </c:pt>
                <c:pt idx="72">
                  <c:v>383.26404537483103</c:v>
                </c:pt>
                <c:pt idx="73">
                  <c:v>398.09219303267446</c:v>
                </c:pt>
                <c:pt idx="74">
                  <c:v>412.90838339706079</c:v>
                </c:pt>
                <c:pt idx="75">
                  <c:v>427.7131058801113</c:v>
                </c:pt>
                <c:pt idx="76">
                  <c:v>442.50681325505298</c:v>
                </c:pt>
                <c:pt idx="77">
                  <c:v>457.28992555786658</c:v>
                </c:pt>
                <c:pt idx="78">
                  <c:v>472.06283345817474</c:v>
                </c:pt>
                <c:pt idx="79">
                  <c:v>486.82590118624893</c:v>
                </c:pt>
                <c:pt idx="80">
                  <c:v>415.97468872019778</c:v>
                </c:pt>
                <c:pt idx="81">
                  <c:v>430.21030095531586</c:v>
                </c:pt>
                <c:pt idx="82">
                  <c:v>444.43579354849948</c:v>
                </c:pt>
                <c:pt idx="83">
                  <c:v>458.6515359781115</c:v>
                </c:pt>
                <c:pt idx="84">
                  <c:v>472.85787295495419</c:v>
                </c:pt>
                <c:pt idx="85">
                  <c:v>487.05512679230696</c:v>
                </c:pt>
                <c:pt idx="86">
                  <c:v>501.24359948527899</c:v>
                </c:pt>
                <c:pt idx="87">
                  <c:v>515.42357454251896</c:v>
                </c:pt>
                <c:pt idx="88">
                  <c:v>529.59531860591187</c:v>
                </c:pt>
                <c:pt idx="89">
                  <c:v>455.94018409688061</c:v>
                </c:pt>
                <c:pt idx="90">
                  <c:v>469.66081645021222</c:v>
                </c:pt>
                <c:pt idx="91">
                  <c:v>483.37291260570936</c:v>
                </c:pt>
                <c:pt idx="92">
                  <c:v>497.07674877879572</c:v>
                </c:pt>
                <c:pt idx="93">
                  <c:v>510.77258471637305</c:v>
                </c:pt>
                <c:pt idx="94">
                  <c:v>524.46066510320054</c:v>
                </c:pt>
                <c:pt idx="95">
                  <c:v>538.14122081384608</c:v>
                </c:pt>
                <c:pt idx="96">
                  <c:v>551.8144700307447</c:v>
                </c:pt>
                <c:pt idx="97">
                  <c:v>565.48061924570629</c:v>
                </c:pt>
                <c:pt idx="98">
                  <c:v>484.04922370623427</c:v>
                </c:pt>
                <c:pt idx="99">
                  <c:v>497.40945570491255</c:v>
                </c:pt>
                <c:pt idx="100">
                  <c:v>510.76208916675745</c:v>
                </c:pt>
                <c:pt idx="101">
                  <c:v>524.10735067952828</c:v>
                </c:pt>
                <c:pt idx="102">
                  <c:v>537.44545435373504</c:v>
                </c:pt>
                <c:pt idx="103">
                  <c:v>550.77660280879297</c:v>
                </c:pt>
                <c:pt idx="104">
                  <c:v>564.10098805876362</c:v>
                </c:pt>
                <c:pt idx="105">
                  <c:v>577.41879231008045</c:v>
                </c:pt>
                <c:pt idx="106">
                  <c:v>590.73018868188035</c:v>
                </c:pt>
                <c:pt idx="107">
                  <c:v>604.03534185805313</c:v>
                </c:pt>
                <c:pt idx="108">
                  <c:v>530.23457373926465</c:v>
                </c:pt>
                <c:pt idx="109">
                  <c:v>543.65521833617913</c:v>
                </c:pt>
                <c:pt idx="110">
                  <c:v>557.06890979924003</c:v>
                </c:pt>
                <c:pt idx="111">
                  <c:v>570.4758390883419</c:v>
                </c:pt>
                <c:pt idx="112">
                  <c:v>583.87618745902967</c:v>
                </c:pt>
                <c:pt idx="113">
                  <c:v>597.27012717171363</c:v>
                </c:pt>
                <c:pt idx="114">
                  <c:v>610.65782213398779</c:v>
                </c:pt>
                <c:pt idx="115">
                  <c:v>624.03942848371332</c:v>
                </c:pt>
                <c:pt idx="116">
                  <c:v>637.41509511951483</c:v>
                </c:pt>
                <c:pt idx="117">
                  <c:v>650.78496418445332</c:v>
                </c:pt>
                <c:pt idx="118">
                  <c:v>572.78821019295867</c:v>
                </c:pt>
                <c:pt idx="119">
                  <c:v>586.53778714938653</c:v>
                </c:pt>
                <c:pt idx="120">
                  <c:v>600.28065078279417</c:v>
                </c:pt>
                <c:pt idx="121">
                  <c:v>614.01697637590212</c:v>
                </c:pt>
                <c:pt idx="122">
                  <c:v>627.74693073302694</c:v>
                </c:pt>
                <c:pt idx="123">
                  <c:v>641.47067277050473</c:v>
                </c:pt>
                <c:pt idx="124">
                  <c:v>655.18835405399034</c:v>
                </c:pt>
                <c:pt idx="125">
                  <c:v>668.90011928844331</c:v>
                </c:pt>
                <c:pt idx="126">
                  <c:v>682.6061067658718</c:v>
                </c:pt>
                <c:pt idx="127">
                  <c:v>696.30644877526902</c:v>
                </c:pt>
                <c:pt idx="128">
                  <c:v>710.00127197863037</c:v>
                </c:pt>
                <c:pt idx="129">
                  <c:v>723.69069775647006</c:v>
                </c:pt>
                <c:pt idx="130">
                  <c:v>622.50406281743801</c:v>
                </c:pt>
                <c:pt idx="131">
                  <c:v>636.60234861913466</c:v>
                </c:pt>
                <c:pt idx="132">
                  <c:v>650.69418454245078</c:v>
                </c:pt>
                <c:pt idx="133">
                  <c:v>664.77972987196733</c:v>
                </c:pt>
                <c:pt idx="134">
                  <c:v>678.85913659595155</c:v>
                </c:pt>
                <c:pt idx="135">
                  <c:v>692.93254988810304</c:v>
                </c:pt>
                <c:pt idx="136">
                  <c:v>707.00010854815821</c:v>
                </c:pt>
                <c:pt idx="137">
                  <c:v>721.06194540562456</c:v>
                </c:pt>
                <c:pt idx="138">
                  <c:v>735.11818769040883</c:v>
                </c:pt>
                <c:pt idx="139">
                  <c:v>749.16895737364575</c:v>
                </c:pt>
                <c:pt idx="140">
                  <c:v>763.21437148164603</c:v>
                </c:pt>
                <c:pt idx="141">
                  <c:v>777.25454238555528</c:v>
                </c:pt>
                <c:pt idx="142">
                  <c:v>670.26279282189967</c:v>
                </c:pt>
                <c:pt idx="143">
                  <c:v>684.33095812657621</c:v>
                </c:pt>
                <c:pt idx="144">
                  <c:v>698.39319219433708</c:v>
                </c:pt>
                <c:pt idx="145">
                  <c:v>712.44963120132741</c:v>
                </c:pt>
                <c:pt idx="146">
                  <c:v>726.50040551576012</c:v>
                </c:pt>
                <c:pt idx="147">
                  <c:v>740.54564005548355</c:v>
                </c:pt>
                <c:pt idx="148">
                  <c:v>754.58545461703397</c:v>
                </c:pt>
                <c:pt idx="149">
                  <c:v>768.61996417894443</c:v>
                </c:pt>
                <c:pt idx="150">
                  <c:v>782.64927918176829</c:v>
                </c:pt>
                <c:pt idx="151">
                  <c:v>796.67350578699586</c:v>
                </c:pt>
                <c:pt idx="152">
                  <c:v>810.69274611681192</c:v>
                </c:pt>
                <c:pt idx="153">
                  <c:v>824.70709847641547</c:v>
                </c:pt>
                <c:pt idx="154">
                  <c:v>431.71014408031766</c:v>
                </c:pt>
                <c:pt idx="155">
                  <c:v>438.26960029521769</c:v>
                </c:pt>
                <c:pt idx="156">
                  <c:v>444.82695090601948</c:v>
                </c:pt>
                <c:pt idx="157">
                  <c:v>451.38223135178919</c:v>
                </c:pt>
                <c:pt idx="158">
                  <c:v>302.22107578736603</c:v>
                </c:pt>
                <c:pt idx="159">
                  <c:v>306.50347627186954</c:v>
                </c:pt>
                <c:pt idx="160">
                  <c:v>310.78454690878277</c:v>
                </c:pt>
                <c:pt idx="161">
                  <c:v>315.06430863165014</c:v>
                </c:pt>
                <c:pt idx="162">
                  <c:v>215.07309141605276</c:v>
                </c:pt>
                <c:pt idx="163">
                  <c:v>217.83526590987489</c:v>
                </c:pt>
                <c:pt idx="164">
                  <c:v>220.59663515187944</c:v>
                </c:pt>
                <c:pt idx="165">
                  <c:v>223.3572106709378</c:v>
                </c:pt>
                <c:pt idx="166">
                  <c:v>1.3223639939077553E-12</c:v>
                </c:pt>
                <c:pt idx="167">
                  <c:v>1.3223639939077553E-12</c:v>
                </c:pt>
                <c:pt idx="168">
                  <c:v>1.3223639939077553E-12</c:v>
                </c:pt>
                <c:pt idx="169">
                  <c:v>1.3223639939077553E-12</c:v>
                </c:pt>
                <c:pt idx="170">
                  <c:v>1.3223639939077553E-12</c:v>
                </c:pt>
                <c:pt idx="171">
                  <c:v>1.3223639939077553E-12</c:v>
                </c:pt>
                <c:pt idx="172">
                  <c:v>1.3223639939077553E-12</c:v>
                </c:pt>
                <c:pt idx="173">
                  <c:v>1.3223639939077553E-12</c:v>
                </c:pt>
                <c:pt idx="174">
                  <c:v>1.3223639939077553E-12</c:v>
                </c:pt>
                <c:pt idx="175">
                  <c:v>1.3223639939077553E-12</c:v>
                </c:pt>
                <c:pt idx="176">
                  <c:v>1.3223639939077553E-12</c:v>
                </c:pt>
                <c:pt idx="177">
                  <c:v>1.3223639939077553E-12</c:v>
                </c:pt>
                <c:pt idx="178">
                  <c:v>1.3223639939077553E-12</c:v>
                </c:pt>
                <c:pt idx="179">
                  <c:v>1.3223639939077553E-12</c:v>
                </c:pt>
                <c:pt idx="180">
                  <c:v>1.3223639939077553E-12</c:v>
                </c:pt>
                <c:pt idx="181">
                  <c:v>1.3223639939077553E-12</c:v>
                </c:pt>
                <c:pt idx="182">
                  <c:v>1.3223639939077553E-12</c:v>
                </c:pt>
                <c:pt idx="183">
                  <c:v>1.3223639939077553E-12</c:v>
                </c:pt>
                <c:pt idx="184">
                  <c:v>1.3223639939077553E-12</c:v>
                </c:pt>
                <c:pt idx="185">
                  <c:v>1.3223639939077553E-12</c:v>
                </c:pt>
                <c:pt idx="186">
                  <c:v>1.3223639939077553E-12</c:v>
                </c:pt>
                <c:pt idx="187">
                  <c:v>1.3223639939077553E-12</c:v>
                </c:pt>
                <c:pt idx="188">
                  <c:v>1.3223639939077553E-12</c:v>
                </c:pt>
                <c:pt idx="189">
                  <c:v>1.3223639939077553E-12</c:v>
                </c:pt>
                <c:pt idx="190">
                  <c:v>1.3223639939077553E-12</c:v>
                </c:pt>
                <c:pt idx="191">
                  <c:v>1.3223639939077553E-12</c:v>
                </c:pt>
                <c:pt idx="192">
                  <c:v>1.3223639939077553E-12</c:v>
                </c:pt>
                <c:pt idx="193">
                  <c:v>1.3223639939077553E-12</c:v>
                </c:pt>
                <c:pt idx="194">
                  <c:v>1.3223639939077553E-12</c:v>
                </c:pt>
                <c:pt idx="195">
                  <c:v>1.3223639939077553E-12</c:v>
                </c:pt>
                <c:pt idx="196">
                  <c:v>1.3223639939077553E-12</c:v>
                </c:pt>
                <c:pt idx="197">
                  <c:v>1.3223639939077553E-12</c:v>
                </c:pt>
                <c:pt idx="198">
                  <c:v>1.3223639939077553E-12</c:v>
                </c:pt>
                <c:pt idx="199">
                  <c:v>1.3223639939077553E-12</c:v>
                </c:pt>
                <c:pt idx="200">
                  <c:v>1.3223639939077553E-12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2.6858672778830157</c:v>
                </c:pt>
                <c:pt idx="2">
                  <c:v>3.1223199740016661</c:v>
                </c:pt>
                <c:pt idx="3">
                  <c:v>3.6299530030804057</c:v>
                </c:pt>
                <c:pt idx="4">
                  <c:v>4.220414625623004</c:v>
                </c:pt>
                <c:pt idx="5">
                  <c:v>4.9072653506596362</c:v>
                </c:pt>
                <c:pt idx="6">
                  <c:v>5.7062927916292976</c:v>
                </c:pt>
                <c:pt idx="7">
                  <c:v>6.6358785057519372</c:v>
                </c:pt>
                <c:pt idx="8">
                  <c:v>7.7174254210535516</c:v>
                </c:pt>
                <c:pt idx="9">
                  <c:v>8.9758558826140753</c:v>
                </c:pt>
                <c:pt idx="10">
                  <c:v>10.440192014312069</c:v>
                </c:pt>
                <c:pt idx="11">
                  <c:v>12.144232033865295</c:v>
                </c:pt>
                <c:pt idx="12">
                  <c:v>14.127338423430869</c:v>
                </c:pt>
                <c:pt idx="13">
                  <c:v>16.435356499246463</c:v>
                </c:pt>
                <c:pt idx="14">
                  <c:v>19.121685004562359</c:v>
                </c:pt>
                <c:pt idx="15">
                  <c:v>22.24852394371268</c:v>
                </c:pt>
                <c:pt idx="16">
                  <c:v>25.888329067121646</c:v>
                </c:pt>
                <c:pt idx="17">
                  <c:v>30.125507307136203</c:v>
                </c:pt>
                <c:pt idx="18">
                  <c:v>35.058393169294391</c:v>
                </c:pt>
                <c:pt idx="19">
                  <c:v>40.801552738912022</c:v>
                </c:pt>
                <c:pt idx="20">
                  <c:v>47.488469727351067</c:v>
                </c:pt>
                <c:pt idx="21">
                  <c:v>55.274677041191971</c:v>
                </c:pt>
                <c:pt idx="22">
                  <c:v>64.341407926898242</c:v>
                </c:pt>
                <c:pt idx="23">
                  <c:v>74.899853075703348</c:v>
                </c:pt>
                <c:pt idx="24">
                  <c:v>87.196124462830696</c:v>
                </c:pt>
                <c:pt idx="25">
                  <c:v>101.51704348549303</c:v>
                </c:pt>
                <c:pt idx="26">
                  <c:v>118.19689055663639</c:v>
                </c:pt>
                <c:pt idx="27">
                  <c:v>137.62527617446324</c:v>
                </c:pt>
                <c:pt idx="28">
                  <c:v>160.25632016814509</c:v>
                </c:pt>
                <c:pt idx="29">
                  <c:v>186.61935695610305</c:v>
                </c:pt>
                <c:pt idx="30">
                  <c:v>217.33142098994492</c:v>
                </c:pt>
                <c:pt idx="31">
                  <c:v>253.11180896452572</c:v>
                </c:pt>
                <c:pt idx="32">
                  <c:v>224.39984380548495</c:v>
                </c:pt>
                <c:pt idx="33">
                  <c:v>247.83883839587983</c:v>
                </c:pt>
                <c:pt idx="34">
                  <c:v>271.22752037978574</c:v>
                </c:pt>
                <c:pt idx="35">
                  <c:v>294.57083680197519</c:v>
                </c:pt>
                <c:pt idx="36">
                  <c:v>317.87288634553312</c:v>
                </c:pt>
                <c:pt idx="37">
                  <c:v>341.13711767488724</c:v>
                </c:pt>
                <c:pt idx="38">
                  <c:v>276.89109194789728</c:v>
                </c:pt>
                <c:pt idx="39">
                  <c:v>300.56640117175328</c:v>
                </c:pt>
                <c:pt idx="40">
                  <c:v>324.20019130276773</c:v>
                </c:pt>
                <c:pt idx="41">
                  <c:v>347.79591267007299</c:v>
                </c:pt>
                <c:pt idx="42">
                  <c:v>371.35650931533092</c:v>
                </c:pt>
                <c:pt idx="43">
                  <c:v>394.88452136035829</c:v>
                </c:pt>
                <c:pt idx="44">
                  <c:v>319.25016523174099</c:v>
                </c:pt>
                <c:pt idx="45">
                  <c:v>341.95513021389655</c:v>
                </c:pt>
                <c:pt idx="46">
                  <c:v>364.62696136197752</c:v>
                </c:pt>
                <c:pt idx="47">
                  <c:v>387.26800715789381</c:v>
                </c:pt>
                <c:pt idx="48">
                  <c:v>409.88031919678951</c:v>
                </c:pt>
                <c:pt idx="49">
                  <c:v>432.46570436298839</c:v>
                </c:pt>
                <c:pt idx="50">
                  <c:v>360.21414917805117</c:v>
                </c:pt>
                <c:pt idx="51">
                  <c:v>381.77516612358653</c:v>
                </c:pt>
                <c:pt idx="52">
                  <c:v>403.30971275945166</c:v>
                </c:pt>
                <c:pt idx="53">
                  <c:v>424.81940027166797</c:v>
                </c:pt>
                <c:pt idx="54">
                  <c:v>446.30566347120913</c:v>
                </c:pt>
                <c:pt idx="55">
                  <c:v>467.76978783650947</c:v>
                </c:pt>
                <c:pt idx="56">
                  <c:v>401.43965215392495</c:v>
                </c:pt>
                <c:pt idx="57">
                  <c:v>422.5194844206946</c:v>
                </c:pt>
                <c:pt idx="58">
                  <c:v>443.57668450829459</c:v>
                </c:pt>
                <c:pt idx="59">
                  <c:v>464.61247715726063</c:v>
                </c:pt>
                <c:pt idx="60">
                  <c:v>485.62796723321611</c:v>
                </c:pt>
                <c:pt idx="61">
                  <c:v>506.62415624522396</c:v>
                </c:pt>
                <c:pt idx="62">
                  <c:v>527.60195598408461</c:v>
                </c:pt>
                <c:pt idx="63">
                  <c:v>548.56219987950647</c:v>
                </c:pt>
                <c:pt idx="64">
                  <c:v>460.21643074786806</c:v>
                </c:pt>
                <c:pt idx="65">
                  <c:v>480.26025517444765</c:v>
                </c:pt>
                <c:pt idx="66">
                  <c:v>500.28630596473977</c:v>
                </c:pt>
                <c:pt idx="67">
                  <c:v>520.29539417239175</c:v>
                </c:pt>
                <c:pt idx="68">
                  <c:v>540.28826342813613</c:v>
                </c:pt>
                <c:pt idx="69">
                  <c:v>560.2655978828185</c:v>
                </c:pt>
                <c:pt idx="70">
                  <c:v>580.22802895917141</c:v>
                </c:pt>
                <c:pt idx="71">
                  <c:v>600.17614112662898</c:v>
                </c:pt>
                <c:pt idx="72">
                  <c:v>514.97146762693899</c:v>
                </c:pt>
                <c:pt idx="73">
                  <c:v>534.13608836542494</c:v>
                </c:pt>
                <c:pt idx="74">
                  <c:v>553.28625366553058</c:v>
                </c:pt>
                <c:pt idx="75">
                  <c:v>572.42253389793029</c:v>
                </c:pt>
                <c:pt idx="76">
                  <c:v>591.54545821821921</c:v>
                </c:pt>
                <c:pt idx="77">
                  <c:v>610.65551880826501</c:v>
                </c:pt>
                <c:pt idx="78">
                  <c:v>629.75317455937511</c:v>
                </c:pt>
                <c:pt idx="79">
                  <c:v>648.83885428577139</c:v>
                </c:pt>
                <c:pt idx="80">
                  <c:v>667.9129595405908</c:v>
                </c:pt>
                <c:pt idx="81">
                  <c:v>573.24002245067584</c:v>
                </c:pt>
                <c:pt idx="82">
                  <c:v>591.57516513868632</c:v>
                </c:pt>
                <c:pt idx="83">
                  <c:v>609.8984826486676</c:v>
                </c:pt>
                <c:pt idx="84">
                  <c:v>628.21037998408565</c:v>
                </c:pt>
                <c:pt idx="85">
                  <c:v>646.51123663167925</c:v>
                </c:pt>
                <c:pt idx="86">
                  <c:v>664.80140886058871</c:v>
                </c:pt>
                <c:pt idx="87">
                  <c:v>683.08123175551316</c:v>
                </c:pt>
                <c:pt idx="88">
                  <c:v>701.35102102109158</c:v>
                </c:pt>
                <c:pt idx="89">
                  <c:v>719.61107458866081</c:v>
                </c:pt>
                <c:pt idx="90">
                  <c:v>629.98013677401059</c:v>
                </c:pt>
                <c:pt idx="91">
                  <c:v>647.63419073345528</c:v>
                </c:pt>
                <c:pt idx="92">
                  <c:v>665.27832103350704</c:v>
                </c:pt>
                <c:pt idx="93">
                  <c:v>682.91282770627686</c:v>
                </c:pt>
                <c:pt idx="94">
                  <c:v>700.53799403892162</c:v>
                </c:pt>
                <c:pt idx="95">
                  <c:v>718.15408791454411</c:v>
                </c:pt>
                <c:pt idx="96">
                  <c:v>735.76136301480255</c:v>
                </c:pt>
                <c:pt idx="97">
                  <c:v>753.36005990152023</c:v>
                </c:pt>
                <c:pt idx="98">
                  <c:v>770.95040699207345</c:v>
                </c:pt>
                <c:pt idx="99">
                  <c:v>788.53262144121788</c:v>
                </c:pt>
                <c:pt idx="100">
                  <c:v>686.16482185083635</c:v>
                </c:pt>
                <c:pt idx="101">
                  <c:v>703.37916972364508</c:v>
                </c:pt>
                <c:pt idx="102">
                  <c:v>720.58490155147604</c:v>
                </c:pt>
                <c:pt idx="103">
                  <c:v>737.78225185432927</c:v>
                </c:pt>
                <c:pt idx="104">
                  <c:v>754.97144333793665</c:v>
                </c:pt>
                <c:pt idx="105">
                  <c:v>772.15268774983178</c:v>
                </c:pt>
                <c:pt idx="106">
                  <c:v>789.32618665534198</c:v>
                </c:pt>
                <c:pt idx="107">
                  <c:v>806.49213214259942</c:v>
                </c:pt>
                <c:pt idx="108">
                  <c:v>823.65070746447418</c:v>
                </c:pt>
                <c:pt idx="109">
                  <c:v>840.80208762429049</c:v>
                </c:pt>
                <c:pt idx="110">
                  <c:v>735.39633624182773</c:v>
                </c:pt>
                <c:pt idx="111">
                  <c:v>752.29590038117919</c:v>
                </c:pt>
                <c:pt idx="112">
                  <c:v>769.1877528933793</c:v>
                </c:pt>
                <c:pt idx="113">
                  <c:v>786.07208682345356</c:v>
                </c:pt>
                <c:pt idx="114">
                  <c:v>802.94908625553433</c:v>
                </c:pt>
                <c:pt idx="115">
                  <c:v>819.818926912248</c:v>
                </c:pt>
                <c:pt idx="116">
                  <c:v>836.68177670225657</c:v>
                </c:pt>
                <c:pt idx="117">
                  <c:v>853.53779622140735</c:v>
                </c:pt>
                <c:pt idx="118">
                  <c:v>870.38713921228589</c:v>
                </c:pt>
                <c:pt idx="119">
                  <c:v>887.2299529863684</c:v>
                </c:pt>
                <c:pt idx="120">
                  <c:v>454.20640843519931</c:v>
                </c:pt>
                <c:pt idx="121">
                  <c:v>461.78106481747773</c:v>
                </c:pt>
                <c:pt idx="122">
                  <c:v>469.35307029810019</c:v>
                </c:pt>
                <c:pt idx="123">
                  <c:v>476.92247369563307</c:v>
                </c:pt>
                <c:pt idx="124">
                  <c:v>323.93419029411859</c:v>
                </c:pt>
                <c:pt idx="125">
                  <c:v>328.581262325328</c:v>
                </c:pt>
                <c:pt idx="126">
                  <c:v>333.22688366383846</c:v>
                </c:pt>
                <c:pt idx="127">
                  <c:v>337.8710774171555</c:v>
                </c:pt>
                <c:pt idx="128">
                  <c:v>235.78501133625684</c:v>
                </c:pt>
                <c:pt idx="129">
                  <c:v>238.8241047069921</c:v>
                </c:pt>
                <c:pt idx="130">
                  <c:v>241.86231698763174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F24" sqref="F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13.24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112</v>
      </c>
      <c r="C9" s="32">
        <v>5.8086242175761277E-2</v>
      </c>
      <c r="D9" s="33">
        <f t="shared" ref="D9:D18" si="0">C9*$C$5</f>
        <v>0.76906184640707931</v>
      </c>
      <c r="E9" s="34">
        <v>25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0.47507342892306764</v>
      </c>
      <c r="D10" s="33">
        <f t="shared" si="0"/>
        <v>6.2899721989414159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0.13169637800983081</v>
      </c>
      <c r="D11" s="33">
        <f t="shared" si="0"/>
        <v>1.7436600448501598</v>
      </c>
      <c r="E11" s="34">
        <v>165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14</v>
      </c>
      <c r="C12" s="32">
        <v>0.1059037609199568</v>
      </c>
      <c r="D12" s="33">
        <f t="shared" si="0"/>
        <v>1.4021657945802282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164</v>
      </c>
      <c r="C13" s="32">
        <v>0.1446742322996655</v>
      </c>
      <c r="D13" s="33">
        <f t="shared" si="0"/>
        <v>1.9154868356475712</v>
      </c>
      <c r="E13" s="34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0.91543404232828196</v>
      </c>
      <c r="D19" s="38">
        <f>SUM(D9:D18)</f>
        <v>12.120346720426454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f>237/1.56</f>
        <v>151.92307692307691</v>
      </c>
      <c r="C36" s="60">
        <v>1</v>
      </c>
      <c r="D36" s="60">
        <f>B36</f>
        <v>151.92307692307691</v>
      </c>
      <c r="E36" s="51">
        <v>0.75</v>
      </c>
      <c r="F36" s="51">
        <v>0.2</v>
      </c>
      <c r="G36" s="51">
        <v>0</v>
      </c>
      <c r="H36" s="51">
        <v>0.05</v>
      </c>
      <c r="I36" s="49">
        <f>IFERROR(B36/A36,"")</f>
        <v>6.0769230769230766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129.07</v>
      </c>
      <c r="C62" s="60">
        <v>1</v>
      </c>
      <c r="D62" s="60">
        <v>52.41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5.8668181818181813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27</v>
      </c>
      <c r="B63" s="60">
        <v>155.49</v>
      </c>
      <c r="C63" s="60">
        <v>2</v>
      </c>
      <c r="D63" s="60">
        <v>37.840000000000003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15.766000000000002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33</v>
      </c>
      <c r="B64" s="60">
        <v>217.34</v>
      </c>
      <c r="C64" s="60">
        <v>3</v>
      </c>
      <c r="D64" s="60">
        <v>50.41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16.614999999999998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41</v>
      </c>
      <c r="B65" s="60">
        <v>300.54000000000002</v>
      </c>
      <c r="C65" s="60">
        <v>4</v>
      </c>
      <c r="D65" s="60">
        <v>72.13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16.701250000000002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369.94</v>
      </c>
      <c r="C66" s="60">
        <v>5</v>
      </c>
      <c r="D66" s="60">
        <v>70.2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15.725555555555552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440.94</v>
      </c>
      <c r="C67" s="60">
        <v>6</v>
      </c>
      <c r="D67" s="60">
        <v>69.849999999999994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490.06</v>
      </c>
      <c r="C68" s="60">
        <v>7</v>
      </c>
      <c r="D68" s="60">
        <v>67.88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v>520</v>
      </c>
      <c r="C69" s="50">
        <v>8</v>
      </c>
      <c r="D69" s="50">
        <v>520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9.782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40</v>
      </c>
      <c r="B88" s="60">
        <v>180.42</v>
      </c>
      <c r="C88" s="60">
        <v>1</v>
      </c>
      <c r="D88" s="60">
        <v>84.13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4.5104999999999995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47</v>
      </c>
      <c r="B89" s="60">
        <v>157.69</v>
      </c>
      <c r="C89" s="60">
        <v>2</v>
      </c>
      <c r="D89" s="60">
        <v>43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8.7714285714285722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55</v>
      </c>
      <c r="B90" s="60">
        <v>182.07</v>
      </c>
      <c r="C90" s="60">
        <v>3</v>
      </c>
      <c r="D90" s="60">
        <v>50.03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8.4224999999999994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63</v>
      </c>
      <c r="B91" s="60">
        <v>195.14</v>
      </c>
      <c r="C91" s="60">
        <v>4</v>
      </c>
      <c r="D91" s="60">
        <v>45.14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7.8874999999999993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71</v>
      </c>
      <c r="B92" s="60">
        <v>208.3</v>
      </c>
      <c r="C92" s="60">
        <v>5</v>
      </c>
      <c r="D92" s="60">
        <v>41.9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7.2875000000000014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79</v>
      </c>
      <c r="B93" s="60">
        <v>221.34</v>
      </c>
      <c r="C93" s="60">
        <v>6</v>
      </c>
      <c r="D93" s="60">
        <v>39.520000000000003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6.8674999999999997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88</v>
      </c>
      <c r="B94" s="60">
        <v>241.26</v>
      </c>
      <c r="C94" s="60">
        <v>7</v>
      </c>
      <c r="D94" s="60">
        <v>40.659999999999997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6.6044444444444439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97</v>
      </c>
      <c r="B95" s="60">
        <v>258</v>
      </c>
      <c r="C95" s="60">
        <v>8</v>
      </c>
      <c r="D95" s="60">
        <v>44.17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6.3777777777777782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107</v>
      </c>
      <c r="B96" s="60">
        <v>276.01</v>
      </c>
      <c r="C96" s="60">
        <v>9</v>
      </c>
      <c r="D96" s="60">
        <v>40.71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6.2180000000000009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117</v>
      </c>
      <c r="B97" s="60">
        <v>297.88</v>
      </c>
      <c r="C97" s="60">
        <v>10</v>
      </c>
      <c r="D97" s="60">
        <v>42.89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6.2580000000000009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129</v>
      </c>
      <c r="B98" s="60">
        <v>332.05</v>
      </c>
      <c r="C98" s="60">
        <v>11</v>
      </c>
      <c r="D98" s="60">
        <v>54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6.4216666666666669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141</v>
      </c>
      <c r="B99" s="60">
        <v>357.2</v>
      </c>
      <c r="C99" s="60">
        <v>12</v>
      </c>
      <c r="D99" s="60">
        <v>56.79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6.5958333333333314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153</v>
      </c>
      <c r="B100" s="60">
        <v>379.51</v>
      </c>
      <c r="C100" s="60">
        <v>13</v>
      </c>
      <c r="D100" s="60">
        <v>186.83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6.5916666666666686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157</v>
      </c>
      <c r="B101" s="60">
        <v>204.86</v>
      </c>
      <c r="C101" s="60">
        <v>14</v>
      </c>
      <c r="D101" s="60">
        <v>70.989999999999995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3.0450000000000088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161</v>
      </c>
      <c r="B102" s="50">
        <v>141.76</v>
      </c>
      <c r="C102" s="60">
        <v>15</v>
      </c>
      <c r="D102" s="50">
        <v>47.17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1.9724999999999966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165</v>
      </c>
      <c r="B103" s="50">
        <v>99.64</v>
      </c>
      <c r="C103" s="60">
        <v>16</v>
      </c>
      <c r="D103" s="50">
        <v>99.64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1.2625000000000028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31</v>
      </c>
      <c r="B114" s="60">
        <v>126.94</v>
      </c>
      <c r="C114" s="50">
        <v>1</v>
      </c>
      <c r="D114" s="60">
        <v>26.77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4.0948387096774193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37</v>
      </c>
      <c r="B115" s="60">
        <v>172.35</v>
      </c>
      <c r="C115" s="50">
        <v>2</v>
      </c>
      <c r="D115" s="60">
        <v>45.38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12.03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43</v>
      </c>
      <c r="B116" s="60">
        <v>200.21</v>
      </c>
      <c r="C116" s="50">
        <v>3</v>
      </c>
      <c r="D116" s="60">
        <v>50.92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12.206666666666669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49</v>
      </c>
      <c r="B117" s="60">
        <v>219.74</v>
      </c>
      <c r="C117" s="50">
        <v>4</v>
      </c>
      <c r="D117" s="60">
        <v>48.69</v>
      </c>
      <c r="E117" s="51">
        <v>0.3</v>
      </c>
      <c r="F117" s="51">
        <v>0</v>
      </c>
      <c r="G117" s="51">
        <v>0</v>
      </c>
      <c r="H117" s="51">
        <v>0.7</v>
      </c>
      <c r="I117" s="53">
        <f t="shared" si="4"/>
        <v>11.741666666666665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55</v>
      </c>
      <c r="B118" s="60">
        <v>238.12</v>
      </c>
      <c r="C118" s="50">
        <v>5</v>
      </c>
      <c r="D118" s="60">
        <v>45.46</v>
      </c>
      <c r="E118" s="51">
        <v>0.3</v>
      </c>
      <c r="F118" s="51">
        <v>0</v>
      </c>
      <c r="G118" s="51">
        <v>0</v>
      </c>
      <c r="H118" s="51">
        <v>0.7</v>
      </c>
      <c r="I118" s="53">
        <f t="shared" si="4"/>
        <v>11.178333333333333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63</v>
      </c>
      <c r="B119" s="60">
        <v>280.29000000000002</v>
      </c>
      <c r="C119" s="50">
        <v>6</v>
      </c>
      <c r="D119" s="60">
        <v>56.55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10.953750000000003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71</v>
      </c>
      <c r="B120" s="60">
        <v>307.3</v>
      </c>
      <c r="C120" s="60">
        <v>7</v>
      </c>
      <c r="D120" s="60">
        <v>54.57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10.445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80</v>
      </c>
      <c r="B121" s="60">
        <v>342.82</v>
      </c>
      <c r="C121" s="60">
        <v>8</v>
      </c>
      <c r="D121" s="60">
        <v>59.22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10.009999999999998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89</v>
      </c>
      <c r="B122" s="60">
        <v>369.98</v>
      </c>
      <c r="C122" s="60">
        <v>9</v>
      </c>
      <c r="D122" s="60">
        <v>56.32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9.5977777777777771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99</v>
      </c>
      <c r="B123" s="60">
        <v>406.25</v>
      </c>
      <c r="C123" s="60">
        <v>10</v>
      </c>
      <c r="D123" s="60">
        <v>62.89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9.2589999999999968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109</v>
      </c>
      <c r="B124" s="60">
        <v>433.8</v>
      </c>
      <c r="C124" s="60">
        <v>11</v>
      </c>
      <c r="D124" s="60">
        <v>64.41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9.0440000000000005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119</v>
      </c>
      <c r="B125" s="60">
        <v>458.3</v>
      </c>
      <c r="C125" s="60">
        <v>12</v>
      </c>
      <c r="D125" s="60">
        <v>231.19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8.8910000000000018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123</v>
      </c>
      <c r="B126" s="60">
        <v>242.89</v>
      </c>
      <c r="C126" s="60">
        <v>13</v>
      </c>
      <c r="D126" s="60">
        <v>81.84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3.9449999999999932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127</v>
      </c>
      <c r="B127" s="60">
        <v>170.66</v>
      </c>
      <c r="C127" s="60">
        <v>14</v>
      </c>
      <c r="D127" s="60">
        <v>54.18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2.4025000000000034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130</v>
      </c>
      <c r="B128" s="50">
        <v>121.16</v>
      </c>
      <c r="C128" s="50">
        <v>15</v>
      </c>
      <c r="D128" s="50">
        <v>121.16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1.5600000000000023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Cèdre de l'Atlas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416.76</v>
      </c>
      <c r="C140" s="50">
        <v>1</v>
      </c>
      <c r="D140" s="60">
        <v>182.39</v>
      </c>
      <c r="E140" s="51">
        <v>0.5</v>
      </c>
      <c r="F140" s="51">
        <v>0.5</v>
      </c>
      <c r="G140" s="51">
        <v>0</v>
      </c>
      <c r="H140" s="51">
        <v>0</v>
      </c>
      <c r="I140" s="57">
        <f>IFERROR(B140/A140,"")</f>
        <v>9.9228571428571435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49</v>
      </c>
      <c r="B141" s="60">
        <v>361.26</v>
      </c>
      <c r="C141" s="50">
        <v>2</v>
      </c>
      <c r="D141" s="60">
        <v>100.16</v>
      </c>
      <c r="E141" s="51">
        <v>0.5</v>
      </c>
      <c r="F141" s="51">
        <v>0.5</v>
      </c>
      <c r="G141" s="51">
        <v>0</v>
      </c>
      <c r="H141" s="51">
        <v>0</v>
      </c>
      <c r="I141" s="57">
        <f t="shared" ref="I141:I159" si="5">IF(A141&lt;&gt;0,(B141-(B140-D140))/(A141-A140),"")</f>
        <v>18.127142857142854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56</v>
      </c>
      <c r="B142" s="60">
        <v>379.71</v>
      </c>
      <c r="C142" s="50">
        <v>3</v>
      </c>
      <c r="D142" s="60">
        <v>79.39</v>
      </c>
      <c r="E142" s="51">
        <v>0.7</v>
      </c>
      <c r="F142" s="51">
        <v>0.3</v>
      </c>
      <c r="G142" s="51">
        <v>0</v>
      </c>
      <c r="H142" s="51">
        <v>0</v>
      </c>
      <c r="I142" s="57">
        <f t="shared" si="5"/>
        <v>16.944285714285709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63</v>
      </c>
      <c r="B143" s="60">
        <v>416.49</v>
      </c>
      <c r="C143" s="50">
        <v>4</v>
      </c>
      <c r="D143" s="60">
        <v>79.099999999999994</v>
      </c>
      <c r="E143" s="51">
        <v>0.7</v>
      </c>
      <c r="F143" s="51">
        <v>0.3</v>
      </c>
      <c r="G143" s="51">
        <v>0</v>
      </c>
      <c r="H143" s="51">
        <v>0</v>
      </c>
      <c r="I143" s="57">
        <f t="shared" si="5"/>
        <v>16.595714285714287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71</v>
      </c>
      <c r="B144" s="60">
        <v>465.79</v>
      </c>
      <c r="C144" s="50">
        <v>5</v>
      </c>
      <c r="D144" s="60">
        <v>90.8</v>
      </c>
      <c r="E144" s="51">
        <v>0.7</v>
      </c>
      <c r="F144" s="51">
        <v>0.3</v>
      </c>
      <c r="G144" s="51">
        <v>0</v>
      </c>
      <c r="H144" s="51">
        <v>0</v>
      </c>
      <c r="I144" s="57">
        <f t="shared" si="5"/>
        <v>16.050000000000004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79</v>
      </c>
      <c r="B145" s="60">
        <v>495.91</v>
      </c>
      <c r="C145" s="50">
        <v>6</v>
      </c>
      <c r="D145" s="60">
        <v>87.99</v>
      </c>
      <c r="E145" s="51">
        <v>0.7</v>
      </c>
      <c r="F145" s="51">
        <v>0.3</v>
      </c>
      <c r="G145" s="51">
        <v>0</v>
      </c>
      <c r="H145" s="51">
        <v>0</v>
      </c>
      <c r="I145" s="57">
        <f t="shared" si="5"/>
        <v>15.115000000000002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87</v>
      </c>
      <c r="B146" s="60">
        <v>521.62</v>
      </c>
      <c r="C146" s="50">
        <v>7</v>
      </c>
      <c r="D146" s="60">
        <v>88.62</v>
      </c>
      <c r="E146" s="51">
        <v>0.7</v>
      </c>
      <c r="F146" s="51">
        <v>0.3</v>
      </c>
      <c r="G146" s="51">
        <v>0</v>
      </c>
      <c r="H146" s="51">
        <v>0</v>
      </c>
      <c r="I146" s="57">
        <f t="shared" si="5"/>
        <v>14.212499999999999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95</v>
      </c>
      <c r="B147" s="60">
        <v>538.28</v>
      </c>
      <c r="C147" s="50">
        <v>8</v>
      </c>
      <c r="D147" s="60">
        <v>268.81</v>
      </c>
      <c r="E147" s="51">
        <v>0.7</v>
      </c>
      <c r="F147" s="51">
        <v>0.3</v>
      </c>
      <c r="G147" s="51">
        <v>0</v>
      </c>
      <c r="H147" s="51">
        <v>0</v>
      </c>
      <c r="I147" s="57">
        <f>IF(A147&lt;&gt;0,(B147-(B146-D146))/(A147-A146),"")</f>
        <v>13.159999999999997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105</v>
      </c>
      <c r="B148" s="60">
        <v>356.68</v>
      </c>
      <c r="C148" s="50">
        <v>9</v>
      </c>
      <c r="D148" s="60">
        <v>356.68</v>
      </c>
      <c r="E148" s="51">
        <v>0.7</v>
      </c>
      <c r="F148" s="51">
        <v>0.3</v>
      </c>
      <c r="G148" s="51">
        <v>0</v>
      </c>
      <c r="H148" s="51">
        <v>0</v>
      </c>
      <c r="I148" s="57">
        <f t="shared" si="5"/>
        <v>8.7210000000000036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17" sqref="D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0.27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0.73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1.35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4.95</v>
      </c>
      <c r="H3" s="67">
        <f>(B3+E3+F3)*44/12+(C3+D3)*0.475*44/12</f>
        <v>236.86666666666665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231.91666666666666</v>
      </c>
      <c r="S3" s="59">
        <f ca="1">AVERAGE(OFFSET($R$3,0,0,'Données projet'!$E$9+1,1))-AVERAGE(OFFSET($H$3,0,0,'Données projet'!$E$9+1,1))</f>
        <v>51.998489924038495</v>
      </c>
      <c r="T3" s="59">
        <f>IF('Données projet'!E9&gt;30,$R$33-$H$33,LOOKUP('Données projet'!$E$9,$A$3:$A$203,R3:R203)-LOOKUP('Données projet'!$E$9,$A$3:$A$203,$H$3:$H$203))</f>
        <v>206.32767973856241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231.91666666666666</v>
      </c>
      <c r="AN3" s="59">
        <f ca="1">AVERAGE(OFFSET($AM$3,0,0,'Données projet'!$E$10+1,1))-AVERAGE(OFFSET($H$3,0,0,'Données projet'!$E$10+1,1))</f>
        <v>356.02637444732096</v>
      </c>
      <c r="AO3" s="59">
        <f>IF('Données projet'!E10&gt;30,$AM$33-$H$33,LOOKUP('Données projet'!$E$10,$A$3:$A$203,AM3:AM203)-LOOKUP('Données projet'!$E$10,$A$3:$A$203,$H$3:$H$203))</f>
        <v>263.30053404008095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231.91666666666666</v>
      </c>
      <c r="BI3" s="59">
        <f ca="1">AVERAGE(OFFSET($BH$3,0,0,'Données projet'!$E$11+1,1))-AVERAGE(OFFSET($H$3,0,0,'Données projet'!$E$11+1,1))</f>
        <v>478.2340976873212</v>
      </c>
      <c r="BJ3" s="59">
        <f>IF('Données projet'!E11&gt;30,$BH$33-$H$33,LOOKUP('Données projet'!$E$11,$A$3:$A$203,BH3:BH203)-LOOKUP('Données projet'!$E$11,$A$3:$A$203,$H$3:$H$203))</f>
        <v>342.90128902463823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231.91666666666666</v>
      </c>
      <c r="CD3" s="59">
        <f ca="1">AVERAGE(OFFSET($CC$3,0,0,'Données projet'!$E$12+1,1))-AVERAGE(OFFSET($H$3,0,0,'Données projet'!$E$12+1,1))</f>
        <v>471.03166569378629</v>
      </c>
      <c r="CE3" s="59">
        <f>IF('Données projet'!E12&gt;30,$CC$33-$H$33,LOOKUP('Données projet'!$E$12,$A$3:$A$203,CC3:CC203)-LOOKUP('Données projet'!$E$12,$A$3:$A$203,$H$3:$H$203))</f>
        <v>259.15709238853287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231.91666666666666</v>
      </c>
      <c r="CY3" s="59">
        <f ca="1">AVERAGE(OFFSET($CX$3,0,0,'Données projet'!$E$13+1,1))-AVERAGE(OFFSET($H$3,0,0,'Données projet'!$E$13+1,1))</f>
        <v>364.67256251031029</v>
      </c>
      <c r="CZ3" s="59">
        <f>IF('Données projet'!E13&gt;30,$CX$33-$H$33,LOOKUP('Données projet'!$E$13,$A$3:$A$203,CX3:CX203)-LOOKUP('Données projet'!$E$13,$A$3:$A$203,$H$3:$H$203))</f>
        <v>347.4139588390766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63.25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1.35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4.95</v>
      </c>
      <c r="H4" s="67">
        <f t="shared" ref="H4:H67" si="1">(B4+E4+F4)*44/12+(C4+D4)*0.475*44/12</f>
        <v>236.86666666666665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6.0769230769230766</v>
      </c>
      <c r="N4" s="13">
        <f>IF('Données projet'!$A$36&gt;35,N3+M4-V3,IF(A4&lt;'Données projet'!$A$36,$K$205^A4,IF(A4='Données projet'!$A$36,'Données projet'!$B$36,N3+M4-V3)))</f>
        <v>1.2225452705364885</v>
      </c>
      <c r="O4" s="13">
        <f>N4*VLOOKUP('Données projet'!$B$9,Paramètres!$A$1:$I$89,3,0)*VLOOKUP('Données projet'!$B$9,Paramètres!$A$1:$I$89,5,0)</f>
        <v>0.62173762278403666</v>
      </c>
      <c r="P4" s="13">
        <f>EXP(-1.0587+0.8836*LN(O4)+0.284)</f>
        <v>0.30281915352757299</v>
      </c>
      <c r="Q4" s="20">
        <f t="shared" ref="Q4:Q34" si="2">(O4+P4)*0.475*44/12</f>
        <v>1.61026971874272</v>
      </c>
      <c r="R4" s="59">
        <f t="shared" si="0"/>
        <v>235.1785157749211</v>
      </c>
      <c r="S4" s="59">
        <f ca="1">AVERAGE(OFFSET($R$3,0,0,'Données projet'!$E$9+1,1))-AVERAGE(OFFSET($H$3,0,0,'Données projet'!$E$9+1,1))</f>
        <v>51.998489924038495</v>
      </c>
      <c r="T4" s="59">
        <f>$T$3</f>
        <v>206.32767973856241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5.8668181818181813</v>
      </c>
      <c r="AI4" s="13">
        <f>IF('Données projet'!$A$62&gt;35,AI3+AH4-AQ3,IF(A4&lt;'Données projet'!$A$62,$AF$205^A4,IF(A4='Données projet'!$A$62,'Données projet'!$B$62,AI3+AH4-AQ3)))</f>
        <v>1.2472301622014093</v>
      </c>
      <c r="AJ4" s="13">
        <f>AI4*VLOOKUP('Données projet'!$B$10,Paramètres!$A$1:$I$89,3,0)*VLOOKUP('Données projet'!$B$10,Paramètres!$A$1:$I$89,5,0)</f>
        <v>0.74584363699644274</v>
      </c>
      <c r="AK4" s="13">
        <f>EXP(-1.0587+0.8836*LN(AJ4)+0.284)</f>
        <v>0.35565068640491565</v>
      </c>
      <c r="AL4" s="20">
        <f t="shared" ref="AL4:AL67" si="4">(AJ4+AK4)*0.475*44/12</f>
        <v>1.918435946590699</v>
      </c>
      <c r="AM4" s="59">
        <f t="shared" ref="AM4:AM67" si="5">AL4+(AD4+AE4)*44/12</f>
        <v>235.48668200276907</v>
      </c>
      <c r="AN4" s="59">
        <f ca="1">AVERAGE(OFFSET($AM$3,0,0,'Données projet'!$E$10+1,1))-AVERAGE(OFFSET($H$3,0,0,'Données projet'!$E$10+1,1))</f>
        <v>356.02637444732096</v>
      </c>
      <c r="AO4" s="59">
        <f>$AO$3</f>
        <v>263.30053404008095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4.5104999999999995</v>
      </c>
      <c r="BD4" s="12">
        <f>IF('Données projet'!$A$88&gt;35,BD3+BC4-BL3,IF(A4&lt;'Données projet'!$A$88,$BA$205^A4,IF(A4='Données projet'!$A$88,'Données projet'!$B$88,BD3+BC4-BL3)))</f>
        <v>4.5104999999999995</v>
      </c>
      <c r="BE4" s="13">
        <f>BD4*VLOOKUP('Données projet'!$B$11,Paramètres!$A$1:$I$89,3,0)*VLOOKUP('Données projet'!$B$11,Paramètres!$A$1:$I$89,5,0)</f>
        <v>4.5736470000000002</v>
      </c>
      <c r="BF4" s="13">
        <f>EXP(-1.0587+0.8836*LN(BE4)+0.284)</f>
        <v>1.7658757209398976</v>
      </c>
      <c r="BG4" s="20">
        <f t="shared" ref="BG4:BG67" si="7">(BE4+BF4)*0.475*44/12</f>
        <v>11.041335405636987</v>
      </c>
      <c r="BH4" s="59">
        <f t="shared" ref="BH4:BH67" si="8">BG4+(AY4+AZ4)*44/12</f>
        <v>244.60958146181537</v>
      </c>
      <c r="BI4" s="59">
        <f ca="1">AVERAGE(OFFSET($BH$3,0,0,'Données projet'!$E$11+1,1))-AVERAGE(OFFSET($H$3,0,0,'Données projet'!$E$11+1,1))</f>
        <v>478.2340976873212</v>
      </c>
      <c r="BJ4" s="59">
        <f>$BJ$3</f>
        <v>342.90128902463823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4.0948387096774193</v>
      </c>
      <c r="BY4" s="12">
        <f>IF('Données projet'!$A$114&gt;35,BY3+BX4-CG3,IF(A4&lt;'Données projet'!$A$114,$BV$205^A4,IF(A4='Données projet'!$A$114,'Données projet'!$B$114,BY3+BX4-CG3)))</f>
        <v>1.1691171086187513</v>
      </c>
      <c r="BZ4" s="13">
        <f>BY4*VLOOKUP('Données projet'!$B$12,Paramètres!$A$1:$I$89,3,0)*VLOOKUP('Données projet'!$B$12,Paramètres!$A$1:$I$89,5,0)</f>
        <v>1.057817159878246</v>
      </c>
      <c r="CA4" s="13">
        <f>EXP(-1.0587+0.8836*LN(BZ4)+0.284)</f>
        <v>0.48430759297324627</v>
      </c>
      <c r="CB4" s="20">
        <f t="shared" ref="CB4:CB67" si="10">(BZ4+CA4)*0.475*44/12</f>
        <v>2.6858672778830157</v>
      </c>
      <c r="CC4" s="59">
        <f t="shared" ref="CC4:CC67" si="11">CB4+(BT4+BU4)*44/12</f>
        <v>236.25411333406137</v>
      </c>
      <c r="CD4" s="59">
        <f ca="1">AVERAGE(OFFSET($CC$3,0,0,'Données projet'!$E$12+1,1))-AVERAGE(OFFSET($H$3,0,0,'Données projet'!$E$12+1,1))</f>
        <v>471.03166569378629</v>
      </c>
      <c r="CE4" s="59">
        <f>$CE$3</f>
        <v>259.15709238853287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9.9228571428571435</v>
      </c>
      <c r="CT4" s="12">
        <f>IF('Données projet'!$A$140&gt;35,CT3+CS4-DB3,IF(A4&lt;'Données projet'!$A$140,$CQ$205^A4,IF(A4='Données projet'!$A$140,'Données projet'!$B$140,CT3+CS4-DB3)))</f>
        <v>9.9228571428571435</v>
      </c>
      <c r="CU4" s="17">
        <f>CT4*VLOOKUP('Données projet'!$B$13,Paramètres!$A$1:$I$89,3,0)*VLOOKUP('Données projet'!$B$13,Paramètres!$A$1:$I$89,5,0)</f>
        <v>4.6438971428571429</v>
      </c>
      <c r="CV4" s="13">
        <f>EXP(-1.0587+0.8836*LN(CU4)+0.284)</f>
        <v>1.7898206860922095</v>
      </c>
      <c r="CW4" s="20">
        <f t="shared" ref="CW4:CW67" si="13">(CU4+CV4)*0.475*44/12</f>
        <v>11.20539188542012</v>
      </c>
      <c r="CX4" s="59">
        <f t="shared" ref="CX4:CX67" si="14">CW4+(CO4+CP4)*44/12</f>
        <v>244.77363794159848</v>
      </c>
      <c r="CY4" s="59">
        <f ca="1">AVERAGE(OFFSET($CX$3,0,0,'Données projet'!$E$13+1,1))-AVERAGE(OFFSET($H$3,0,0,'Données projet'!$E$13+1,1))</f>
        <v>364.67256251031029</v>
      </c>
      <c r="CZ4" s="59">
        <f>$CZ$3</f>
        <v>347.4139588390766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63.367097409260758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1.35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4.95</v>
      </c>
      <c r="H5" s="67">
        <f t="shared" si="1"/>
        <v>236.86666666666665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6.0769230769230766</v>
      </c>
      <c r="N5" s="13">
        <f>IF('Données projet'!$A$36&gt;35,N4+M5-V4,IF(A5&lt;'Données projet'!$A$36,$K$205^A5,IF(A5='Données projet'!$A$36,'Données projet'!$B$36,N4+M5-V4)))</f>
        <v>1.4946169385111359</v>
      </c>
      <c r="O5" s="13">
        <f>N5*VLOOKUP('Données projet'!$B$9,Paramètres!$A$1:$I$89,3,0)*VLOOKUP('Données projet'!$B$9,Paramètres!$A$1:$I$89,5,0)</f>
        <v>0.76010239024922333</v>
      </c>
      <c r="P5" s="13">
        <f t="shared" ref="P5:P68" si="33">EXP(-1.0587+0.8836*LN(O5)+0.284)</f>
        <v>0.36165181655215073</v>
      </c>
      <c r="Q5" s="20">
        <f t="shared" si="2"/>
        <v>1.9537219101790597</v>
      </c>
      <c r="R5" s="59">
        <f t="shared" si="0"/>
        <v>237.16609896891543</v>
      </c>
      <c r="S5" s="59">
        <f ca="1">AVERAGE(OFFSET($R$3,0,0,'Données projet'!$E$9+1,1))-AVERAGE(OFFSET($H$3,0,0,'Données projet'!$E$9+1,1))</f>
        <v>51.998489924038495</v>
      </c>
      <c r="T5" s="59">
        <f t="shared" ref="T5:T68" si="34">$T$3</f>
        <v>206.32767973856241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5.8668181818181813</v>
      </c>
      <c r="AI5" s="13">
        <f>IF('Données projet'!$A$62&gt;35,AI4+AH5-AQ4,IF(A5&lt;'Données projet'!$A$62,$AF$205^A5,IF(A5='Données projet'!$A$62,'Données projet'!$B$62,AI4+AH5-AQ4)))</f>
        <v>1.5555830775049537</v>
      </c>
      <c r="AJ5" s="13">
        <f>AI5*VLOOKUP('Données projet'!$B$10,Paramètres!$A$1:$I$89,3,0)*VLOOKUP('Données projet'!$B$10,Paramètres!$A$1:$I$89,5,0)</f>
        <v>0.93023868034796242</v>
      </c>
      <c r="AK5" s="13">
        <f t="shared" ref="AK5:AK68" si="35">EXP(-1.0587+0.8836*LN(AJ5)+0.284)</f>
        <v>0.43231675887518456</v>
      </c>
      <c r="AL5" s="20">
        <f t="shared" si="4"/>
        <v>2.373117389980314</v>
      </c>
      <c r="AM5" s="59">
        <f t="shared" si="5"/>
        <v>237.58549444871667</v>
      </c>
      <c r="AN5" s="59">
        <f ca="1">AVERAGE(OFFSET($AM$3,0,0,'Données projet'!$E$10+1,1))-AVERAGE(OFFSET($H$3,0,0,'Données projet'!$E$10+1,1))</f>
        <v>356.02637444732096</v>
      </c>
      <c r="AO5" s="59">
        <f t="shared" ref="AO5:AO68" si="36">$AO$3</f>
        <v>263.30053404008095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4.5104999999999995</v>
      </c>
      <c r="BD5" s="12">
        <f>IF('Données projet'!$A$88&gt;35,BD4+BC5-BL4,IF(A5&lt;'Données projet'!$A$88,$BA$205^A5,IF(A5='Données projet'!$A$88,'Données projet'!$B$88,BD4+BC5-BL4)))</f>
        <v>9.020999999999999</v>
      </c>
      <c r="BE5" s="13">
        <f>BD5*VLOOKUP('Données projet'!$B$11,Paramètres!$A$1:$I$89,3,0)*VLOOKUP('Données projet'!$B$11,Paramètres!$A$1:$I$89,5,0)</f>
        <v>9.1472940000000005</v>
      </c>
      <c r="BF5" s="13">
        <f t="shared" ref="BF5:BF68" si="37">EXP(-1.0587+0.8836*LN(BE5)+0.284)</f>
        <v>3.2579936960193319</v>
      </c>
      <c r="BG5" s="20">
        <f t="shared" si="7"/>
        <v>21.605876070567003</v>
      </c>
      <c r="BH5" s="59">
        <f t="shared" si="8"/>
        <v>256.81825312930334</v>
      </c>
      <c r="BI5" s="59">
        <f ca="1">AVERAGE(OFFSET($BH$3,0,0,'Données projet'!$E$11+1,1))-AVERAGE(OFFSET($H$3,0,0,'Données projet'!$E$11+1,1))</f>
        <v>478.2340976873212</v>
      </c>
      <c r="BJ5" s="59">
        <f t="shared" ref="BJ5:BJ68" si="38">$BJ$3</f>
        <v>342.90128902463823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4.0948387096774193</v>
      </c>
      <c r="BY5" s="12">
        <f>IF('Données projet'!$A$114&gt;35,BY4+BX5-CG4,IF(A5&lt;'Données projet'!$A$114,$BV$205^A5,IF(A5='Données projet'!$A$114,'Données projet'!$B$114,BY4+BX5-CG4)))</f>
        <v>1.3668348136650692</v>
      </c>
      <c r="BZ5" s="13">
        <f>BY5*VLOOKUP('Données projet'!$B$12,Paramètres!$A$1:$I$89,3,0)*VLOOKUP('Données projet'!$B$12,Paramètres!$A$1:$I$89,5,0)</f>
        <v>1.2367121394041547</v>
      </c>
      <c r="CA5" s="13">
        <f t="shared" ref="CA5:CA68" si="39">EXP(-1.0587+0.8836*LN(BZ5)+0.284)</f>
        <v>0.55600746289345249</v>
      </c>
      <c r="CB5" s="20">
        <f t="shared" si="10"/>
        <v>3.1223199740016661</v>
      </c>
      <c r="CC5" s="59">
        <f t="shared" si="11"/>
        <v>238.33469703273803</v>
      </c>
      <c r="CD5" s="59">
        <f ca="1">AVERAGE(OFFSET($CC$3,0,0,'Données projet'!$E$12+1,1))-AVERAGE(OFFSET($H$3,0,0,'Données projet'!$E$12+1,1))</f>
        <v>471.03166569378629</v>
      </c>
      <c r="CE5" s="59">
        <f t="shared" ref="CE5:CE68" si="40">$CE$3</f>
        <v>259.15709238853287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9.9228571428571435</v>
      </c>
      <c r="CT5" s="12">
        <f>IF('Données projet'!$A$140&gt;35,CT4+CS5-DB4,IF(A5&lt;'Données projet'!$A$140,$CQ$205^A5,IF(A5='Données projet'!$A$140,'Données projet'!$B$140,CT4+CS5-DB4)))</f>
        <v>19.845714285714287</v>
      </c>
      <c r="CU5" s="17">
        <f>CT5*VLOOKUP('Données projet'!$B$13,Paramètres!$A$1:$I$89,3,0)*VLOOKUP('Données projet'!$B$13,Paramètres!$A$1:$I$89,5,0)</f>
        <v>9.2877942857142859</v>
      </c>
      <c r="CV5" s="13">
        <f t="shared" ref="CV5:CV68" si="41">EXP(-1.0587+0.8836*LN(CU5)+0.284)</f>
        <v>3.3021715192899936</v>
      </c>
      <c r="CW5" s="20">
        <f t="shared" si="13"/>
        <v>21.927523777049117</v>
      </c>
      <c r="CX5" s="59">
        <f t="shared" si="14"/>
        <v>257.13990083578551</v>
      </c>
      <c r="CY5" s="59">
        <f ca="1">AVERAGE(OFFSET($CX$3,0,0,'Données projet'!$E$13+1,1))-AVERAGE(OFFSET($H$3,0,0,'Données projet'!$E$13+1,1))</f>
        <v>364.67256251031029</v>
      </c>
      <c r="CZ5" s="59">
        <f t="shared" ref="CZ5:CZ68" si="42">$CZ$3</f>
        <v>347.4139588390766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63.482163440261431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1.35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4.95</v>
      </c>
      <c r="H6" s="67">
        <f t="shared" si="1"/>
        <v>236.86666666666665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6.0769230769230766</v>
      </c>
      <c r="N6" s="13">
        <f>IF('Données projet'!$A$36&gt;35,N5+M6-V5,IF(A6&lt;'Données projet'!$A$36,$K$205^A6,IF(A6='Données projet'!$A$36,'Données projet'!$B$36,N5+M6-V5)))</f>
        <v>1.8272368694405148</v>
      </c>
      <c r="O6" s="13">
        <f>N6*VLOOKUP('Données projet'!$B$9,Paramètres!$A$1:$I$89,3,0)*VLOOKUP('Données projet'!$B$9,Paramètres!$A$1:$I$89,5,0)</f>
        <v>0.92925958232266825</v>
      </c>
      <c r="P6" s="13">
        <f t="shared" si="33"/>
        <v>0.43191467544856366</v>
      </c>
      <c r="Q6" s="20">
        <f t="shared" si="2"/>
        <v>2.3707118322848957</v>
      </c>
      <c r="R6" s="59">
        <f t="shared" si="0"/>
        <v>239.2199007194871</v>
      </c>
      <c r="S6" s="59">
        <f ca="1">AVERAGE(OFFSET($R$3,0,0,'Données projet'!$E$9+1,1))-AVERAGE(OFFSET($H$3,0,0,'Données projet'!$E$9+1,1))</f>
        <v>51.998489924038495</v>
      </c>
      <c r="T6" s="59">
        <f t="shared" si="34"/>
        <v>206.32767973856241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5.8668181818181813</v>
      </c>
      <c r="AI6" s="13">
        <f>IF('Données projet'!$A$62&gt;35,AI5+AH6-AQ5,IF(A6&lt;'Données projet'!$A$62,$AF$205^A6,IF(A6='Données projet'!$A$62,'Données projet'!$B$62,AI5+AH6-AQ5)))</f>
        <v>1.9401701340742707</v>
      </c>
      <c r="AJ6" s="13">
        <f>AI6*VLOOKUP('Données projet'!$B$10,Paramètres!$A$1:$I$89,3,0)*VLOOKUP('Données projet'!$B$10,Paramètres!$A$1:$I$89,5,0)</f>
        <v>1.1602217401764139</v>
      </c>
      <c r="AK6" s="13">
        <f t="shared" si="35"/>
        <v>0.52550940332379237</v>
      </c>
      <c r="AL6" s="20">
        <f t="shared" si="4"/>
        <v>2.9359817415961924</v>
      </c>
      <c r="AM6" s="59">
        <f t="shared" si="5"/>
        <v>239.7851706287984</v>
      </c>
      <c r="AN6" s="59">
        <f ca="1">AVERAGE(OFFSET($AM$3,0,0,'Données projet'!$E$10+1,1))-AVERAGE(OFFSET($H$3,0,0,'Données projet'!$E$10+1,1))</f>
        <v>356.02637444732096</v>
      </c>
      <c r="AO6" s="59">
        <f t="shared" si="36"/>
        <v>263.30053404008095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4.5104999999999995</v>
      </c>
      <c r="BD6" s="12">
        <f>IF('Données projet'!$A$88&gt;35,BD5+BC6-BL5,IF(A6&lt;'Données projet'!$A$88,$BA$205^A6,IF(A6='Données projet'!$A$88,'Données projet'!$B$88,BD5+BC6-BL5)))</f>
        <v>13.531499999999998</v>
      </c>
      <c r="BE6" s="13">
        <f>BD6*VLOOKUP('Données projet'!$B$11,Paramètres!$A$1:$I$89,3,0)*VLOOKUP('Données projet'!$B$11,Paramètres!$A$1:$I$89,5,0)</f>
        <v>13.720940999999998</v>
      </c>
      <c r="BF6" s="13">
        <f t="shared" si="37"/>
        <v>4.661701660965047</v>
      </c>
      <c r="BG6" s="20">
        <f t="shared" si="7"/>
        <v>32.01643596784745</v>
      </c>
      <c r="BH6" s="59">
        <f t="shared" si="8"/>
        <v>268.86562485504965</v>
      </c>
      <c r="BI6" s="59">
        <f ca="1">AVERAGE(OFFSET($BH$3,0,0,'Données projet'!$E$11+1,1))-AVERAGE(OFFSET($H$3,0,0,'Données projet'!$E$11+1,1))</f>
        <v>478.2340976873212</v>
      </c>
      <c r="BJ6" s="59">
        <f t="shared" si="38"/>
        <v>342.90128902463823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4.0948387096774193</v>
      </c>
      <c r="BY6" s="12">
        <f>IF('Données projet'!$A$114&gt;35,BY5+BX6-CG5,IF(A6&lt;'Données projet'!$A$114,$BV$205^A6,IF(A6='Données projet'!$A$114,'Données projet'!$B$114,BY5+BX6-CG5)))</f>
        <v>1.5979899653115555</v>
      </c>
      <c r="BZ6" s="13">
        <f>BY6*VLOOKUP('Données projet'!$B$12,Paramètres!$A$1:$I$89,3,0)*VLOOKUP('Données projet'!$B$12,Paramètres!$A$1:$I$89,5,0)</f>
        <v>1.4458613206138955</v>
      </c>
      <c r="CA6" s="13">
        <f t="shared" si="39"/>
        <v>0.63832222182461484</v>
      </c>
      <c r="CB6" s="20">
        <f t="shared" si="10"/>
        <v>3.6299530030804057</v>
      </c>
      <c r="CC6" s="59">
        <f t="shared" si="11"/>
        <v>240.47914189028262</v>
      </c>
      <c r="CD6" s="59">
        <f ca="1">AVERAGE(OFFSET($CC$3,0,0,'Données projet'!$E$12+1,1))-AVERAGE(OFFSET($H$3,0,0,'Données projet'!$E$12+1,1))</f>
        <v>471.03166569378629</v>
      </c>
      <c r="CE6" s="59">
        <f t="shared" si="40"/>
        <v>259.15709238853287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9.9228571428571435</v>
      </c>
      <c r="CT6" s="12">
        <f>IF('Données projet'!$A$140&gt;35,CT5+CS6-DB5,IF(A6&lt;'Données projet'!$A$140,$CQ$205^A6,IF(A6='Données projet'!$A$140,'Données projet'!$B$140,CT5+CS6-DB5)))</f>
        <v>29.76857142857143</v>
      </c>
      <c r="CU6" s="17">
        <f>CT6*VLOOKUP('Données projet'!$B$13,Paramètres!$A$1:$I$89,3,0)*VLOOKUP('Données projet'!$B$13,Paramètres!$A$1:$I$89,5,0)</f>
        <v>13.93169142857143</v>
      </c>
      <c r="CV6" s="13">
        <f t="shared" si="41"/>
        <v>4.7249135181182051</v>
      </c>
      <c r="CW6" s="20">
        <f t="shared" si="13"/>
        <v>32.493586948817772</v>
      </c>
      <c r="CX6" s="59">
        <f t="shared" si="14"/>
        <v>269.34277583602</v>
      </c>
      <c r="CY6" s="59">
        <f ca="1">AVERAGE(OFFSET($CX$3,0,0,'Données projet'!$E$13+1,1))-AVERAGE(OFFSET($H$3,0,0,'Données projet'!$E$13+1,1))</f>
        <v>364.67256251031029</v>
      </c>
      <c r="CZ6" s="59">
        <f t="shared" si="42"/>
        <v>347.4139588390766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63.595233332873342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1.35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4.95</v>
      </c>
      <c r="H7" s="67">
        <f t="shared" si="1"/>
        <v>236.86666666666665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6.0769230769230766</v>
      </c>
      <c r="N7" s="13">
        <f>IF('Données projet'!$A$36&gt;35,N6+M7-V6,IF(A7&lt;'Données projet'!$A$36,$K$205^A7,IF(A7='Données projet'!$A$36,'Données projet'!$B$36,N6+M7-V6)))</f>
        <v>2.2338797928844003</v>
      </c>
      <c r="O7" s="13">
        <f>N7*VLOOKUP('Données projet'!$B$9,Paramètres!$A$1:$I$89,3,0)*VLOOKUP('Données projet'!$B$9,Paramètres!$A$1:$I$89,5,0)</f>
        <v>1.1360619074692906</v>
      </c>
      <c r="P7" s="13">
        <f t="shared" si="33"/>
        <v>0.51582842482677604</v>
      </c>
      <c r="Q7" s="20">
        <f t="shared" si="2"/>
        <v>2.8770423287489826</v>
      </c>
      <c r="R7" s="59">
        <f t="shared" si="0"/>
        <v>241.3558508416323</v>
      </c>
      <c r="S7" s="59">
        <f ca="1">AVERAGE(OFFSET($R$3,0,0,'Données projet'!$E$9+1,1))-AVERAGE(OFFSET($H$3,0,0,'Données projet'!$E$9+1,1))</f>
        <v>51.998489924038495</v>
      </c>
      <c r="T7" s="59">
        <f t="shared" si="34"/>
        <v>206.32767973856241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5.8668181818181813</v>
      </c>
      <c r="AI7" s="13">
        <f>IF('Données projet'!$A$62&gt;35,AI6+AH7-AQ6,IF(A7&lt;'Données projet'!$A$62,$AF$205^A7,IF(A7='Données projet'!$A$62,'Données projet'!$B$62,AI6+AH7-AQ6)))</f>
        <v>2.419838711019783</v>
      </c>
      <c r="AJ7" s="13">
        <f>AI7*VLOOKUP('Données projet'!$B$10,Paramètres!$A$1:$I$89,3,0)*VLOOKUP('Données projet'!$B$10,Paramètres!$A$1:$I$89,5,0)</f>
        <v>1.4470635491898303</v>
      </c>
      <c r="AK7" s="13">
        <f t="shared" si="35"/>
        <v>0.63879118103182142</v>
      </c>
      <c r="AL7" s="20">
        <f t="shared" si="4"/>
        <v>3.6328636551360431</v>
      </c>
      <c r="AM7" s="59">
        <f t="shared" si="5"/>
        <v>242.11167216801937</v>
      </c>
      <c r="AN7" s="59">
        <f ca="1">AVERAGE(OFFSET($AM$3,0,0,'Données projet'!$E$10+1,1))-AVERAGE(OFFSET($H$3,0,0,'Données projet'!$E$10+1,1))</f>
        <v>356.02637444732096</v>
      </c>
      <c r="AO7" s="59">
        <f t="shared" si="36"/>
        <v>263.30053404008095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4.5104999999999995</v>
      </c>
      <c r="BD7" s="12">
        <f>IF('Données projet'!$A$88&gt;35,BD6+BC7-BL6,IF(A7&lt;'Données projet'!$A$88,$BA$205^A7,IF(A7='Données projet'!$A$88,'Données projet'!$B$88,BD6+BC7-BL6)))</f>
        <v>18.041999999999998</v>
      </c>
      <c r="BE7" s="13">
        <f>BD7*VLOOKUP('Données projet'!$B$11,Paramètres!$A$1:$I$89,3,0)*VLOOKUP('Données projet'!$B$11,Paramètres!$A$1:$I$89,5,0)</f>
        <v>18.294588000000001</v>
      </c>
      <c r="BF7" s="13">
        <f t="shared" si="37"/>
        <v>6.010911638590323</v>
      </c>
      <c r="BG7" s="20">
        <f t="shared" si="7"/>
        <v>42.33207853721148</v>
      </c>
      <c r="BH7" s="59">
        <f t="shared" si="8"/>
        <v>280.81088705009478</v>
      </c>
      <c r="BI7" s="59">
        <f ca="1">AVERAGE(OFFSET($BH$3,0,0,'Données projet'!$E$11+1,1))-AVERAGE(OFFSET($H$3,0,0,'Données projet'!$E$11+1,1))</f>
        <v>478.2340976873212</v>
      </c>
      <c r="BJ7" s="59">
        <f t="shared" si="38"/>
        <v>342.90128902463823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4.0948387096774193</v>
      </c>
      <c r="BY7" s="12">
        <f>IF('Données projet'!$A$114&gt;35,BY6+BX7-CG6,IF(A7&lt;'Données projet'!$A$114,$BV$205^A7,IF(A7='Données projet'!$A$114,'Données projet'!$B$114,BY6+BX7-CG6)))</f>
        <v>1.8682374078468245</v>
      </c>
      <c r="BZ7" s="13">
        <f>BY7*VLOOKUP('Données projet'!$B$12,Paramètres!$A$1:$I$89,3,0)*VLOOKUP('Données projet'!$B$12,Paramètres!$A$1:$I$89,5,0)</f>
        <v>1.6903812066198067</v>
      </c>
      <c r="CA7" s="13">
        <f t="shared" si="39"/>
        <v>0.73282336311588914</v>
      </c>
      <c r="CB7" s="20">
        <f t="shared" si="10"/>
        <v>4.220414625623004</v>
      </c>
      <c r="CC7" s="59">
        <f t="shared" si="11"/>
        <v>242.69922313850631</v>
      </c>
      <c r="CD7" s="59">
        <f ca="1">AVERAGE(OFFSET($CC$3,0,0,'Données projet'!$E$12+1,1))-AVERAGE(OFFSET($H$3,0,0,'Données projet'!$E$12+1,1))</f>
        <v>471.03166569378629</v>
      </c>
      <c r="CE7" s="59">
        <f t="shared" si="40"/>
        <v>259.15709238853287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9.9228571428571435</v>
      </c>
      <c r="CT7" s="12">
        <f>IF('Données projet'!$A$140&gt;35,CT6+CS7-DB6,IF(A7&lt;'Données projet'!$A$140,$CQ$205^A7,IF(A7='Données projet'!$A$140,'Données projet'!$B$140,CT6+CS7-DB6)))</f>
        <v>39.691428571428574</v>
      </c>
      <c r="CU7" s="17">
        <f>CT7*VLOOKUP('Données projet'!$B$13,Paramètres!$A$1:$I$89,3,0)*VLOOKUP('Données projet'!$B$13,Paramètres!$A$1:$I$89,5,0)</f>
        <v>18.575588571428572</v>
      </c>
      <c r="CV7" s="13">
        <f t="shared" si="41"/>
        <v>6.0924185464734348</v>
      </c>
      <c r="CW7" s="20">
        <f t="shared" si="13"/>
        <v>42.963445730345995</v>
      </c>
      <c r="CX7" s="59">
        <f t="shared" si="14"/>
        <v>281.44225424322929</v>
      </c>
      <c r="CY7" s="59">
        <f ca="1">AVERAGE(OFFSET($CX$3,0,0,'Données projet'!$E$13+1,1))-AVERAGE(OFFSET($H$3,0,0,'Données projet'!$E$13+1,1))</f>
        <v>364.67256251031029</v>
      </c>
      <c r="CZ7" s="59">
        <f t="shared" si="42"/>
        <v>347.4139588390766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63.706341715634849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1.35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4.95</v>
      </c>
      <c r="H8" s="67">
        <f t="shared" si="1"/>
        <v>236.86666666666665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6.0769230769230766</v>
      </c>
      <c r="N8" s="13">
        <f>IF('Données projet'!$A$36&gt;35,N7+M8-V7,IF(A8&lt;'Données projet'!$A$36,$K$205^A8,IF(A8='Données projet'!$A$36,'Données projet'!$B$36,N7+M8-V7)))</f>
        <v>2.7310191757378544</v>
      </c>
      <c r="O8" s="13">
        <f>N8*VLOOKUP('Données projet'!$B$9,Paramètres!$A$1:$I$89,3,0)*VLOOKUP('Données projet'!$B$9,Paramètres!$A$1:$I$89,5,0)</f>
        <v>1.3888871120132433</v>
      </c>
      <c r="P8" s="13">
        <f t="shared" si="33"/>
        <v>0.61604520287007491</v>
      </c>
      <c r="Q8" s="20">
        <f t="shared" si="2"/>
        <v>3.4919237817551125</v>
      </c>
      <c r="R8" s="59">
        <f t="shared" si="0"/>
        <v>243.59328448617367</v>
      </c>
      <c r="S8" s="59">
        <f ca="1">AVERAGE(OFFSET($R$3,0,0,'Données projet'!$E$9+1,1))-AVERAGE(OFFSET($H$3,0,0,'Données projet'!$E$9+1,1))</f>
        <v>51.998489924038495</v>
      </c>
      <c r="T8" s="59">
        <f t="shared" si="34"/>
        <v>206.32767973856241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5.8668181818181813</v>
      </c>
      <c r="AI8" s="13">
        <f>IF('Données projet'!$A$62&gt;35,AI7+AH8-AQ7,IF(A8&lt;'Données projet'!$A$62,$AF$205^A8,IF(A8='Données projet'!$A$62,'Données projet'!$B$62,AI7+AH8-AQ7)))</f>
        <v>3.0180958280464529</v>
      </c>
      <c r="AJ8" s="13">
        <f>AI8*VLOOKUP('Données projet'!$B$10,Paramètres!$A$1:$I$89,3,0)*VLOOKUP('Données projet'!$B$10,Paramètres!$A$1:$I$89,5,0)</f>
        <v>1.804821305171779</v>
      </c>
      <c r="AK8" s="13">
        <f t="shared" si="35"/>
        <v>0.77649261912941803</v>
      </c>
      <c r="AL8" s="20">
        <f t="shared" si="4"/>
        <v>4.4957884181579182</v>
      </c>
      <c r="AM8" s="59">
        <f t="shared" si="5"/>
        <v>244.5971491225765</v>
      </c>
      <c r="AN8" s="59">
        <f ca="1">AVERAGE(OFFSET($AM$3,0,0,'Données projet'!$E$10+1,1))-AVERAGE(OFFSET($H$3,0,0,'Données projet'!$E$10+1,1))</f>
        <v>356.02637444732096</v>
      </c>
      <c r="AO8" s="59">
        <f t="shared" si="36"/>
        <v>263.30053404008095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4.5104999999999995</v>
      </c>
      <c r="BD8" s="12">
        <f>IF('Données projet'!$A$88&gt;35,BD7+BC8-BL7,IF(A8&lt;'Données projet'!$A$88,$BA$205^A8,IF(A8='Données projet'!$A$88,'Données projet'!$B$88,BD7+BC8-BL7)))</f>
        <v>22.552499999999998</v>
      </c>
      <c r="BE8" s="13">
        <f>BD8*VLOOKUP('Données projet'!$B$11,Paramètres!$A$1:$I$89,3,0)*VLOOKUP('Données projet'!$B$11,Paramètres!$A$1:$I$89,5,0)</f>
        <v>22.868234999999999</v>
      </c>
      <c r="BF8" s="13">
        <f t="shared" si="37"/>
        <v>7.3209936693437534</v>
      </c>
      <c r="BG8" s="20">
        <f t="shared" si="7"/>
        <v>52.579573265773696</v>
      </c>
      <c r="BH8" s="59">
        <f t="shared" si="8"/>
        <v>292.68093397019226</v>
      </c>
      <c r="BI8" s="59">
        <f ca="1">AVERAGE(OFFSET($BH$3,0,0,'Données projet'!$E$11+1,1))-AVERAGE(OFFSET($H$3,0,0,'Données projet'!$E$11+1,1))</f>
        <v>478.2340976873212</v>
      </c>
      <c r="BJ8" s="59">
        <f t="shared" si="38"/>
        <v>342.90128902463823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4.0948387096774193</v>
      </c>
      <c r="BY8" s="12">
        <f>IF('Données projet'!$A$114&gt;35,BY7+BX8-CG7,IF(A8&lt;'Données projet'!$A$114,$BV$205^A8,IF(A8='Données projet'!$A$114,'Données projet'!$B$114,BY7+BX8-CG7)))</f>
        <v>2.1841883164752702</v>
      </c>
      <c r="BZ8" s="13">
        <f>BY8*VLOOKUP('Données projet'!$B$12,Paramètres!$A$1:$I$89,3,0)*VLOOKUP('Données projet'!$B$12,Paramètres!$A$1:$I$89,5,0)</f>
        <v>1.9762535887468244</v>
      </c>
      <c r="CA8" s="13">
        <f t="shared" si="39"/>
        <v>0.84131503364148352</v>
      </c>
      <c r="CB8" s="20">
        <f t="shared" si="10"/>
        <v>4.9072653506596362</v>
      </c>
      <c r="CC8" s="59">
        <f t="shared" si="11"/>
        <v>245.0086260550782</v>
      </c>
      <c r="CD8" s="59">
        <f ca="1">AVERAGE(OFFSET($CC$3,0,0,'Données projet'!$E$12+1,1))-AVERAGE(OFFSET($H$3,0,0,'Données projet'!$E$12+1,1))</f>
        <v>471.03166569378629</v>
      </c>
      <c r="CE8" s="59">
        <f t="shared" si="40"/>
        <v>259.15709238853287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9.9228571428571435</v>
      </c>
      <c r="CT8" s="12">
        <f>IF('Données projet'!$A$140&gt;35,CT7+CS8-DB7,IF(A8&lt;'Données projet'!$A$140,$CQ$205^A8,IF(A8='Données projet'!$A$140,'Données projet'!$B$140,CT7+CS8-DB7)))</f>
        <v>49.614285714285714</v>
      </c>
      <c r="CU8" s="17">
        <f>CT8*VLOOKUP('Données projet'!$B$13,Paramètres!$A$1:$I$89,3,0)*VLOOKUP('Données projet'!$B$13,Paramètres!$A$1:$I$89,5,0)</f>
        <v>23.219485714285714</v>
      </c>
      <c r="CV8" s="13">
        <f t="shared" si="41"/>
        <v>7.4202650598578179</v>
      </c>
      <c r="CW8" s="20">
        <f t="shared" si="13"/>
        <v>53.364232598299985</v>
      </c>
      <c r="CX8" s="59">
        <f t="shared" si="14"/>
        <v>293.46559330271856</v>
      </c>
      <c r="CY8" s="59">
        <f ca="1">AVERAGE(OFFSET($CX$3,0,0,'Données projet'!$E$13+1,1))-AVERAGE(OFFSET($H$3,0,0,'Données projet'!$E$13+1,1))</f>
        <v>364.67256251031029</v>
      </c>
      <c r="CZ8" s="59">
        <f t="shared" si="42"/>
        <v>347.4139588390766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63.815522616356581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1.35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4.95</v>
      </c>
      <c r="H9" s="67">
        <f t="shared" si="1"/>
        <v>236.86666666666665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6.0769230769230766</v>
      </c>
      <c r="N9" s="13">
        <f>IF('Données projet'!$A$36&gt;35,N8+M9-V8,IF(A9&lt;'Données projet'!$A$36,$K$205^A9,IF(A9='Données projet'!$A$36,'Données projet'!$B$36,N8+M9-V8)))</f>
        <v>3.3387945770427727</v>
      </c>
      <c r="O9" s="13">
        <f>N9*VLOOKUP('Données projet'!$B$9,Paramètres!$A$1:$I$89,3,0)*VLOOKUP('Données projet'!$B$9,Paramètres!$A$1:$I$89,5,0)</f>
        <v>1.6979773701008725</v>
      </c>
      <c r="P9" s="13">
        <f t="shared" si="33"/>
        <v>0.73573241355723695</v>
      </c>
      <c r="Q9" s="20">
        <f t="shared" si="2"/>
        <v>4.2387112065378743</v>
      </c>
      <c r="R9" s="59">
        <f t="shared" si="0"/>
        <v>245.95567927252782</v>
      </c>
      <c r="S9" s="59">
        <f ca="1">AVERAGE(OFFSET($R$3,0,0,'Données projet'!$E$9+1,1))-AVERAGE(OFFSET($H$3,0,0,'Données projet'!$E$9+1,1))</f>
        <v>51.998489924038495</v>
      </c>
      <c r="T9" s="59">
        <f t="shared" si="34"/>
        <v>206.32767973856241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5.8668181818181813</v>
      </c>
      <c r="AI9" s="13">
        <f>IF('Données projet'!$A$62&gt;35,AI8+AH9-AQ8,IF(A9&lt;'Données projet'!$A$62,$AF$205^A9,IF(A9='Données projet'!$A$62,'Données projet'!$B$62,AI8+AH9-AQ8)))</f>
        <v>3.7642601491537744</v>
      </c>
      <c r="AJ9" s="13">
        <f>AI9*VLOOKUP('Données projet'!$B$10,Paramètres!$A$1:$I$89,3,0)*VLOOKUP('Données projet'!$B$10,Paramètres!$A$1:$I$89,5,0)</f>
        <v>2.251027569193957</v>
      </c>
      <c r="AK9" s="13">
        <f t="shared" si="35"/>
        <v>0.94387775765556148</v>
      </c>
      <c r="AL9" s="20">
        <f t="shared" si="4"/>
        <v>5.5644601109295779</v>
      </c>
      <c r="AM9" s="59">
        <f t="shared" si="5"/>
        <v>247.28142817691952</v>
      </c>
      <c r="AN9" s="59">
        <f ca="1">AVERAGE(OFFSET($AM$3,0,0,'Données projet'!$E$10+1,1))-AVERAGE(OFFSET($H$3,0,0,'Données projet'!$E$10+1,1))</f>
        <v>356.02637444732096</v>
      </c>
      <c r="AO9" s="59">
        <f t="shared" si="36"/>
        <v>263.30053404008095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4.5104999999999995</v>
      </c>
      <c r="BD9" s="12">
        <f>IF('Données projet'!$A$88&gt;35,BD8+BC9-BL8,IF(A9&lt;'Données projet'!$A$88,$BA$205^A9,IF(A9='Données projet'!$A$88,'Données projet'!$B$88,BD8+BC9-BL8)))</f>
        <v>27.062999999999999</v>
      </c>
      <c r="BE9" s="13">
        <f>BD9*VLOOKUP('Données projet'!$B$11,Paramètres!$A$1:$I$89,3,0)*VLOOKUP('Données projet'!$B$11,Paramètres!$A$1:$I$89,5,0)</f>
        <v>27.441882</v>
      </c>
      <c r="BF9" s="13">
        <f t="shared" si="37"/>
        <v>8.6007154660143268</v>
      </c>
      <c r="BG9" s="20">
        <f t="shared" si="7"/>
        <v>62.774190586641616</v>
      </c>
      <c r="BH9" s="59">
        <f t="shared" si="8"/>
        <v>304.49115865263155</v>
      </c>
      <c r="BI9" s="59">
        <f ca="1">AVERAGE(OFFSET($BH$3,0,0,'Données projet'!$E$11+1,1))-AVERAGE(OFFSET($H$3,0,0,'Données projet'!$E$11+1,1))</f>
        <v>478.2340976873212</v>
      </c>
      <c r="BJ9" s="59">
        <f t="shared" si="38"/>
        <v>342.90128902463823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4.0948387096774193</v>
      </c>
      <c r="BY9" s="12">
        <f>IF('Données projet'!$A$114&gt;35,BY8+BX9-CG8,IF(A9&lt;'Données projet'!$A$114,$BV$205^A9,IF(A9='Données projet'!$A$114,'Données projet'!$B$114,BY8+BX9-CG8)))</f>
        <v>2.5535719292364263</v>
      </c>
      <c r="BZ9" s="13">
        <f>BY9*VLOOKUP('Données projet'!$B$12,Paramètres!$A$1:$I$89,3,0)*VLOOKUP('Données projet'!$B$12,Paramètres!$A$1:$I$89,5,0)</f>
        <v>2.3104718815731187</v>
      </c>
      <c r="CA9" s="13">
        <f t="shared" si="39"/>
        <v>0.96586847725710012</v>
      </c>
      <c r="CB9" s="20">
        <f t="shared" si="10"/>
        <v>5.7062927916292976</v>
      </c>
      <c r="CC9" s="59">
        <f t="shared" si="11"/>
        <v>247.42326085761923</v>
      </c>
      <c r="CD9" s="59">
        <f ca="1">AVERAGE(OFFSET($CC$3,0,0,'Données projet'!$E$12+1,1))-AVERAGE(OFFSET($H$3,0,0,'Données projet'!$E$12+1,1))</f>
        <v>471.03166569378629</v>
      </c>
      <c r="CE9" s="59">
        <f t="shared" si="40"/>
        <v>259.15709238853287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9.9228571428571435</v>
      </c>
      <c r="CT9" s="12">
        <f>IF('Données projet'!$A$140&gt;35,CT8+CS9-DB8,IF(A9&lt;'Données projet'!$A$140,$CQ$205^A9,IF(A9='Données projet'!$A$140,'Données projet'!$B$140,CT8+CS9-DB8)))</f>
        <v>59.537142857142854</v>
      </c>
      <c r="CU9" s="17">
        <f>CT9*VLOOKUP('Données projet'!$B$13,Paramètres!$A$1:$I$89,3,0)*VLOOKUP('Données projet'!$B$13,Paramètres!$A$1:$I$89,5,0)</f>
        <v>27.863382857142856</v>
      </c>
      <c r="CV9" s="13">
        <f t="shared" si="41"/>
        <v>8.7173396597084576</v>
      </c>
      <c r="CW9" s="20">
        <f t="shared" si="13"/>
        <v>63.71142505018269</v>
      </c>
      <c r="CX9" s="59">
        <f t="shared" si="14"/>
        <v>305.42839311617263</v>
      </c>
      <c r="CY9" s="59">
        <f ca="1">AVERAGE(OFFSET($CX$3,0,0,'Données projet'!$E$13+1,1))-AVERAGE(OFFSET($H$3,0,0,'Données projet'!$E$13+1,1))</f>
        <v>364.67256251031029</v>
      </c>
      <c r="CZ9" s="59">
        <f t="shared" si="42"/>
        <v>347.4139588390766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63.92280947254271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1.35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4.95</v>
      </c>
      <c r="H10" s="67">
        <f t="shared" si="1"/>
        <v>236.86666666666665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6.0769230769230766</v>
      </c>
      <c r="N10" s="13">
        <f>IF('Données projet'!$A$36&gt;35,N9+M10-V9,IF(A10&lt;'Données projet'!$A$36,$K$205^A10,IF(A10='Données projet'!$A$36,'Données projet'!$B$36,N9+M10-V9)))</f>
        <v>4.0818275194565175</v>
      </c>
      <c r="O10" s="13">
        <f>N10*VLOOKUP('Données projet'!$B$9,Paramètres!$A$1:$I$89,3,0)*VLOOKUP('Données projet'!$B$9,Paramètres!$A$1:$I$89,5,0)</f>
        <v>2.0758542032948069</v>
      </c>
      <c r="P10" s="13">
        <f t="shared" si="33"/>
        <v>0.87867283413116515</v>
      </c>
      <c r="Q10" s="20">
        <f t="shared" si="2"/>
        <v>5.1458012568502349</v>
      </c>
      <c r="R10" s="59">
        <f t="shared" si="0"/>
        <v>248.4715523317212</v>
      </c>
      <c r="S10" s="59">
        <f ca="1">AVERAGE(OFFSET($R$3,0,0,'Données projet'!$E$9+1,1))-AVERAGE(OFFSET($H$3,0,0,'Données projet'!$E$9+1,1))</f>
        <v>51.998489924038495</v>
      </c>
      <c r="T10" s="59">
        <f t="shared" si="34"/>
        <v>206.32767973856241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5.8668181818181813</v>
      </c>
      <c r="AI10" s="13">
        <f>IF('Données projet'!$A$62&gt;35,AI9+AH10-AQ9,IF(A10&lt;'Données projet'!$A$62,$AF$205^A10,IF(A10='Données projet'!$A$62,'Données projet'!$B$62,AI9+AH10-AQ9)))</f>
        <v>4.6948987963973625</v>
      </c>
      <c r="AJ10" s="13">
        <f>AI10*VLOOKUP('Données projet'!$B$10,Paramètres!$A$1:$I$89,3,0)*VLOOKUP('Données projet'!$B$10,Paramètres!$A$1:$I$89,5,0)</f>
        <v>2.8075494802456231</v>
      </c>
      <c r="AK10" s="13">
        <f t="shared" si="35"/>
        <v>1.1473453828778812</v>
      </c>
      <c r="AL10" s="20">
        <f t="shared" si="4"/>
        <v>6.8881085532734367</v>
      </c>
      <c r="AM10" s="59">
        <f t="shared" si="5"/>
        <v>250.21385962814441</v>
      </c>
      <c r="AN10" s="59">
        <f ca="1">AVERAGE(OFFSET($AM$3,0,0,'Données projet'!$E$10+1,1))-AVERAGE(OFFSET($H$3,0,0,'Données projet'!$E$10+1,1))</f>
        <v>356.02637444732096</v>
      </c>
      <c r="AO10" s="59">
        <f t="shared" si="36"/>
        <v>263.30053404008095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4.5104999999999995</v>
      </c>
      <c r="BD10" s="12">
        <f>IF('Données projet'!$A$88&gt;35,BD9+BC10-BL9,IF(A10&lt;'Données projet'!$A$88,$BA$205^A10,IF(A10='Données projet'!$A$88,'Données projet'!$B$88,BD9+BC10-BL9)))</f>
        <v>31.573499999999999</v>
      </c>
      <c r="BE10" s="13">
        <f>BD10*VLOOKUP('Données projet'!$B$11,Paramètres!$A$1:$I$89,3,0)*VLOOKUP('Données projet'!$B$11,Paramètres!$A$1:$I$89,5,0)</f>
        <v>32.015529000000001</v>
      </c>
      <c r="BF10" s="13">
        <f t="shared" si="37"/>
        <v>9.8557292340285478</v>
      </c>
      <c r="BG10" s="20">
        <f t="shared" si="7"/>
        <v>72.925774757599712</v>
      </c>
      <c r="BH10" s="59">
        <f t="shared" si="8"/>
        <v>316.25152583247069</v>
      </c>
      <c r="BI10" s="59">
        <f ca="1">AVERAGE(OFFSET($BH$3,0,0,'Données projet'!$E$11+1,1))-AVERAGE(OFFSET($H$3,0,0,'Données projet'!$E$11+1,1))</f>
        <v>478.2340976873212</v>
      </c>
      <c r="BJ10" s="59">
        <f t="shared" si="38"/>
        <v>342.90128902463823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4.0948387096774193</v>
      </c>
      <c r="BY10" s="12">
        <f>IF('Données projet'!$A$114&gt;35,BY9+BX10-CG9,IF(A10&lt;'Données projet'!$A$114,$BV$205^A10,IF(A10='Données projet'!$A$114,'Données projet'!$B$114,BY9+BX10-CG9)))</f>
        <v>2.9854246305588972</v>
      </c>
      <c r="BZ10" s="13">
        <f>BY10*VLOOKUP('Données projet'!$B$12,Paramètres!$A$1:$I$89,3,0)*VLOOKUP('Données projet'!$B$12,Paramètres!$A$1:$I$89,5,0)</f>
        <v>2.7012122057296901</v>
      </c>
      <c r="CA10" s="13">
        <f t="shared" si="39"/>
        <v>1.1088615774771644</v>
      </c>
      <c r="CB10" s="20">
        <f t="shared" si="10"/>
        <v>6.6358785057519372</v>
      </c>
      <c r="CC10" s="59">
        <f t="shared" si="11"/>
        <v>249.96162958062291</v>
      </c>
      <c r="CD10" s="59">
        <f ca="1">AVERAGE(OFFSET($CC$3,0,0,'Données projet'!$E$12+1,1))-AVERAGE(OFFSET($H$3,0,0,'Données projet'!$E$12+1,1))</f>
        <v>471.03166569378629</v>
      </c>
      <c r="CE10" s="59">
        <f t="shared" si="40"/>
        <v>259.15709238853287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9.9228571428571435</v>
      </c>
      <c r="CT10" s="12">
        <f>IF('Données projet'!$A$140&gt;35,CT9+CS10-DB9,IF(A10&lt;'Données projet'!$A$140,$CQ$205^A10,IF(A10='Données projet'!$A$140,'Données projet'!$B$140,CT9+CS10-DB9)))</f>
        <v>69.459999999999994</v>
      </c>
      <c r="CU10" s="17">
        <f>CT10*VLOOKUP('Données projet'!$B$13,Paramètres!$A$1:$I$89,3,0)*VLOOKUP('Données projet'!$B$13,Paramètres!$A$1:$I$89,5,0)</f>
        <v>32.507280000000002</v>
      </c>
      <c r="CV10" s="13">
        <f t="shared" si="41"/>
        <v>9.9893711943664076</v>
      </c>
      <c r="CW10" s="20">
        <f t="shared" si="13"/>
        <v>74.015000830188157</v>
      </c>
      <c r="CX10" s="59">
        <f t="shared" si="14"/>
        <v>317.34075190505911</v>
      </c>
      <c r="CY10" s="59">
        <f ca="1">AVERAGE(OFFSET($CX$3,0,0,'Données projet'!$E$13+1,1))-AVERAGE(OFFSET($H$3,0,0,'Données projet'!$E$13+1,1))</f>
        <v>364.67256251031029</v>
      </c>
      <c r="CZ10" s="59">
        <f t="shared" si="42"/>
        <v>347.4139588390766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64.028235141631484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1.35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4.95</v>
      </c>
      <c r="H11" s="67">
        <f t="shared" si="1"/>
        <v>236.86666666666665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6.0769230769230766</v>
      </c>
      <c r="N11" s="13">
        <f>IF('Données projet'!$A$36&gt;35,N10+M11-V10,IF(A11&lt;'Données projet'!$A$36,$K$205^A11,IF(A11='Données projet'!$A$36,'Données projet'!$B$36,N10+M11-V10)))</f>
        <v>4.9902189290572512</v>
      </c>
      <c r="O11" s="13">
        <f>N11*VLOOKUP('Données projet'!$B$9,Paramètres!$A$1:$I$89,3,0)*VLOOKUP('Données projet'!$B$9,Paramètres!$A$1:$I$89,5,0)</f>
        <v>2.5378257385613558</v>
      </c>
      <c r="P11" s="13">
        <f t="shared" si="33"/>
        <v>1.0493841717631898</v>
      </c>
      <c r="Q11" s="20">
        <f t="shared" si="2"/>
        <v>6.2477239271485834</v>
      </c>
      <c r="R11" s="59">
        <f t="shared" si="0"/>
        <v>251.17555204547256</v>
      </c>
      <c r="S11" s="59">
        <f ca="1">AVERAGE(OFFSET($R$3,0,0,'Données projet'!$E$9+1,1))-AVERAGE(OFFSET($H$3,0,0,'Données projet'!$E$9+1,1))</f>
        <v>51.998489924038495</v>
      </c>
      <c r="T11" s="59">
        <f t="shared" si="34"/>
        <v>206.32767973856241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5.8668181818181813</v>
      </c>
      <c r="AI11" s="13">
        <f>IF('Données projet'!$A$62&gt;35,AI10+AH11-AQ10,IF(A11&lt;'Données projet'!$A$62,$AF$205^A11,IF(A11='Données projet'!$A$62,'Données projet'!$B$62,AI10+AH11-AQ10)))</f>
        <v>5.8556193873498845</v>
      </c>
      <c r="AJ11" s="13">
        <f>AI11*VLOOKUP('Données projet'!$B$10,Paramètres!$A$1:$I$89,3,0)*VLOOKUP('Données projet'!$B$10,Paramètres!$A$1:$I$89,5,0)</f>
        <v>3.5016603936352309</v>
      </c>
      <c r="AK11" s="13">
        <f t="shared" si="35"/>
        <v>1.3946736396044743</v>
      </c>
      <c r="AL11" s="20">
        <f t="shared" si="4"/>
        <v>8.5277817745591538</v>
      </c>
      <c r="AM11" s="59">
        <f t="shared" si="5"/>
        <v>253.45560989288313</v>
      </c>
      <c r="AN11" s="59">
        <f ca="1">AVERAGE(OFFSET($AM$3,0,0,'Données projet'!$E$10+1,1))-AVERAGE(OFFSET($H$3,0,0,'Données projet'!$E$10+1,1))</f>
        <v>356.02637444732096</v>
      </c>
      <c r="AO11" s="59">
        <f t="shared" si="36"/>
        <v>263.30053404008095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4.5104999999999995</v>
      </c>
      <c r="BD11" s="12">
        <f>IF('Données projet'!$A$88&gt;35,BD10+BC11-BL10,IF(A11&lt;'Données projet'!$A$88,$BA$205^A11,IF(A11='Données projet'!$A$88,'Données projet'!$B$88,BD10+BC11-BL10)))</f>
        <v>36.083999999999996</v>
      </c>
      <c r="BE11" s="13">
        <f>BD11*VLOOKUP('Données projet'!$B$11,Paramètres!$A$1:$I$89,3,0)*VLOOKUP('Données projet'!$B$11,Paramètres!$A$1:$I$89,5,0)</f>
        <v>36.589176000000002</v>
      </c>
      <c r="BF11" s="13">
        <f t="shared" si="37"/>
        <v>11.089971957614924</v>
      </c>
      <c r="BG11" s="20">
        <f t="shared" si="7"/>
        <v>83.041182692845993</v>
      </c>
      <c r="BH11" s="59">
        <f t="shared" si="8"/>
        <v>327.96901081116999</v>
      </c>
      <c r="BI11" s="59">
        <f ca="1">AVERAGE(OFFSET($BH$3,0,0,'Données projet'!$E$11+1,1))-AVERAGE(OFFSET($H$3,0,0,'Données projet'!$E$11+1,1))</f>
        <v>478.2340976873212</v>
      </c>
      <c r="BJ11" s="59">
        <f t="shared" si="38"/>
        <v>342.90128902463823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4.0948387096774193</v>
      </c>
      <c r="BY11" s="12">
        <f>IF('Données projet'!$A$114&gt;35,BY10+BX11-CG10,IF(A11&lt;'Données projet'!$A$114,$BV$205^A11,IF(A11='Données projet'!$A$114,'Données projet'!$B$114,BY10+BX11-CG10)))</f>
        <v>3.4903110120782217</v>
      </c>
      <c r="BZ11" s="13">
        <f>BY11*VLOOKUP('Données projet'!$B$12,Paramètres!$A$1:$I$89,3,0)*VLOOKUP('Données projet'!$B$12,Paramètres!$A$1:$I$89,5,0)</f>
        <v>3.1580334037283748</v>
      </c>
      <c r="CA11" s="13">
        <f t="shared" si="39"/>
        <v>1.2730242542928032</v>
      </c>
      <c r="CB11" s="20">
        <f t="shared" si="10"/>
        <v>7.7174254210535516</v>
      </c>
      <c r="CC11" s="59">
        <f t="shared" si="11"/>
        <v>252.64525353937753</v>
      </c>
      <c r="CD11" s="59">
        <f ca="1">AVERAGE(OFFSET($CC$3,0,0,'Données projet'!$E$12+1,1))-AVERAGE(OFFSET($H$3,0,0,'Données projet'!$E$12+1,1))</f>
        <v>471.03166569378629</v>
      </c>
      <c r="CE11" s="59">
        <f t="shared" si="40"/>
        <v>259.15709238853287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9.9228571428571435</v>
      </c>
      <c r="CT11" s="12">
        <f>IF('Données projet'!$A$140&gt;35,CT10+CS11-DB10,IF(A11&lt;'Données projet'!$A$140,$CQ$205^A11,IF(A11='Données projet'!$A$140,'Données projet'!$B$140,CT10+CS11-DB10)))</f>
        <v>79.382857142857134</v>
      </c>
      <c r="CU11" s="17">
        <f>CT11*VLOOKUP('Données projet'!$B$13,Paramètres!$A$1:$I$89,3,0)*VLOOKUP('Données projet'!$B$13,Paramètres!$A$1:$I$89,5,0)</f>
        <v>37.151177142857144</v>
      </c>
      <c r="CV11" s="13">
        <f t="shared" si="41"/>
        <v>11.240350032876002</v>
      </c>
      <c r="CW11" s="20">
        <f t="shared" si="13"/>
        <v>84.28190983106856</v>
      </c>
      <c r="CX11" s="59">
        <f t="shared" si="14"/>
        <v>329.20973794939255</v>
      </c>
      <c r="CY11" s="59">
        <f ca="1">AVERAGE(OFFSET($CX$3,0,0,'Données projet'!$E$13+1,1))-AVERAGE(OFFSET($H$3,0,0,'Données projet'!$E$13+1,1))</f>
        <v>364.67256251031029</v>
      </c>
      <c r="CZ11" s="59">
        <f t="shared" si="42"/>
        <v>347.4139588390766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64.131831911058057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1.35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4.95</v>
      </c>
      <c r="H12" s="67">
        <f t="shared" si="1"/>
        <v>236.86666666666665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6.0769230769230766</v>
      </c>
      <c r="N12" s="13">
        <f>IF('Données projet'!$A$36&gt;35,N11+M12-V11,IF(A12&lt;'Données projet'!$A$36,$K$205^A12,IF(A12='Données projet'!$A$36,'Données projet'!$B$36,N11+M12-V11)))</f>
        <v>6.1007685506606029</v>
      </c>
      <c r="O12" s="13">
        <f>N12*VLOOKUP('Données projet'!$B$9,Paramètres!$A$1:$I$89,3,0)*VLOOKUP('Données projet'!$B$9,Paramètres!$A$1:$I$89,5,0)</f>
        <v>3.1026068541239562</v>
      </c>
      <c r="P12" s="13">
        <f t="shared" si="33"/>
        <v>1.2532618480642952</v>
      </c>
      <c r="Q12" s="20">
        <f t="shared" si="2"/>
        <v>7.5864713229778715</v>
      </c>
      <c r="R12" s="59">
        <f t="shared" si="0"/>
        <v>254.1097868528347</v>
      </c>
      <c r="S12" s="59">
        <f ca="1">AVERAGE(OFFSET($R$3,0,0,'Données projet'!$E$9+1,1))-AVERAGE(OFFSET($H$3,0,0,'Données projet'!$E$9+1,1))</f>
        <v>51.998489924038495</v>
      </c>
      <c r="T12" s="59">
        <f t="shared" si="34"/>
        <v>206.32767973856241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5.8668181818181813</v>
      </c>
      <c r="AI12" s="13">
        <f>IF('Données projet'!$A$62&gt;35,AI11+AH12-AQ11,IF(A12&lt;'Données projet'!$A$62,$AF$205^A12,IF(A12='Données projet'!$A$62,'Données projet'!$B$62,AI11+AH12-AQ11)))</f>
        <v>7.3033051182741131</v>
      </c>
      <c r="AJ12" s="13">
        <f>AI12*VLOOKUP('Données projet'!$B$10,Paramètres!$A$1:$I$89,3,0)*VLOOKUP('Données projet'!$B$10,Paramètres!$A$1:$I$89,5,0)</f>
        <v>4.36737646072792</v>
      </c>
      <c r="AK12" s="13">
        <f t="shared" si="35"/>
        <v>1.6953173735084623</v>
      </c>
      <c r="AL12" s="20">
        <f t="shared" si="4"/>
        <v>10.559191761295033</v>
      </c>
      <c r="AM12" s="59">
        <f t="shared" si="5"/>
        <v>257.08250729115184</v>
      </c>
      <c r="AN12" s="59">
        <f ca="1">AVERAGE(OFFSET($AM$3,0,0,'Données projet'!$E$10+1,1))-AVERAGE(OFFSET($H$3,0,0,'Données projet'!$E$10+1,1))</f>
        <v>356.02637444732096</v>
      </c>
      <c r="AO12" s="59">
        <f t="shared" si="36"/>
        <v>263.30053404008095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4.5104999999999995</v>
      </c>
      <c r="BD12" s="12">
        <f>IF('Données projet'!$A$88&gt;35,BD11+BC12-BL11,IF(A12&lt;'Données projet'!$A$88,$BA$205^A12,IF(A12='Données projet'!$A$88,'Données projet'!$B$88,BD11+BC12-BL11)))</f>
        <v>40.594499999999996</v>
      </c>
      <c r="BE12" s="13">
        <f>BD12*VLOOKUP('Données projet'!$B$11,Paramètres!$A$1:$I$89,3,0)*VLOOKUP('Données projet'!$B$11,Paramètres!$A$1:$I$89,5,0)</f>
        <v>41.162823000000003</v>
      </c>
      <c r="BF12" s="13">
        <f t="shared" si="37"/>
        <v>12.306337370263854</v>
      </c>
      <c r="BG12" s="20">
        <f t="shared" si="7"/>
        <v>93.125454311542896</v>
      </c>
      <c r="BH12" s="59">
        <f t="shared" si="8"/>
        <v>339.64876984139971</v>
      </c>
      <c r="BI12" s="59">
        <f ca="1">AVERAGE(OFFSET($BH$3,0,0,'Données projet'!$E$11+1,1))-AVERAGE(OFFSET($H$3,0,0,'Données projet'!$E$11+1,1))</f>
        <v>478.2340976873212</v>
      </c>
      <c r="BJ12" s="59">
        <f t="shared" si="38"/>
        <v>342.90128902463823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4.0948387096774193</v>
      </c>
      <c r="BY12" s="12">
        <f>IF('Données projet'!$A$114&gt;35,BY11+BX12-CG11,IF(A12&lt;'Données projet'!$A$114,$BV$205^A12,IF(A12='Données projet'!$A$114,'Données projet'!$B$114,BY11+BX12-CG11)))</f>
        <v>4.0805823186210777</v>
      </c>
      <c r="BZ12" s="13">
        <f>BY12*VLOOKUP('Données projet'!$B$12,Paramètres!$A$1:$I$89,3,0)*VLOOKUP('Données projet'!$B$12,Paramètres!$A$1:$I$89,5,0)</f>
        <v>3.6921108818883508</v>
      </c>
      <c r="CA12" s="13">
        <f t="shared" si="39"/>
        <v>1.4614905818135104</v>
      </c>
      <c r="CB12" s="20">
        <f t="shared" si="10"/>
        <v>8.9758558826140753</v>
      </c>
      <c r="CC12" s="59">
        <f t="shared" si="11"/>
        <v>255.4991714124709</v>
      </c>
      <c r="CD12" s="59">
        <f ca="1">AVERAGE(OFFSET($CC$3,0,0,'Données projet'!$E$12+1,1))-AVERAGE(OFFSET($H$3,0,0,'Données projet'!$E$12+1,1))</f>
        <v>471.03166569378629</v>
      </c>
      <c r="CE12" s="59">
        <f t="shared" si="40"/>
        <v>259.15709238853287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9.9228571428571435</v>
      </c>
      <c r="CT12" s="12">
        <f>IF('Données projet'!$A$140&gt;35,CT11+CS12-DB11,IF(A12&lt;'Données projet'!$A$140,$CQ$205^A12,IF(A12='Données projet'!$A$140,'Données projet'!$B$140,CT11+CS12-DB11)))</f>
        <v>89.305714285714274</v>
      </c>
      <c r="CU12" s="17">
        <f>CT12*VLOOKUP('Données projet'!$B$13,Paramètres!$A$1:$I$89,3,0)*VLOOKUP('Données projet'!$B$13,Paramètres!$A$1:$I$89,5,0)</f>
        <v>41.795074285714279</v>
      </c>
      <c r="CV12" s="13">
        <f t="shared" si="41"/>
        <v>12.473209147246388</v>
      </c>
      <c r="CW12" s="20">
        <f t="shared" si="13"/>
        <v>94.517260312406492</v>
      </c>
      <c r="CX12" s="59">
        <f t="shared" si="14"/>
        <v>341.04057584226331</v>
      </c>
      <c r="CY12" s="59">
        <f ca="1">AVERAGE(OFFSET($CX$3,0,0,'Données projet'!$E$13+1,1))-AVERAGE(OFFSET($H$3,0,0,'Données projet'!$E$13+1,1))</f>
        <v>364.67256251031029</v>
      </c>
      <c r="CZ12" s="59">
        <f t="shared" si="42"/>
        <v>347.4139588390766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64.233631508142764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1.35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4.95</v>
      </c>
      <c r="H13" s="67">
        <f t="shared" si="1"/>
        <v>236.86666666666665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6.0769230769230766</v>
      </c>
      <c r="N13" s="13">
        <f>IF('Données projet'!$A$36&gt;35,N12+M13-V12,IF(A13&lt;'Données projet'!$A$36,$K$205^A13,IF(A13='Données projet'!$A$36,'Données projet'!$B$36,N12+M13-V12)))</f>
        <v>7.4584657382478676</v>
      </c>
      <c r="O13" s="13">
        <f>N13*VLOOKUP('Données projet'!$B$9,Paramètres!$A$1:$I$89,3,0)*VLOOKUP('Données projet'!$B$9,Paramètres!$A$1:$I$89,5,0)</f>
        <v>3.7930773358433361</v>
      </c>
      <c r="P13" s="13">
        <f t="shared" si="33"/>
        <v>1.4967495242228395</v>
      </c>
      <c r="Q13" s="20">
        <f t="shared" si="2"/>
        <v>9.2131151146152543</v>
      </c>
      <c r="R13" s="59">
        <f t="shared" si="0"/>
        <v>257.32544273946627</v>
      </c>
      <c r="S13" s="59">
        <f ca="1">AVERAGE(OFFSET($R$3,0,0,'Données projet'!$E$9+1,1))-AVERAGE(OFFSET($H$3,0,0,'Données projet'!$E$9+1,1))</f>
        <v>51.998489924038495</v>
      </c>
      <c r="T13" s="59">
        <f t="shared" si="34"/>
        <v>206.32767973856241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5.8668181818181813</v>
      </c>
      <c r="AI13" s="13">
        <f>IF('Données projet'!$A$62&gt;35,AI12+AH13-AQ12,IF(A13&lt;'Données projet'!$A$62,$AF$205^A13,IF(A13='Données projet'!$A$62,'Données projet'!$B$62,AI12+AH13-AQ12)))</f>
        <v>9.1089024272714045</v>
      </c>
      <c r="AJ13" s="13">
        <f>AI13*VLOOKUP('Données projet'!$B$10,Paramètres!$A$1:$I$89,3,0)*VLOOKUP('Données projet'!$B$10,Paramètres!$A$1:$I$89,5,0)</f>
        <v>5.4471236515083001</v>
      </c>
      <c r="AK13" s="13">
        <f t="shared" si="35"/>
        <v>2.0607695702449207</v>
      </c>
      <c r="AL13" s="20">
        <f t="shared" si="4"/>
        <v>13.076247361220192</v>
      </c>
      <c r="AM13" s="59">
        <f t="shared" si="5"/>
        <v>261.18857498607116</v>
      </c>
      <c r="AN13" s="59">
        <f ca="1">AVERAGE(OFFSET($AM$3,0,0,'Données projet'!$E$10+1,1))-AVERAGE(OFFSET($H$3,0,0,'Données projet'!$E$10+1,1))</f>
        <v>356.02637444732096</v>
      </c>
      <c r="AO13" s="59">
        <f t="shared" si="36"/>
        <v>263.30053404008095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4.5104999999999995</v>
      </c>
      <c r="BD13" s="12">
        <f>IF('Données projet'!$A$88&gt;35,BD12+BC13-BL12,IF(A13&lt;'Données projet'!$A$88,$BA$205^A13,IF(A13='Données projet'!$A$88,'Données projet'!$B$88,BD12+BC13-BL12)))</f>
        <v>45.104999999999997</v>
      </c>
      <c r="BE13" s="13">
        <f>BD13*VLOOKUP('Données projet'!$B$11,Paramètres!$A$1:$I$89,3,0)*VLOOKUP('Données projet'!$B$11,Paramètres!$A$1:$I$89,5,0)</f>
        <v>45.736469999999997</v>
      </c>
      <c r="BF13" s="13">
        <f t="shared" si="37"/>
        <v>13.507038428856221</v>
      </c>
      <c r="BG13" s="20">
        <f t="shared" si="7"/>
        <v>103.18244384692457</v>
      </c>
      <c r="BH13" s="59">
        <f t="shared" si="8"/>
        <v>351.29477147177556</v>
      </c>
      <c r="BI13" s="59">
        <f ca="1">AVERAGE(OFFSET($BH$3,0,0,'Données projet'!$E$11+1,1))-AVERAGE(OFFSET($H$3,0,0,'Données projet'!$E$11+1,1))</f>
        <v>478.2340976873212</v>
      </c>
      <c r="BJ13" s="59">
        <f t="shared" si="38"/>
        <v>342.90128902463823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4.0948387096774193</v>
      </c>
      <c r="BY13" s="12">
        <f>IF('Données projet'!$A$114&gt;35,BY12+BX13-CG12,IF(A13&lt;'Données projet'!$A$114,$BV$205^A13,IF(A13='Données projet'!$A$114,'Données projet'!$B$114,BY12+BX13-CG12)))</f>
        <v>4.7706786018270755</v>
      </c>
      <c r="BZ13" s="13">
        <f>BY13*VLOOKUP('Données projet'!$B$12,Paramètres!$A$1:$I$89,3,0)*VLOOKUP('Données projet'!$B$12,Paramètres!$A$1:$I$89,5,0)</f>
        <v>4.3165099989331379</v>
      </c>
      <c r="CA13" s="13">
        <f t="shared" si="39"/>
        <v>1.6778586217245093</v>
      </c>
      <c r="CB13" s="20">
        <f t="shared" si="10"/>
        <v>10.440192014312069</v>
      </c>
      <c r="CC13" s="59">
        <f t="shared" si="11"/>
        <v>258.55251963916305</v>
      </c>
      <c r="CD13" s="59">
        <f ca="1">AVERAGE(OFFSET($CC$3,0,0,'Données projet'!$E$12+1,1))-AVERAGE(OFFSET($H$3,0,0,'Données projet'!$E$12+1,1))</f>
        <v>471.03166569378629</v>
      </c>
      <c r="CE13" s="59">
        <f t="shared" si="40"/>
        <v>259.15709238853287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9.9228571428571435</v>
      </c>
      <c r="CT13" s="12">
        <f>IF('Données projet'!$A$140&gt;35,CT12+CS13-DB12,IF(A13&lt;'Données projet'!$A$140,$CQ$205^A13,IF(A13='Données projet'!$A$140,'Données projet'!$B$140,CT12+CS13-DB12)))</f>
        <v>99.228571428571414</v>
      </c>
      <c r="CU13" s="17">
        <f>CT13*VLOOKUP('Données projet'!$B$13,Paramètres!$A$1:$I$89,3,0)*VLOOKUP('Données projet'!$B$13,Paramètres!$A$1:$I$89,5,0)</f>
        <v>46.438971428571428</v>
      </c>
      <c r="CV13" s="13">
        <f t="shared" si="41"/>
        <v>13.690191501665755</v>
      </c>
      <c r="CW13" s="20">
        <f t="shared" si="13"/>
        <v>104.7249587701631</v>
      </c>
      <c r="CX13" s="59">
        <f t="shared" si="14"/>
        <v>352.83728639501408</v>
      </c>
      <c r="CY13" s="59">
        <f ca="1">AVERAGE(OFFSET($CX$3,0,0,'Données projet'!$E$13+1,1))-AVERAGE(OFFSET($H$3,0,0,'Données projet'!$E$13+1,1))</f>
        <v>364.67256251031029</v>
      </c>
      <c r="CZ13" s="59">
        <f t="shared" si="42"/>
        <v>347.4139588390766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64.333665109807853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1.35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4.95</v>
      </c>
      <c r="H14" s="67">
        <f t="shared" si="1"/>
        <v>236.86666666666665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6.0769230769230766</v>
      </c>
      <c r="N14" s="13">
        <f>IF('Données projet'!$A$36&gt;35,N13+M14-V13,IF(A14&lt;'Données projet'!$A$36,$K$205^A14,IF(A14='Données projet'!$A$36,'Données projet'!$B$36,N13+M14-V13)))</f>
        <v>9.1183120137533695</v>
      </c>
      <c r="O14" s="13">
        <f>N14*VLOOKUP('Données projet'!$B$9,Paramètres!$A$1:$I$89,3,0)*VLOOKUP('Données projet'!$B$9,Paramètres!$A$1:$I$89,5,0)</f>
        <v>4.6372087577144141</v>
      </c>
      <c r="P14" s="13">
        <f t="shared" si="33"/>
        <v>1.7875427563054371</v>
      </c>
      <c r="Q14" s="20">
        <f t="shared" si="2"/>
        <v>11.189775553584575</v>
      </c>
      <c r="R14" s="59">
        <f t="shared" si="0"/>
        <v>260.88475228915649</v>
      </c>
      <c r="S14" s="59">
        <f ca="1">AVERAGE(OFFSET($R$3,0,0,'Données projet'!$E$9+1,1))-AVERAGE(OFFSET($H$3,0,0,'Données projet'!$E$9+1,1))</f>
        <v>51.998489924038495</v>
      </c>
      <c r="T14" s="59">
        <f t="shared" si="34"/>
        <v>206.32767973856241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5.8668181818181813</v>
      </c>
      <c r="AI14" s="13">
        <f>IF('Données projet'!$A$62&gt;35,AI13+AH14-AQ13,IF(A14&lt;'Données projet'!$A$62,$AF$205^A14,IF(A14='Données projet'!$A$62,'Données projet'!$B$62,AI13+AH14-AQ13)))</f>
        <v>11.360897851842525</v>
      </c>
      <c r="AJ14" s="13">
        <f>AI14*VLOOKUP('Données projet'!$B$10,Paramètres!$A$1:$I$89,3,0)*VLOOKUP('Données projet'!$B$10,Paramètres!$A$1:$I$89,5,0)</f>
        <v>6.7938169154018313</v>
      </c>
      <c r="AK14" s="13">
        <f t="shared" si="35"/>
        <v>2.50500070842708</v>
      </c>
      <c r="AL14" s="20">
        <f t="shared" si="4"/>
        <v>16.195440694835355</v>
      </c>
      <c r="AM14" s="59">
        <f t="shared" si="5"/>
        <v>265.8904174304073</v>
      </c>
      <c r="AN14" s="59">
        <f ca="1">AVERAGE(OFFSET($AM$3,0,0,'Données projet'!$E$10+1,1))-AVERAGE(OFFSET($H$3,0,0,'Données projet'!$E$10+1,1))</f>
        <v>356.02637444732096</v>
      </c>
      <c r="AO14" s="59">
        <f t="shared" si="36"/>
        <v>263.30053404008095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4.5104999999999995</v>
      </c>
      <c r="BD14" s="12">
        <f>IF('Données projet'!$A$88&gt;35,BD13+BC14-BL13,IF(A14&lt;'Données projet'!$A$88,$BA$205^A14,IF(A14='Données projet'!$A$88,'Données projet'!$B$88,BD13+BC14-BL13)))</f>
        <v>49.615499999999997</v>
      </c>
      <c r="BE14" s="13">
        <f>BD14*VLOOKUP('Données projet'!$B$11,Paramètres!$A$1:$I$89,3,0)*VLOOKUP('Données projet'!$B$11,Paramètres!$A$1:$I$89,5,0)</f>
        <v>50.310117000000005</v>
      </c>
      <c r="BF14" s="13">
        <f t="shared" si="37"/>
        <v>14.6938198873167</v>
      </c>
      <c r="BG14" s="20">
        <f t="shared" si="7"/>
        <v>113.21519007874326</v>
      </c>
      <c r="BH14" s="59">
        <f t="shared" si="8"/>
        <v>362.91016681431518</v>
      </c>
      <c r="BI14" s="59">
        <f ca="1">AVERAGE(OFFSET($BH$3,0,0,'Données projet'!$E$11+1,1))-AVERAGE(OFFSET($H$3,0,0,'Données projet'!$E$11+1,1))</f>
        <v>478.2340976873212</v>
      </c>
      <c r="BJ14" s="59">
        <f t="shared" si="38"/>
        <v>342.90128902463823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4.0948387096774193</v>
      </c>
      <c r="BY14" s="12">
        <f>IF('Données projet'!$A$114&gt;35,BY13+BX14-CG13,IF(A14&lt;'Données projet'!$A$114,$BV$205^A14,IF(A14='Données projet'!$A$114,'Données projet'!$B$114,BY13+BX14-CG13)))</f>
        <v>5.5774819731174174</v>
      </c>
      <c r="BZ14" s="13">
        <f>BY14*VLOOKUP('Données projet'!$B$12,Paramètres!$A$1:$I$89,3,0)*VLOOKUP('Données projet'!$B$12,Paramètres!$A$1:$I$89,5,0)</f>
        <v>5.0465056892766391</v>
      </c>
      <c r="CA14" s="13">
        <f t="shared" si="39"/>
        <v>1.9262591148565444</v>
      </c>
      <c r="CB14" s="20">
        <f t="shared" si="10"/>
        <v>12.144232033865295</v>
      </c>
      <c r="CC14" s="59">
        <f t="shared" si="11"/>
        <v>261.83920876943722</v>
      </c>
      <c r="CD14" s="59">
        <f ca="1">AVERAGE(OFFSET($CC$3,0,0,'Données projet'!$E$12+1,1))-AVERAGE(OFFSET($H$3,0,0,'Données projet'!$E$12+1,1))</f>
        <v>471.03166569378629</v>
      </c>
      <c r="CE14" s="59">
        <f t="shared" si="40"/>
        <v>259.15709238853287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9.9228571428571435</v>
      </c>
      <c r="CT14" s="12">
        <f>IF('Données projet'!$A$140&gt;35,CT13+CS14-DB13,IF(A14&lt;'Données projet'!$A$140,$CQ$205^A14,IF(A14='Données projet'!$A$140,'Données projet'!$B$140,CT13+CS14-DB13)))</f>
        <v>109.15142857142855</v>
      </c>
      <c r="CU14" s="17">
        <f>CT14*VLOOKUP('Données projet'!$B$13,Paramètres!$A$1:$I$89,3,0)*VLOOKUP('Données projet'!$B$13,Paramètres!$A$1:$I$89,5,0)</f>
        <v>51.082868571428563</v>
      </c>
      <c r="CV14" s="13">
        <f t="shared" si="41"/>
        <v>14.893065508616067</v>
      </c>
      <c r="CW14" s="20">
        <f t="shared" si="13"/>
        <v>114.90808518941105</v>
      </c>
      <c r="CX14" s="59">
        <f t="shared" si="14"/>
        <v>364.60306192498297</v>
      </c>
      <c r="CY14" s="59">
        <f ca="1">AVERAGE(OFFSET($CX$3,0,0,'Données projet'!$E$13+1,1))-AVERAGE(OFFSET($H$3,0,0,'Données projet'!$E$13+1,1))</f>
        <v>364.67256251031029</v>
      </c>
      <c r="CZ14" s="59">
        <f t="shared" si="42"/>
        <v>347.4139588390766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64.431963352125678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1.35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4.95</v>
      </c>
      <c r="H15" s="67">
        <f t="shared" si="1"/>
        <v>236.86666666666665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6.0769230769230766</v>
      </c>
      <c r="N15" s="13">
        <f>IF('Données projet'!$A$36&gt;35,N14+M15-V14,IF(A15&lt;'Données projet'!$A$36,$K$205^A15,IF(A15='Données projet'!$A$36,'Données projet'!$B$36,N14+M15-V14)))</f>
        <v>11.147549227690225</v>
      </c>
      <c r="O15" s="13">
        <f>N15*VLOOKUP('Données projet'!$B$9,Paramètres!$A$1:$I$89,3,0)*VLOOKUP('Données projet'!$B$9,Paramètres!$A$1:$I$89,5,0)</f>
        <v>5.6691976352341413</v>
      </c>
      <c r="P15" s="13">
        <f t="shared" si="33"/>
        <v>2.1348322173539001</v>
      </c>
      <c r="Q15" s="20">
        <f t="shared" si="2"/>
        <v>13.592018659924172</v>
      </c>
      <c r="R15" s="59">
        <f t="shared" si="0"/>
        <v>264.8633919054954</v>
      </c>
      <c r="S15" s="59">
        <f ca="1">AVERAGE(OFFSET($R$3,0,0,'Données projet'!$E$9+1,1))-AVERAGE(OFFSET($H$3,0,0,'Données projet'!$E$9+1,1))</f>
        <v>51.998489924038495</v>
      </c>
      <c r="T15" s="59">
        <f t="shared" si="34"/>
        <v>206.32767973856241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5.8668181818181813</v>
      </c>
      <c r="AI15" s="13">
        <f>IF('Données projet'!$A$62&gt;35,AI14+AH15-AQ14,IF(A15&lt;'Données projet'!$A$62,$AF$205^A15,IF(A15='Données projet'!$A$62,'Données projet'!$B$62,AI14+AH15-AQ14)))</f>
        <v>14.169654470507195</v>
      </c>
      <c r="AJ15" s="13">
        <f>AI15*VLOOKUP('Données projet'!$B$10,Paramètres!$A$1:$I$89,3,0)*VLOOKUP('Données projet'!$B$10,Paramètres!$A$1:$I$89,5,0)</f>
        <v>8.4734533733633022</v>
      </c>
      <c r="AK15" s="13">
        <f t="shared" si="35"/>
        <v>3.044992822013763</v>
      </c>
      <c r="AL15" s="20">
        <f t="shared" si="4"/>
        <v>20.06129379028172</v>
      </c>
      <c r="AM15" s="59">
        <f t="shared" si="5"/>
        <v>271.33266703585292</v>
      </c>
      <c r="AN15" s="59">
        <f ca="1">AVERAGE(OFFSET($AM$3,0,0,'Données projet'!$E$10+1,1))-AVERAGE(OFFSET($H$3,0,0,'Données projet'!$E$10+1,1))</f>
        <v>356.02637444732096</v>
      </c>
      <c r="AO15" s="59">
        <f t="shared" si="36"/>
        <v>263.30053404008095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4.5104999999999995</v>
      </c>
      <c r="BD15" s="12">
        <f>IF('Données projet'!$A$88&gt;35,BD14+BC15-BL14,IF(A15&lt;'Données projet'!$A$88,$BA$205^A15,IF(A15='Données projet'!$A$88,'Données projet'!$B$88,BD14+BC15-BL14)))</f>
        <v>54.125999999999998</v>
      </c>
      <c r="BE15" s="13">
        <f>BD15*VLOOKUP('Données projet'!$B$11,Paramètres!$A$1:$I$89,3,0)*VLOOKUP('Données projet'!$B$11,Paramètres!$A$1:$I$89,5,0)</f>
        <v>54.883763999999999</v>
      </c>
      <c r="BF15" s="13">
        <f t="shared" si="37"/>
        <v>15.868091076429918</v>
      </c>
      <c r="BG15" s="20">
        <f t="shared" si="7"/>
        <v>123.22614759144876</v>
      </c>
      <c r="BH15" s="59">
        <f t="shared" si="8"/>
        <v>374.49752083701998</v>
      </c>
      <c r="BI15" s="59">
        <f ca="1">AVERAGE(OFFSET($BH$3,0,0,'Données projet'!$E$11+1,1))-AVERAGE(OFFSET($H$3,0,0,'Données projet'!$E$11+1,1))</f>
        <v>478.2340976873212</v>
      </c>
      <c r="BJ15" s="59">
        <f t="shared" si="38"/>
        <v>342.90128902463823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4.0948387096774193</v>
      </c>
      <c r="BY15" s="12">
        <f>IF('Données projet'!$A$114&gt;35,BY14+BX15-CG14,IF(A15&lt;'Données projet'!$A$114,$BV$205^A15,IF(A15='Données projet'!$A$114,'Données projet'!$B$114,BY14+BX15-CG14)))</f>
        <v>6.5207295977842437</v>
      </c>
      <c r="BZ15" s="13">
        <f>BY15*VLOOKUP('Données projet'!$B$12,Paramètres!$A$1:$I$89,3,0)*VLOOKUP('Données projet'!$B$12,Paramètres!$A$1:$I$89,5,0)</f>
        <v>5.8999561400751839</v>
      </c>
      <c r="CA15" s="13">
        <f t="shared" si="39"/>
        <v>2.2114343422774678</v>
      </c>
      <c r="CB15" s="20">
        <f t="shared" si="10"/>
        <v>14.127338423430869</v>
      </c>
      <c r="CC15" s="59">
        <f t="shared" si="11"/>
        <v>265.39871166900207</v>
      </c>
      <c r="CD15" s="59">
        <f ca="1">AVERAGE(OFFSET($CC$3,0,0,'Données projet'!$E$12+1,1))-AVERAGE(OFFSET($H$3,0,0,'Données projet'!$E$12+1,1))</f>
        <v>471.03166569378629</v>
      </c>
      <c r="CE15" s="59">
        <f t="shared" si="40"/>
        <v>259.15709238853287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9.9228571428571435</v>
      </c>
      <c r="CT15" s="12">
        <f>IF('Données projet'!$A$140&gt;35,CT14+CS15-DB14,IF(A15&lt;'Données projet'!$A$140,$CQ$205^A15,IF(A15='Données projet'!$A$140,'Données projet'!$B$140,CT14+CS15-DB14)))</f>
        <v>119.07428571428569</v>
      </c>
      <c r="CU15" s="17">
        <f>CT15*VLOOKUP('Données projet'!$B$13,Paramètres!$A$1:$I$89,3,0)*VLOOKUP('Données projet'!$B$13,Paramètres!$A$1:$I$89,5,0)</f>
        <v>55.726765714285705</v>
      </c>
      <c r="CV15" s="13">
        <f t="shared" si="41"/>
        <v>16.083259609160287</v>
      </c>
      <c r="CW15" s="20">
        <f t="shared" si="13"/>
        <v>125.0691274383351</v>
      </c>
      <c r="CX15" s="59">
        <f t="shared" si="14"/>
        <v>376.34050068390633</v>
      </c>
      <c r="CY15" s="59">
        <f ca="1">AVERAGE(OFFSET($CX$3,0,0,'Données projet'!$E$13+1,1))-AVERAGE(OFFSET($H$3,0,0,'Données projet'!$E$13+1,1))</f>
        <v>364.67256251031029</v>
      </c>
      <c r="CZ15" s="59">
        <f t="shared" si="42"/>
        <v>347.4139588390766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64.52855633970124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1.35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4.95</v>
      </c>
      <c r="H16" s="67">
        <f t="shared" si="1"/>
        <v>236.86666666666665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6.0769230769230766</v>
      </c>
      <c r="N16" s="13">
        <f>IF('Données projet'!$A$36&gt;35,N15+M16-V15,IF(A16&lt;'Données projet'!$A$36,$K$205^A16,IF(A16='Données projet'!$A$36,'Données projet'!$B$36,N15+M16-V15)))</f>
        <v>13.628383586385372</v>
      </c>
      <c r="O16" s="13">
        <f>N16*VLOOKUP('Données projet'!$B$9,Paramètres!$A$1:$I$89,3,0)*VLOOKUP('Données projet'!$B$9,Paramètres!$A$1:$I$89,5,0)</f>
        <v>6.9308507566921458</v>
      </c>
      <c r="P16" s="13">
        <f t="shared" si="33"/>
        <v>2.5495941734405316</v>
      </c>
      <c r="Q16" s="20">
        <f t="shared" si="2"/>
        <v>16.511774919981079</v>
      </c>
      <c r="R16" s="59">
        <f t="shared" si="0"/>
        <v>269.3534005434737</v>
      </c>
      <c r="S16" s="59">
        <f ca="1">AVERAGE(OFFSET($R$3,0,0,'Données projet'!$E$9+1,1))-AVERAGE(OFFSET($H$3,0,0,'Données projet'!$E$9+1,1))</f>
        <v>51.998489924038495</v>
      </c>
      <c r="T16" s="59">
        <f t="shared" si="34"/>
        <v>206.32767973856241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5.8668181818181813</v>
      </c>
      <c r="AI16" s="13">
        <f>IF('Données projet'!$A$62&gt;35,AI15+AH16-AQ15,IF(A16&lt;'Données projet'!$A$62,$AF$205^A16,IF(A16='Données projet'!$A$62,'Données projet'!$B$62,AI15+AH16-AQ15)))</f>
        <v>17.672820443588613</v>
      </c>
      <c r="AJ16" s="13">
        <f>AI16*VLOOKUP('Données projet'!$B$10,Paramètres!$A$1:$I$89,3,0)*VLOOKUP('Données projet'!$B$10,Paramètres!$A$1:$I$89,5,0)</f>
        <v>10.56834662526599</v>
      </c>
      <c r="AK16" s="13">
        <f t="shared" si="35"/>
        <v>3.7013886882041378</v>
      </c>
      <c r="AL16" s="20">
        <f t="shared" si="4"/>
        <v>24.853122337627141</v>
      </c>
      <c r="AM16" s="59">
        <f t="shared" si="5"/>
        <v>277.69474796111979</v>
      </c>
      <c r="AN16" s="59">
        <f ca="1">AVERAGE(OFFSET($AM$3,0,0,'Données projet'!$E$10+1,1))-AVERAGE(OFFSET($H$3,0,0,'Données projet'!$E$10+1,1))</f>
        <v>356.02637444732096</v>
      </c>
      <c r="AO16" s="59">
        <f t="shared" si="36"/>
        <v>263.30053404008095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4.5104999999999995</v>
      </c>
      <c r="BD16" s="12">
        <f>IF('Données projet'!$A$88&gt;35,BD15+BC16-BL15,IF(A16&lt;'Données projet'!$A$88,$BA$205^A16,IF(A16='Données projet'!$A$88,'Données projet'!$B$88,BD15+BC16-BL15)))</f>
        <v>58.636499999999998</v>
      </c>
      <c r="BE16" s="13">
        <f>BD16*VLOOKUP('Données projet'!$B$11,Paramètres!$A$1:$I$89,3,0)*VLOOKUP('Données projet'!$B$11,Paramètres!$A$1:$I$89,5,0)</f>
        <v>59.457411000000008</v>
      </c>
      <c r="BF16" s="13">
        <f t="shared" si="37"/>
        <v>17.03101304418513</v>
      </c>
      <c r="BG16" s="20">
        <f t="shared" si="7"/>
        <v>133.21733854362245</v>
      </c>
      <c r="BH16" s="59">
        <f t="shared" si="8"/>
        <v>386.05896416711505</v>
      </c>
      <c r="BI16" s="59">
        <f ca="1">AVERAGE(OFFSET($BH$3,0,0,'Données projet'!$E$11+1,1))-AVERAGE(OFFSET($H$3,0,0,'Données projet'!$E$11+1,1))</f>
        <v>478.2340976873212</v>
      </c>
      <c r="BJ16" s="59">
        <f t="shared" si="38"/>
        <v>342.90128902463823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4.0948387096774193</v>
      </c>
      <c r="BY16" s="12">
        <f>IF('Données projet'!$A$114&gt;35,BY15+BX16-CG15,IF(A16&lt;'Données projet'!$A$114,$BV$205^A16,IF(A16='Données projet'!$A$114,'Données projet'!$B$114,BY15+BX16-CG15)))</f>
        <v>7.6234965334462279</v>
      </c>
      <c r="BZ16" s="13">
        <f>BY16*VLOOKUP('Données projet'!$B$12,Paramètres!$A$1:$I$89,3,0)*VLOOKUP('Données projet'!$B$12,Paramètres!$A$1:$I$89,5,0)</f>
        <v>6.8977396634621462</v>
      </c>
      <c r="CA16" s="13">
        <f t="shared" si="39"/>
        <v>2.5388286614640547</v>
      </c>
      <c r="CB16" s="20">
        <f t="shared" si="10"/>
        <v>16.435356499246463</v>
      </c>
      <c r="CC16" s="59">
        <f t="shared" si="11"/>
        <v>269.27698212273907</v>
      </c>
      <c r="CD16" s="59">
        <f ca="1">AVERAGE(OFFSET($CC$3,0,0,'Données projet'!$E$12+1,1))-AVERAGE(OFFSET($H$3,0,0,'Données projet'!$E$12+1,1))</f>
        <v>471.03166569378629</v>
      </c>
      <c r="CE16" s="59">
        <f t="shared" si="40"/>
        <v>259.15709238853287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9.9228571428571435</v>
      </c>
      <c r="CT16" s="12">
        <f>IF('Données projet'!$A$140&gt;35,CT15+CS16-DB15,IF(A16&lt;'Données projet'!$A$140,$CQ$205^A16,IF(A16='Données projet'!$A$140,'Données projet'!$B$140,CT15+CS16-DB15)))</f>
        <v>128.99714285714285</v>
      </c>
      <c r="CU16" s="17">
        <f>CT16*VLOOKUP('Données projet'!$B$13,Paramètres!$A$1:$I$89,3,0)*VLOOKUP('Données projet'!$B$13,Paramètres!$A$1:$I$89,5,0)</f>
        <v>60.370662857142847</v>
      </c>
      <c r="CV16" s="13">
        <f t="shared" si="41"/>
        <v>17.261950594894824</v>
      </c>
      <c r="CW16" s="20">
        <f t="shared" si="13"/>
        <v>135.21013509563227</v>
      </c>
      <c r="CX16" s="59">
        <f t="shared" si="14"/>
        <v>388.0517607191249</v>
      </c>
      <c r="CY16" s="59">
        <f ca="1">AVERAGE(OFFSET($CX$3,0,0,'Données projet'!$E$13+1,1))-AVERAGE(OFFSET($H$3,0,0,'Données projet'!$E$13+1,1))</f>
        <v>364.67256251031029</v>
      </c>
      <c r="CZ16" s="59">
        <f t="shared" si="42"/>
        <v>347.4139588390766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64.623473654891939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1.35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4.95</v>
      </c>
      <c r="H17" s="67">
        <f t="shared" si="1"/>
        <v>236.86666666666665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6.0769230769230766</v>
      </c>
      <c r="N17" s="13">
        <f>IF('Données projet'!$A$36&gt;35,N16+M17-V16,IF(A17&lt;'Données projet'!$A$36,$K$205^A17,IF(A17='Données projet'!$A$36,'Données projet'!$B$36,N16+M17-V16)))</f>
        <v>16.661315898592544</v>
      </c>
      <c r="O17" s="13">
        <f>N17*VLOOKUP('Données projet'!$B$9,Paramètres!$A$1:$I$89,3,0)*VLOOKUP('Données projet'!$B$9,Paramètres!$A$1:$I$89,5,0)</f>
        <v>8.4732788133882249</v>
      </c>
      <c r="P17" s="13">
        <f t="shared" si="33"/>
        <v>3.0449373943302742</v>
      </c>
      <c r="Q17" s="20">
        <f t="shared" si="2"/>
        <v>20.060893228443053</v>
      </c>
      <c r="R17" s="59">
        <f t="shared" si="0"/>
        <v>274.46673368473461</v>
      </c>
      <c r="S17" s="59">
        <f ca="1">AVERAGE(OFFSET($R$3,0,0,'Données projet'!$E$9+1,1))-AVERAGE(OFFSET($H$3,0,0,'Données projet'!$E$9+1,1))</f>
        <v>51.998489924038495</v>
      </c>
      <c r="T17" s="59">
        <f t="shared" si="34"/>
        <v>206.32767973856241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5.8668181818181813</v>
      </c>
      <c r="AI17" s="13">
        <f>IF('Données projet'!$A$62&gt;35,AI16+AH17-AQ16,IF(A17&lt;'Données projet'!$A$62,$AF$205^A17,IF(A17='Données projet'!$A$62,'Données projet'!$B$62,AI16+AH17-AQ16)))</f>
        <v>22.042074708413409</v>
      </c>
      <c r="AJ17" s="13">
        <f>AI17*VLOOKUP('Données projet'!$B$10,Paramètres!$A$1:$I$89,3,0)*VLOOKUP('Données projet'!$B$10,Paramètres!$A$1:$I$89,5,0)</f>
        <v>13.181160675631221</v>
      </c>
      <c r="AK17" s="13">
        <f t="shared" si="35"/>
        <v>4.4992809579449391</v>
      </c>
      <c r="AL17" s="20">
        <f t="shared" si="4"/>
        <v>30.793435845145144</v>
      </c>
      <c r="AM17" s="59">
        <f t="shared" si="5"/>
        <v>285.19927630143673</v>
      </c>
      <c r="AN17" s="59">
        <f ca="1">AVERAGE(OFFSET($AM$3,0,0,'Données projet'!$E$10+1,1))-AVERAGE(OFFSET($H$3,0,0,'Données projet'!$E$10+1,1))</f>
        <v>356.02637444732096</v>
      </c>
      <c r="AO17" s="59">
        <f t="shared" si="36"/>
        <v>263.30053404008095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4.5104999999999995</v>
      </c>
      <c r="BD17" s="12">
        <f>IF('Données projet'!$A$88&gt;35,BD16+BC17-BL16,IF(A17&lt;'Données projet'!$A$88,$BA$205^A17,IF(A17='Données projet'!$A$88,'Données projet'!$B$88,BD16+BC17-BL16)))</f>
        <v>63.146999999999998</v>
      </c>
      <c r="BE17" s="13">
        <f>BD17*VLOOKUP('Données projet'!$B$11,Paramètres!$A$1:$I$89,3,0)*VLOOKUP('Données projet'!$B$11,Paramètres!$A$1:$I$89,5,0)</f>
        <v>64.031058000000002</v>
      </c>
      <c r="BF17" s="13">
        <f t="shared" si="37"/>
        <v>18.18355806888141</v>
      </c>
      <c r="BG17" s="20">
        <f t="shared" si="7"/>
        <v>143.19045631996846</v>
      </c>
      <c r="BH17" s="59">
        <f t="shared" si="8"/>
        <v>397.59629677626003</v>
      </c>
      <c r="BI17" s="59">
        <f ca="1">AVERAGE(OFFSET($BH$3,0,0,'Données projet'!$E$11+1,1))-AVERAGE(OFFSET($H$3,0,0,'Données projet'!$E$11+1,1))</f>
        <v>478.2340976873212</v>
      </c>
      <c r="BJ17" s="59">
        <f t="shared" si="38"/>
        <v>342.90128902463823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4.0948387096774193</v>
      </c>
      <c r="BY17" s="12">
        <f>IF('Données projet'!$A$114&gt;35,BY16+BX17-CG16,IF(A17&lt;'Données projet'!$A$114,$BV$205^A17,IF(A17='Données projet'!$A$114,'Données projet'!$B$114,BY16+BX17-CG16)))</f>
        <v>8.9127602247477284</v>
      </c>
      <c r="BZ17" s="13">
        <f>BY17*VLOOKUP('Données projet'!$B$12,Paramètres!$A$1:$I$89,3,0)*VLOOKUP('Données projet'!$B$12,Paramètres!$A$1:$I$89,5,0)</f>
        <v>8.0642654513517442</v>
      </c>
      <c r="CA17" s="13">
        <f t="shared" si="39"/>
        <v>2.9146924460046346</v>
      </c>
      <c r="CB17" s="20">
        <f t="shared" si="10"/>
        <v>19.121685004562359</v>
      </c>
      <c r="CC17" s="59">
        <f t="shared" si="11"/>
        <v>273.52752546085395</v>
      </c>
      <c r="CD17" s="59">
        <f ca="1">AVERAGE(OFFSET($CC$3,0,0,'Données projet'!$E$12+1,1))-AVERAGE(OFFSET($H$3,0,0,'Données projet'!$E$12+1,1))</f>
        <v>471.03166569378629</v>
      </c>
      <c r="CE17" s="59">
        <f t="shared" si="40"/>
        <v>259.15709238853287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9.9228571428571435</v>
      </c>
      <c r="CT17" s="12">
        <f>IF('Données projet'!$A$140&gt;35,CT16+CS17-DB16,IF(A17&lt;'Données projet'!$A$140,$CQ$205^A17,IF(A17='Données projet'!$A$140,'Données projet'!$B$140,CT16+CS17-DB16)))</f>
        <v>138.91999999999999</v>
      </c>
      <c r="CU17" s="17">
        <f>CT17*VLOOKUP('Données projet'!$B$13,Paramètres!$A$1:$I$89,3,0)*VLOOKUP('Données projet'!$B$13,Paramètres!$A$1:$I$89,5,0)</f>
        <v>65.014560000000003</v>
      </c>
      <c r="CV17" s="13">
        <f t="shared" si="41"/>
        <v>18.430123928042022</v>
      </c>
      <c r="CW17" s="20">
        <f t="shared" si="13"/>
        <v>145.33282450800652</v>
      </c>
      <c r="CX17" s="59">
        <f t="shared" si="14"/>
        <v>399.7386649642981</v>
      </c>
      <c r="CY17" s="59">
        <f ca="1">AVERAGE(OFFSET($CX$3,0,0,'Données projet'!$E$13+1,1))-AVERAGE(OFFSET($H$3,0,0,'Données projet'!$E$13+1,1))</f>
        <v>364.67256251031029</v>
      </c>
      <c r="CZ17" s="59">
        <f t="shared" si="42"/>
        <v>347.4139588390766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64.716744366867388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1.35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4.95</v>
      </c>
      <c r="H18" s="67">
        <f t="shared" si="1"/>
        <v>236.86666666666665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6.0769230769230766</v>
      </c>
      <c r="N18" s="13">
        <f>IF('Données projet'!$A$36&gt;35,N17+M18-V17,IF(A18&lt;'Données projet'!$A$36,$K$205^A18,IF(A18='Données projet'!$A$36,'Données projet'!$B$36,N17+M18-V17)))</f>
        <v>20.369212952738717</v>
      </c>
      <c r="O18" s="13">
        <f>N18*VLOOKUP('Données projet'!$B$9,Paramètres!$A$1:$I$89,3,0)*VLOOKUP('Données projet'!$B$9,Paramètres!$A$1:$I$89,5,0)</f>
        <v>10.358966939244802</v>
      </c>
      <c r="P18" s="13">
        <f t="shared" si="33"/>
        <v>3.6365174630436514</v>
      </c>
      <c r="Q18" s="20">
        <f t="shared" si="2"/>
        <v>24.375468667319055</v>
      </c>
      <c r="R18" s="59">
        <f t="shared" si="0"/>
        <v>280.33959114919696</v>
      </c>
      <c r="S18" s="59">
        <f ca="1">AVERAGE(OFFSET($R$3,0,0,'Données projet'!$E$9+1,1))-AVERAGE(OFFSET($H$3,0,0,'Données projet'!$E$9+1,1))</f>
        <v>51.998489924038495</v>
      </c>
      <c r="T18" s="59">
        <f t="shared" si="34"/>
        <v>206.32767973856241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5.8668181818181813</v>
      </c>
      <c r="AI18" s="13">
        <f>IF('Données projet'!$A$62&gt;35,AI17+AH18-AQ17,IF(A18&lt;'Données projet'!$A$62,$AF$205^A18,IF(A18='Données projet'!$A$62,'Données projet'!$B$62,AI17+AH18-AQ17)))</f>
        <v>27.491540413830034</v>
      </c>
      <c r="AJ18" s="13">
        <f>AI18*VLOOKUP('Données projet'!$B$10,Paramètres!$A$1:$I$89,3,0)*VLOOKUP('Données projet'!$B$10,Paramètres!$A$1:$I$89,5,0)</f>
        <v>16.439941167470362</v>
      </c>
      <c r="AK18" s="13">
        <f t="shared" si="35"/>
        <v>5.4691713958708279</v>
      </c>
      <c r="AL18" s="20">
        <f t="shared" si="4"/>
        <v>38.158371047819237</v>
      </c>
      <c r="AM18" s="59">
        <f t="shared" si="5"/>
        <v>294.12249352969712</v>
      </c>
      <c r="AN18" s="59">
        <f ca="1">AVERAGE(OFFSET($AM$3,0,0,'Données projet'!$E$10+1,1))-AVERAGE(OFFSET($H$3,0,0,'Données projet'!$E$10+1,1))</f>
        <v>356.02637444732096</v>
      </c>
      <c r="AO18" s="59">
        <f t="shared" si="36"/>
        <v>263.30053404008095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4.5104999999999995</v>
      </c>
      <c r="BD18" s="12">
        <f>IF('Données projet'!$A$88&gt;35,BD17+BC18-BL17,IF(A18&lt;'Données projet'!$A$88,$BA$205^A18,IF(A18='Données projet'!$A$88,'Données projet'!$B$88,BD17+BC18-BL17)))</f>
        <v>67.657499999999999</v>
      </c>
      <c r="BE18" s="13">
        <f>BD18*VLOOKUP('Données projet'!$B$11,Paramètres!$A$1:$I$89,3,0)*VLOOKUP('Données projet'!$B$11,Paramètres!$A$1:$I$89,5,0)</f>
        <v>68.60470500000001</v>
      </c>
      <c r="BF18" s="13">
        <f t="shared" si="37"/>
        <v>19.326551661364586</v>
      </c>
      <c r="BG18" s="20">
        <f t="shared" si="7"/>
        <v>153.14693868521002</v>
      </c>
      <c r="BH18" s="59">
        <f t="shared" si="8"/>
        <v>409.11106116708788</v>
      </c>
      <c r="BI18" s="59">
        <f ca="1">AVERAGE(OFFSET($BH$3,0,0,'Données projet'!$E$11+1,1))-AVERAGE(OFFSET($H$3,0,0,'Données projet'!$E$11+1,1))</f>
        <v>478.2340976873212</v>
      </c>
      <c r="BJ18" s="59">
        <f t="shared" si="38"/>
        <v>342.90128902463823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4.0948387096774193</v>
      </c>
      <c r="BY18" s="12">
        <f>IF('Données projet'!$A$114&gt;35,BY17+BX18-CG17,IF(A18&lt;'Données projet'!$A$114,$BV$205^A18,IF(A18='Données projet'!$A$114,'Données projet'!$B$114,BY17+BX18-CG17)))</f>
        <v>10.420060463769275</v>
      </c>
      <c r="BZ18" s="13">
        <f>BY18*VLOOKUP('Données projet'!$B$12,Paramètres!$A$1:$I$89,3,0)*VLOOKUP('Données projet'!$B$12,Paramètres!$A$1:$I$89,5,0)</f>
        <v>9.4280707076184385</v>
      </c>
      <c r="CA18" s="13">
        <f t="shared" si="39"/>
        <v>3.3462014131735298</v>
      </c>
      <c r="CB18" s="20">
        <f t="shared" si="10"/>
        <v>22.24852394371268</v>
      </c>
      <c r="CC18" s="59">
        <f t="shared" si="11"/>
        <v>278.21264642559055</v>
      </c>
      <c r="CD18" s="59">
        <f ca="1">AVERAGE(OFFSET($CC$3,0,0,'Données projet'!$E$12+1,1))-AVERAGE(OFFSET($H$3,0,0,'Données projet'!$E$12+1,1))</f>
        <v>471.03166569378629</v>
      </c>
      <c r="CE18" s="59">
        <f t="shared" si="40"/>
        <v>259.15709238853287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9.9228571428571435</v>
      </c>
      <c r="CT18" s="12">
        <f>IF('Données projet'!$A$140&gt;35,CT17+CS18-DB17,IF(A18&lt;'Données projet'!$A$140,$CQ$205^A18,IF(A18='Données projet'!$A$140,'Données projet'!$B$140,CT17+CS18-DB17)))</f>
        <v>148.84285714285713</v>
      </c>
      <c r="CU18" s="17">
        <f>CT18*VLOOKUP('Données projet'!$B$13,Paramètres!$A$1:$I$89,3,0)*VLOOKUP('Données projet'!$B$13,Paramètres!$A$1:$I$89,5,0)</f>
        <v>69.658457142857131</v>
      </c>
      <c r="CV18" s="13">
        <f t="shared" si="41"/>
        <v>19.588616313230013</v>
      </c>
      <c r="CW18" s="20">
        <f t="shared" si="13"/>
        <v>155.43865293601846</v>
      </c>
      <c r="CX18" s="59">
        <f t="shared" si="14"/>
        <v>411.40277541789635</v>
      </c>
      <c r="CY18" s="59">
        <f ca="1">AVERAGE(OFFSET($CX$3,0,0,'Données projet'!$E$13+1,1))-AVERAGE(OFFSET($H$3,0,0,'Données projet'!$E$13+1,1))</f>
        <v>364.67256251031029</v>
      </c>
      <c r="CZ18" s="59">
        <f t="shared" si="42"/>
        <v>347.4139588390766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64.808397040512148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1.35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4.95</v>
      </c>
      <c r="H19" s="67">
        <f t="shared" si="1"/>
        <v>236.86666666666665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6.0769230769230766</v>
      </c>
      <c r="N19" s="13">
        <f>IF('Données projet'!$A$36&gt;35,N18+M19-V18,IF(A19&lt;'Données projet'!$A$36,$K$205^A19,IF(A19='Données projet'!$A$36,'Données projet'!$B$36,N18+M19-V18)))</f>
        <v>24.9022849599213</v>
      </c>
      <c r="O19" s="13">
        <f>N19*VLOOKUP('Données projet'!$B$9,Paramètres!$A$1:$I$89,3,0)*VLOOKUP('Données projet'!$B$9,Paramètres!$A$1:$I$89,5,0)</f>
        <v>12.664306039217578</v>
      </c>
      <c r="P19" s="13">
        <f t="shared" si="33"/>
        <v>4.3430315787921421</v>
      </c>
      <c r="Q19" s="20">
        <f t="shared" si="2"/>
        <v>29.621113018033594</v>
      </c>
      <c r="R19" s="59">
        <f t="shared" si="0"/>
        <v>287.13768763922661</v>
      </c>
      <c r="S19" s="59">
        <f ca="1">AVERAGE(OFFSET($R$3,0,0,'Données projet'!$E$9+1,1))-AVERAGE(OFFSET($H$3,0,0,'Données projet'!$E$9+1,1))</f>
        <v>51.998489924038495</v>
      </c>
      <c r="T19" s="59">
        <f t="shared" si="34"/>
        <v>206.32767973856241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5.8668181818181813</v>
      </c>
      <c r="AI19" s="13">
        <f>IF('Données projet'!$A$62&gt;35,AI18+AH19-AQ18,IF(A19&lt;'Données projet'!$A$62,$AF$205^A19,IF(A19='Données projet'!$A$62,'Données projet'!$B$62,AI18+AH19-AQ18)))</f>
        <v>34.288278409507839</v>
      </c>
      <c r="AJ19" s="13">
        <f>AI19*VLOOKUP('Données projet'!$B$10,Paramètres!$A$1:$I$89,3,0)*VLOOKUP('Données projet'!$B$10,Paramètres!$A$1:$I$89,5,0)</f>
        <v>20.50439048888569</v>
      </c>
      <c r="AK19" s="13">
        <f t="shared" si="35"/>
        <v>6.6481368994289252</v>
      </c>
      <c r="AL19" s="20">
        <f t="shared" si="4"/>
        <v>47.290651867981289</v>
      </c>
      <c r="AM19" s="59">
        <f t="shared" si="5"/>
        <v>304.8072264891743</v>
      </c>
      <c r="AN19" s="59">
        <f ca="1">AVERAGE(OFFSET($AM$3,0,0,'Données projet'!$E$10+1,1))-AVERAGE(OFFSET($H$3,0,0,'Données projet'!$E$10+1,1))</f>
        <v>356.02637444732096</v>
      </c>
      <c r="AO19" s="59">
        <f t="shared" si="36"/>
        <v>263.30053404008095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4.5104999999999995</v>
      </c>
      <c r="BD19" s="12">
        <f>IF('Données projet'!$A$88&gt;35,BD18+BC19-BL18,IF(A19&lt;'Données projet'!$A$88,$BA$205^A19,IF(A19='Données projet'!$A$88,'Données projet'!$B$88,BD18+BC19-BL18)))</f>
        <v>72.167999999999992</v>
      </c>
      <c r="BE19" s="13">
        <f>BD19*VLOOKUP('Données projet'!$B$11,Paramètres!$A$1:$I$89,3,0)*VLOOKUP('Données projet'!$B$11,Paramètres!$A$1:$I$89,5,0)</f>
        <v>73.178352000000004</v>
      </c>
      <c r="BF19" s="13">
        <f t="shared" si="37"/>
        <v>20.460703037306402</v>
      </c>
      <c r="BG19" s="20">
        <f t="shared" si="7"/>
        <v>163.08802085664198</v>
      </c>
      <c r="BH19" s="59">
        <f t="shared" si="8"/>
        <v>420.60459547783501</v>
      </c>
      <c r="BI19" s="59">
        <f ca="1">AVERAGE(OFFSET($BH$3,0,0,'Données projet'!$E$11+1,1))-AVERAGE(OFFSET($H$3,0,0,'Données projet'!$E$11+1,1))</f>
        <v>478.2340976873212</v>
      </c>
      <c r="BJ19" s="59">
        <f t="shared" si="38"/>
        <v>342.90128902463823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4.0948387096774193</v>
      </c>
      <c r="BY19" s="12">
        <f>IF('Données projet'!$A$114&gt;35,BY18+BX19-CG18,IF(A19&lt;'Données projet'!$A$114,$BV$205^A19,IF(A19='Données projet'!$A$114,'Données projet'!$B$114,BY18+BX19-CG18)))</f>
        <v>12.182270961034501</v>
      </c>
      <c r="BZ19" s="13">
        <f>BY19*VLOOKUP('Données projet'!$B$12,Paramètres!$A$1:$I$89,3,0)*VLOOKUP('Données projet'!$B$12,Paramètres!$A$1:$I$89,5,0)</f>
        <v>11.022518765544016</v>
      </c>
      <c r="CA19" s="13">
        <f t="shared" si="39"/>
        <v>3.8415936174923364</v>
      </c>
      <c r="CB19" s="20">
        <f t="shared" si="10"/>
        <v>25.888329067121646</v>
      </c>
      <c r="CC19" s="59">
        <f t="shared" si="11"/>
        <v>283.40490368831468</v>
      </c>
      <c r="CD19" s="59">
        <f ca="1">AVERAGE(OFFSET($CC$3,0,0,'Données projet'!$E$12+1,1))-AVERAGE(OFFSET($H$3,0,0,'Données projet'!$E$12+1,1))</f>
        <v>471.03166569378629</v>
      </c>
      <c r="CE19" s="59">
        <f t="shared" si="40"/>
        <v>259.15709238853287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9.9228571428571435</v>
      </c>
      <c r="CT19" s="12">
        <f>IF('Données projet'!$A$140&gt;35,CT18+CS19-DB18,IF(A19&lt;'Données projet'!$A$140,$CQ$205^A19,IF(A19='Données projet'!$A$140,'Données projet'!$B$140,CT18+CS19-DB18)))</f>
        <v>158.76571428571427</v>
      </c>
      <c r="CU19" s="17">
        <f>CT19*VLOOKUP('Données projet'!$B$13,Paramètres!$A$1:$I$89,3,0)*VLOOKUP('Données projet'!$B$13,Paramètres!$A$1:$I$89,5,0)</f>
        <v>74.302354285714287</v>
      </c>
      <c r="CV19" s="13">
        <f t="shared" si="41"/>
        <v>20.738146582970735</v>
      </c>
      <c r="CW19" s="20">
        <f t="shared" si="13"/>
        <v>165.52887234629307</v>
      </c>
      <c r="CX19" s="59">
        <f t="shared" si="14"/>
        <v>423.0454469674861</v>
      </c>
      <c r="CY19" s="59">
        <f ca="1">AVERAGE(OFFSET($CX$3,0,0,'Données projet'!$E$13+1,1))-AVERAGE(OFFSET($H$3,0,0,'Données projet'!$E$13+1,1))</f>
        <v>364.67256251031029</v>
      </c>
      <c r="CZ19" s="59">
        <f t="shared" si="42"/>
        <v>347.4139588390766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64.898459745173852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1.35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4.95</v>
      </c>
      <c r="H20" s="67">
        <f t="shared" si="1"/>
        <v>236.86666666666665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6.0769230769230766</v>
      </c>
      <c r="N20" s="13">
        <f>IF('Données projet'!$A$36&gt;35,N19+M20-V19,IF(A20&lt;'Données projet'!$A$36,$K$205^A20,IF(A20='Données projet'!$A$36,'Données projet'!$B$36,N19+M20-V19)))</f>
        <v>30.444170703303715</v>
      </c>
      <c r="O20" s="13">
        <f>N20*VLOOKUP('Données projet'!$B$9,Paramètres!$A$1:$I$89,3,0)*VLOOKUP('Données projet'!$B$9,Paramètres!$A$1:$I$89,5,0)</f>
        <v>15.482687452872138</v>
      </c>
      <c r="P20" s="13">
        <f t="shared" si="33"/>
        <v>5.1868094917929861</v>
      </c>
      <c r="Q20" s="20">
        <f t="shared" si="2"/>
        <v>35.99937384529175</v>
      </c>
      <c r="R20" s="59">
        <f t="shared" si="0"/>
        <v>295.06267185502185</v>
      </c>
      <c r="S20" s="59">
        <f ca="1">AVERAGE(OFFSET($R$3,0,0,'Données projet'!$E$9+1,1))-AVERAGE(OFFSET($H$3,0,0,'Données projet'!$E$9+1,1))</f>
        <v>51.998489924038495</v>
      </c>
      <c r="T20" s="59">
        <f t="shared" si="34"/>
        <v>206.32767973856241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5.8668181818181813</v>
      </c>
      <c r="AI20" s="13">
        <f>IF('Données projet'!$A$62&gt;35,AI19+AH20-AQ19,IF(A20&lt;'Données projet'!$A$62,$AF$205^A20,IF(A20='Données projet'!$A$62,'Données projet'!$B$62,AI19+AH20-AQ19)))</f>
        <v>42.765375042297542</v>
      </c>
      <c r="AJ20" s="13">
        <f>AI20*VLOOKUP('Données projet'!$B$10,Paramètres!$A$1:$I$89,3,0)*VLOOKUP('Données projet'!$B$10,Paramètres!$A$1:$I$89,5,0)</f>
        <v>25.573694275293931</v>
      </c>
      <c r="AK20" s="13">
        <f t="shared" si="35"/>
        <v>8.0812468716773616</v>
      </c>
      <c r="AL20" s="20">
        <f t="shared" si="4"/>
        <v>58.615689164308343</v>
      </c>
      <c r="AM20" s="59">
        <f t="shared" si="5"/>
        <v>317.67898717403841</v>
      </c>
      <c r="AN20" s="59">
        <f ca="1">AVERAGE(OFFSET($AM$3,0,0,'Données projet'!$E$10+1,1))-AVERAGE(OFFSET($H$3,0,0,'Données projet'!$E$10+1,1))</f>
        <v>356.02637444732096</v>
      </c>
      <c r="AO20" s="59">
        <f t="shared" si="36"/>
        <v>263.30053404008095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4.5104999999999995</v>
      </c>
      <c r="BD20" s="12">
        <f>IF('Données projet'!$A$88&gt;35,BD19+BC20-BL19,IF(A20&lt;'Données projet'!$A$88,$BA$205^A20,IF(A20='Données projet'!$A$88,'Données projet'!$B$88,BD19+BC20-BL19)))</f>
        <v>76.678499999999985</v>
      </c>
      <c r="BE20" s="13">
        <f>BD20*VLOOKUP('Données projet'!$B$11,Paramètres!$A$1:$I$89,3,0)*VLOOKUP('Données projet'!$B$11,Paramètres!$A$1:$I$89,5,0)</f>
        <v>77.751998999999998</v>
      </c>
      <c r="BF20" s="13">
        <f t="shared" si="37"/>
        <v>21.586627749794776</v>
      </c>
      <c r="BG20" s="20">
        <f t="shared" si="7"/>
        <v>173.01477492255921</v>
      </c>
      <c r="BH20" s="59">
        <f t="shared" si="8"/>
        <v>432.07807293228927</v>
      </c>
      <c r="BI20" s="59">
        <f ca="1">AVERAGE(OFFSET($BH$3,0,0,'Données projet'!$E$11+1,1))-AVERAGE(OFFSET($H$3,0,0,'Données projet'!$E$11+1,1))</f>
        <v>478.2340976873212</v>
      </c>
      <c r="BJ20" s="59">
        <f t="shared" si="38"/>
        <v>342.90128902463823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4.0948387096774193</v>
      </c>
      <c r="BY20" s="12">
        <f>IF('Données projet'!$A$114&gt;35,BY19+BX20-CG19,IF(A20&lt;'Données projet'!$A$114,$BV$205^A20,IF(A20='Données projet'!$A$114,'Données projet'!$B$114,BY19+BX20-CG19)))</f>
        <v>14.242501402374833</v>
      </c>
      <c r="BZ20" s="13">
        <f>BY20*VLOOKUP('Données projet'!$B$12,Paramètres!$A$1:$I$89,3,0)*VLOOKUP('Données projet'!$B$12,Paramètres!$A$1:$I$89,5,0)</f>
        <v>12.886615268868749</v>
      </c>
      <c r="CA20" s="13">
        <f t="shared" si="39"/>
        <v>4.4103267256592176</v>
      </c>
      <c r="CB20" s="20">
        <f t="shared" si="10"/>
        <v>30.125507307136203</v>
      </c>
      <c r="CC20" s="59">
        <f t="shared" si="11"/>
        <v>289.18880531686631</v>
      </c>
      <c r="CD20" s="59">
        <f ca="1">AVERAGE(OFFSET($CC$3,0,0,'Données projet'!$E$12+1,1))-AVERAGE(OFFSET($H$3,0,0,'Données projet'!$E$12+1,1))</f>
        <v>471.03166569378629</v>
      </c>
      <c r="CE20" s="59">
        <f t="shared" si="40"/>
        <v>259.15709238853287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9.9228571428571435</v>
      </c>
      <c r="CT20" s="12">
        <f>IF('Données projet'!$A$140&gt;35,CT19+CS20-DB19,IF(A20&lt;'Données projet'!$A$140,$CQ$205^A20,IF(A20='Données projet'!$A$140,'Données projet'!$B$140,CT19+CS20-DB19)))</f>
        <v>168.68857142857141</v>
      </c>
      <c r="CU20" s="17">
        <f>CT20*VLOOKUP('Données projet'!$B$13,Paramètres!$A$1:$I$89,3,0)*VLOOKUP('Données projet'!$B$13,Paramètres!$A$1:$I$89,5,0)</f>
        <v>78.946251428571415</v>
      </c>
      <c r="CV20" s="13">
        <f t="shared" si="41"/>
        <v>21.879338637143992</v>
      </c>
      <c r="CW20" s="20">
        <f t="shared" si="13"/>
        <v>175.60456936445431</v>
      </c>
      <c r="CX20" s="59">
        <f t="shared" si="14"/>
        <v>434.66786737418442</v>
      </c>
      <c r="CY20" s="59">
        <f ca="1">AVERAGE(OFFSET($CX$3,0,0,'Données projet'!$E$13+1,1))-AVERAGE(OFFSET($H$3,0,0,'Données projet'!$E$13+1,1))</f>
        <v>364.67256251031029</v>
      </c>
      <c r="CZ20" s="59">
        <f t="shared" si="42"/>
        <v>347.4139588390766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64.986960063259716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1.35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4.95</v>
      </c>
      <c r="H21" s="67">
        <f t="shared" si="1"/>
        <v>236.86666666666665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6.0769230769230766</v>
      </c>
      <c r="N21" s="13">
        <f>IF('Données projet'!$A$36&gt;35,N20+M21-V20,IF(A21&lt;'Données projet'!$A$36,$K$205^A21,IF(A21='Données projet'!$A$36,'Données projet'!$B$36,N20+M21-V20)))</f>
        <v>37.21937690872948</v>
      </c>
      <c r="O21" s="13">
        <f>N21*VLOOKUP('Données projet'!$B$9,Paramètres!$A$1:$I$89,3,0)*VLOOKUP('Données projet'!$B$9,Paramètres!$A$1:$I$89,5,0)</f>
        <v>18.928286320703464</v>
      </c>
      <c r="P21" s="13">
        <f t="shared" si="33"/>
        <v>6.1945192467690759</v>
      </c>
      <c r="Q21" s="20">
        <f t="shared" si="2"/>
        <v>43.755553030014674</v>
      </c>
      <c r="R21" s="59">
        <f t="shared" si="0"/>
        <v>304.35994505852221</v>
      </c>
      <c r="S21" s="59">
        <f ca="1">AVERAGE(OFFSET($R$3,0,0,'Données projet'!$E$9+1,1))-AVERAGE(OFFSET($H$3,0,0,'Données projet'!$E$9+1,1))</f>
        <v>51.998489924038495</v>
      </c>
      <c r="T21" s="59">
        <f t="shared" si="34"/>
        <v>206.32767973856241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5.8668181818181813</v>
      </c>
      <c r="AI21" s="13">
        <f>IF('Données projet'!$A$62&gt;35,AI20+AH21-AQ20,IF(A21&lt;'Données projet'!$A$62,$AF$205^A21,IF(A21='Données projet'!$A$62,'Données projet'!$B$62,AI20+AH21-AQ20)))</f>
        <v>53.338265650608868</v>
      </c>
      <c r="AJ21" s="13">
        <f>AI21*VLOOKUP('Données projet'!$B$10,Paramètres!$A$1:$I$89,3,0)*VLOOKUP('Données projet'!$B$10,Paramètres!$A$1:$I$89,5,0)</f>
        <v>31.896282859064108</v>
      </c>
      <c r="AK21" s="13">
        <f t="shared" si="35"/>
        <v>9.8232861309767845</v>
      </c>
      <c r="AL21" s="20">
        <f t="shared" si="4"/>
        <v>72.661582657654549</v>
      </c>
      <c r="AM21" s="59">
        <f t="shared" si="5"/>
        <v>333.26597468616211</v>
      </c>
      <c r="AN21" s="59">
        <f ca="1">AVERAGE(OFFSET($AM$3,0,0,'Données projet'!$E$10+1,1))-AVERAGE(OFFSET($H$3,0,0,'Données projet'!$E$10+1,1))</f>
        <v>356.02637444732096</v>
      </c>
      <c r="AO21" s="59">
        <f t="shared" si="36"/>
        <v>263.30053404008095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4.5104999999999995</v>
      </c>
      <c r="BD21" s="12">
        <f>IF('Données projet'!$A$88&gt;35,BD20+BC21-BL20,IF(A21&lt;'Données projet'!$A$88,$BA$205^A21,IF(A21='Données projet'!$A$88,'Données projet'!$B$88,BD20+BC21-BL20)))</f>
        <v>81.188999999999979</v>
      </c>
      <c r="BE21" s="13">
        <f>BD21*VLOOKUP('Données projet'!$B$11,Paramètres!$A$1:$I$89,3,0)*VLOOKUP('Données projet'!$B$11,Paramètres!$A$1:$I$89,5,0)</f>
        <v>82.325645999999992</v>
      </c>
      <c r="BF21" s="13">
        <f t="shared" si="37"/>
        <v>22.70486484296104</v>
      </c>
      <c r="BG21" s="20">
        <f t="shared" si="7"/>
        <v>182.92813971815713</v>
      </c>
      <c r="BH21" s="59">
        <f t="shared" si="8"/>
        <v>443.53253174666469</v>
      </c>
      <c r="BI21" s="59">
        <f ca="1">AVERAGE(OFFSET($BH$3,0,0,'Données projet'!$E$11+1,1))-AVERAGE(OFFSET($H$3,0,0,'Données projet'!$E$11+1,1))</f>
        <v>478.2340976873212</v>
      </c>
      <c r="BJ21" s="59">
        <f t="shared" si="38"/>
        <v>342.90128902463823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4.0948387096774193</v>
      </c>
      <c r="BY21" s="12">
        <f>IF('Données projet'!$A$114&gt;35,BY20+BX21-CG20,IF(A21&lt;'Données projet'!$A$114,$BV$205^A21,IF(A21='Données projet'!$A$114,'Données projet'!$B$114,BY20+BX21-CG20)))</f>
        <v>16.651152059042975</v>
      </c>
      <c r="BZ21" s="13">
        <f>BY21*VLOOKUP('Données projet'!$B$12,Paramètres!$A$1:$I$89,3,0)*VLOOKUP('Données projet'!$B$12,Paramètres!$A$1:$I$89,5,0)</f>
        <v>15.065962383022084</v>
      </c>
      <c r="CA21" s="13">
        <f t="shared" si="39"/>
        <v>5.0632585754244577</v>
      </c>
      <c r="CB21" s="20">
        <f t="shared" si="10"/>
        <v>35.058393169294391</v>
      </c>
      <c r="CC21" s="59">
        <f t="shared" si="11"/>
        <v>295.66278519780195</v>
      </c>
      <c r="CD21" s="59">
        <f ca="1">AVERAGE(OFFSET($CC$3,0,0,'Données projet'!$E$12+1,1))-AVERAGE(OFFSET($H$3,0,0,'Données projet'!$E$12+1,1))</f>
        <v>471.03166569378629</v>
      </c>
      <c r="CE21" s="59">
        <f t="shared" si="40"/>
        <v>259.15709238853287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9.9228571428571435</v>
      </c>
      <c r="CT21" s="12">
        <f>IF('Données projet'!$A$140&gt;35,CT20+CS21-DB20,IF(A21&lt;'Données projet'!$A$140,$CQ$205^A21,IF(A21='Données projet'!$A$140,'Données projet'!$B$140,CT20+CS21-DB20)))</f>
        <v>178.61142857142855</v>
      </c>
      <c r="CU21" s="17">
        <f>CT21*VLOOKUP('Données projet'!$B$13,Paramètres!$A$1:$I$89,3,0)*VLOOKUP('Données projet'!$B$13,Paramètres!$A$1:$I$89,5,0)</f>
        <v>83.590148571428557</v>
      </c>
      <c r="CV21" s="13">
        <f t="shared" si="41"/>
        <v>23.012738829225075</v>
      </c>
      <c r="CW21" s="20">
        <f t="shared" si="13"/>
        <v>185.66669555613839</v>
      </c>
      <c r="CX21" s="59">
        <f t="shared" si="14"/>
        <v>446.27108758464595</v>
      </c>
      <c r="CY21" s="59">
        <f ca="1">AVERAGE(OFFSET($CX$3,0,0,'Données projet'!$E$13+1,1))-AVERAGE(OFFSET($H$3,0,0,'Données projet'!$E$13+1,1))</f>
        <v>364.67256251031029</v>
      </c>
      <c r="CZ21" s="59">
        <f t="shared" si="42"/>
        <v>347.4139588390766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65.073925098683873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1.35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4.95</v>
      </c>
      <c r="H22" s="67">
        <f t="shared" si="1"/>
        <v>236.86666666666665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6.0769230769230766</v>
      </c>
      <c r="N22" s="13">
        <f>IF('Données projet'!$A$36&gt;35,N21+M22-V21,IF(A22&lt;'Données projet'!$A$36,$K$205^A22,IF(A22='Données projet'!$A$36,'Données projet'!$B$36,N21+M22-V21)))</f>
        <v>45.502373212082212</v>
      </c>
      <c r="O22" s="13">
        <f>N22*VLOOKUP('Données projet'!$B$9,Paramètres!$A$1:$I$89,3,0)*VLOOKUP('Données projet'!$B$9,Paramètres!$A$1:$I$89,5,0)</f>
        <v>23.140686920736531</v>
      </c>
      <c r="P22" s="13">
        <f t="shared" si="33"/>
        <v>7.3980100405283995</v>
      </c>
      <c r="Q22" s="20">
        <f t="shared" si="2"/>
        <v>53.188230540869746</v>
      </c>
      <c r="R22" s="59">
        <f t="shared" si="0"/>
        <v>315.32818487537503</v>
      </c>
      <c r="S22" s="59">
        <f ca="1">AVERAGE(OFFSET($R$3,0,0,'Données projet'!$E$9+1,1))-AVERAGE(OFFSET($H$3,0,0,'Données projet'!$E$9+1,1))</f>
        <v>51.998489924038495</v>
      </c>
      <c r="T22" s="59">
        <f t="shared" si="34"/>
        <v>206.32767973856241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5.8668181818181813</v>
      </c>
      <c r="AI22" s="13">
        <f>IF('Données projet'!$A$62&gt;35,AI21+AH22-AQ21,IF(A22&lt;'Données projet'!$A$62,$AF$205^A22,IF(A22='Données projet'!$A$62,'Données projet'!$B$62,AI21+AH22-AQ21)))</f>
        <v>66.525093718950743</v>
      </c>
      <c r="AJ22" s="13">
        <f>AI22*VLOOKUP('Données projet'!$B$10,Paramètres!$A$1:$I$89,3,0)*VLOOKUP('Données projet'!$B$10,Paramètres!$A$1:$I$89,5,0)</f>
        <v>39.782006043932547</v>
      </c>
      <c r="AK22" s="13">
        <f t="shared" si="35"/>
        <v>11.940849220834615</v>
      </c>
      <c r="AL22" s="20">
        <f t="shared" si="4"/>
        <v>90.083972919469474</v>
      </c>
      <c r="AM22" s="59">
        <f t="shared" si="5"/>
        <v>352.22392725397475</v>
      </c>
      <c r="AN22" s="59">
        <f ca="1">AVERAGE(OFFSET($AM$3,0,0,'Données projet'!$E$10+1,1))-AVERAGE(OFFSET($H$3,0,0,'Données projet'!$E$10+1,1))</f>
        <v>356.02637444732096</v>
      </c>
      <c r="AO22" s="59">
        <f t="shared" si="36"/>
        <v>263.30053404008095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4.5104999999999995</v>
      </c>
      <c r="BD22" s="12">
        <f>IF('Données projet'!$A$88&gt;35,BD21+BC22-BL21,IF(A22&lt;'Données projet'!$A$88,$BA$205^A22,IF(A22='Données projet'!$A$88,'Données projet'!$B$88,BD21+BC22-BL21)))</f>
        <v>85.699499999999972</v>
      </c>
      <c r="BE22" s="13">
        <f>BD22*VLOOKUP('Données projet'!$B$11,Paramètres!$A$1:$I$89,3,0)*VLOOKUP('Données projet'!$B$11,Paramètres!$A$1:$I$89,5,0)</f>
        <v>86.899292999999972</v>
      </c>
      <c r="BF22" s="13">
        <f t="shared" si="37"/>
        <v>23.815890084405957</v>
      </c>
      <c r="BG22" s="20">
        <f t="shared" si="7"/>
        <v>192.82894387200699</v>
      </c>
      <c r="BH22" s="59">
        <f t="shared" si="8"/>
        <v>454.96889820651222</v>
      </c>
      <c r="BI22" s="59">
        <f ca="1">AVERAGE(OFFSET($BH$3,0,0,'Données projet'!$E$11+1,1))-AVERAGE(OFFSET($H$3,0,0,'Données projet'!$E$11+1,1))</f>
        <v>478.2340976873212</v>
      </c>
      <c r="BJ22" s="59">
        <f t="shared" si="38"/>
        <v>342.90128902463823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4.0948387096774193</v>
      </c>
      <c r="BY22" s="12">
        <f>IF('Données projet'!$A$114&gt;35,BY21+BX22-CG21,IF(A22&lt;'Données projet'!$A$114,$BV$205^A22,IF(A22='Données projet'!$A$114,'Données projet'!$B$114,BY21+BX22-CG21)))</f>
        <v>19.46714675043949</v>
      </c>
      <c r="BZ22" s="13">
        <f>BY22*VLOOKUP('Données projet'!$B$12,Paramètres!$A$1:$I$89,3,0)*VLOOKUP('Données projet'!$B$12,Paramètres!$A$1:$I$89,5,0)</f>
        <v>17.61387437979765</v>
      </c>
      <c r="CA22" s="13">
        <f t="shared" si="39"/>
        <v>5.8128544655106893</v>
      </c>
      <c r="CB22" s="20">
        <f t="shared" si="10"/>
        <v>40.801552738912022</v>
      </c>
      <c r="CC22" s="59">
        <f t="shared" si="11"/>
        <v>302.94150707341726</v>
      </c>
      <c r="CD22" s="59">
        <f ca="1">AVERAGE(OFFSET($CC$3,0,0,'Données projet'!$E$12+1,1))-AVERAGE(OFFSET($H$3,0,0,'Données projet'!$E$12+1,1))</f>
        <v>471.03166569378629</v>
      </c>
      <c r="CE22" s="59">
        <f t="shared" si="40"/>
        <v>259.15709238853287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9.9228571428571435</v>
      </c>
      <c r="CT22" s="12">
        <f>IF('Données projet'!$A$140&gt;35,CT21+CS22-DB21,IF(A22&lt;'Données projet'!$A$140,$CQ$205^A22,IF(A22='Données projet'!$A$140,'Données projet'!$B$140,CT21+CS22-DB21)))</f>
        <v>188.53428571428569</v>
      </c>
      <c r="CU22" s="17">
        <f>CT22*VLOOKUP('Données projet'!$B$13,Paramètres!$A$1:$I$89,3,0)*VLOOKUP('Données projet'!$B$13,Paramètres!$A$1:$I$89,5,0)</f>
        <v>88.234045714285699</v>
      </c>
      <c r="CV22" s="13">
        <f t="shared" si="41"/>
        <v>24.138829378139974</v>
      </c>
      <c r="CW22" s="20">
        <f t="shared" si="13"/>
        <v>195.71609078597473</v>
      </c>
      <c r="CX22" s="59">
        <f t="shared" si="14"/>
        <v>457.85604512047996</v>
      </c>
      <c r="CY22" s="59">
        <f ca="1">AVERAGE(OFFSET($CX$3,0,0,'Données projet'!$E$13+1,1))-AVERAGE(OFFSET($H$3,0,0,'Données projet'!$E$13+1,1))</f>
        <v>364.67256251031029</v>
      </c>
      <c r="CZ22" s="59">
        <f t="shared" si="42"/>
        <v>347.4139588390766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65.159381485168097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1.35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4.95</v>
      </c>
      <c r="H23" s="67">
        <f t="shared" si="1"/>
        <v>236.86666666666665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6.0769230769230766</v>
      </c>
      <c r="N23" s="13">
        <f>IF('Données projet'!$A$36&gt;35,N22+M23-V22,IF(A23&lt;'Données projet'!$A$36,$K$205^A23,IF(A23='Données projet'!$A$36,'Données projet'!$B$36,N22+M23-V22)))</f>
        <v>55.628711168617308</v>
      </c>
      <c r="O23" s="13">
        <f>N23*VLOOKUP('Données projet'!$B$9,Paramètres!$A$1:$I$89,3,0)*VLOOKUP('Données projet'!$B$9,Paramètres!$A$1:$I$89,5,0)</f>
        <v>28.290537351912022</v>
      </c>
      <c r="P23" s="13">
        <f t="shared" si="33"/>
        <v>8.8353188325801533</v>
      </c>
      <c r="Q23" s="20">
        <f t="shared" si="2"/>
        <v>64.660866187990536</v>
      </c>
      <c r="R23" s="59">
        <f t="shared" si="0"/>
        <v>328.33094707856355</v>
      </c>
      <c r="S23" s="59">
        <f ca="1">AVERAGE(OFFSET($R$3,0,0,'Données projet'!$E$9+1,1))-AVERAGE(OFFSET($H$3,0,0,'Données projet'!$E$9+1,1))</f>
        <v>51.998489924038495</v>
      </c>
      <c r="T23" s="59">
        <f t="shared" si="34"/>
        <v>206.32767973856241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5.8668181818181813</v>
      </c>
      <c r="AI23" s="13">
        <f>IF('Données projet'!$A$62&gt;35,AI22+AH23-AQ22,IF(A23&lt;'Données projet'!$A$62,$AF$205^A23,IF(A23='Données projet'!$A$62,'Données projet'!$B$62,AI22+AH23-AQ22)))</f>
        <v>82.972103429550899</v>
      </c>
      <c r="AJ23" s="13">
        <f>AI23*VLOOKUP('Données projet'!$B$10,Paramètres!$A$1:$I$89,3,0)*VLOOKUP('Données projet'!$B$10,Paramètres!$A$1:$I$89,5,0)</f>
        <v>49.617317850871444</v>
      </c>
      <c r="AK23" s="13">
        <f t="shared" si="35"/>
        <v>14.514886181018609</v>
      </c>
      <c r="AL23" s="20">
        <f t="shared" si="4"/>
        <v>111.69692202220851</v>
      </c>
      <c r="AM23" s="59">
        <f t="shared" si="5"/>
        <v>375.36700291278152</v>
      </c>
      <c r="AN23" s="59">
        <f ca="1">AVERAGE(OFFSET($AM$3,0,0,'Données projet'!$E$10+1,1))-AVERAGE(OFFSET($H$3,0,0,'Données projet'!$E$10+1,1))</f>
        <v>356.02637444732096</v>
      </c>
      <c r="AO23" s="59">
        <f t="shared" si="36"/>
        <v>263.30053404008095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4.5104999999999995</v>
      </c>
      <c r="BD23" s="12">
        <f>IF('Données projet'!$A$88&gt;35,BD22+BC23-BL22,IF(A23&lt;'Données projet'!$A$88,$BA$205^A23,IF(A23='Données projet'!$A$88,'Données projet'!$B$88,BD22+BC23-BL22)))</f>
        <v>90.209999999999965</v>
      </c>
      <c r="BE23" s="13">
        <f>BD23*VLOOKUP('Données projet'!$B$11,Paramètres!$A$1:$I$89,3,0)*VLOOKUP('Données projet'!$B$11,Paramètres!$A$1:$I$89,5,0)</f>
        <v>91.472939999999966</v>
      </c>
      <c r="BF23" s="13">
        <f t="shared" si="37"/>
        <v>24.920126332379752</v>
      </c>
      <c r="BG23" s="20">
        <f t="shared" si="7"/>
        <v>202.71792386222799</v>
      </c>
      <c r="BH23" s="59">
        <f t="shared" si="8"/>
        <v>466.38800475280095</v>
      </c>
      <c r="BI23" s="59">
        <f ca="1">AVERAGE(OFFSET($BH$3,0,0,'Données projet'!$E$11+1,1))-AVERAGE(OFFSET($H$3,0,0,'Données projet'!$E$11+1,1))</f>
        <v>478.2340976873212</v>
      </c>
      <c r="BJ23" s="59">
        <f t="shared" si="38"/>
        <v>342.90128902463823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4.0948387096774193</v>
      </c>
      <c r="BY23" s="12">
        <f>IF('Données projet'!$A$114&gt;35,BY22+BX23-CG22,IF(A23&lt;'Données projet'!$A$114,$BV$205^A23,IF(A23='Données projet'!$A$114,'Données projet'!$B$114,BY22+BX23-CG22)))</f>
        <v>22.759374321930739</v>
      </c>
      <c r="BZ23" s="13">
        <f>BY23*VLOOKUP('Données projet'!$B$12,Paramètres!$A$1:$I$89,3,0)*VLOOKUP('Données projet'!$B$12,Paramètres!$A$1:$I$89,5,0)</f>
        <v>20.592681886482932</v>
      </c>
      <c r="CA23" s="13">
        <f t="shared" si="39"/>
        <v>6.6734251340057202</v>
      </c>
      <c r="CB23" s="20">
        <f t="shared" si="10"/>
        <v>47.488469727351067</v>
      </c>
      <c r="CC23" s="59">
        <f t="shared" si="11"/>
        <v>311.15855061792405</v>
      </c>
      <c r="CD23" s="59">
        <f ca="1">AVERAGE(OFFSET($CC$3,0,0,'Données projet'!$E$12+1,1))-AVERAGE(OFFSET($H$3,0,0,'Données projet'!$E$12+1,1))</f>
        <v>471.03166569378629</v>
      </c>
      <c r="CE23" s="59">
        <f t="shared" si="40"/>
        <v>259.15709238853287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9.9228571428571435</v>
      </c>
      <c r="CT23" s="12">
        <f>IF('Données projet'!$A$140&gt;35,CT22+CS23-DB22,IF(A23&lt;'Données projet'!$A$140,$CQ$205^A23,IF(A23='Données projet'!$A$140,'Données projet'!$B$140,CT22+CS23-DB22)))</f>
        <v>198.45714285714283</v>
      </c>
      <c r="CU23" s="17">
        <f>CT23*VLOOKUP('Données projet'!$B$13,Paramètres!$A$1:$I$89,3,0)*VLOOKUP('Données projet'!$B$13,Paramètres!$A$1:$I$89,5,0)</f>
        <v>92.877942857142855</v>
      </c>
      <c r="CV23" s="13">
        <f t="shared" si="41"/>
        <v>25.258038876022667</v>
      </c>
      <c r="CW23" s="20">
        <f t="shared" si="13"/>
        <v>205.75350151859661</v>
      </c>
      <c r="CX23" s="59">
        <f t="shared" si="14"/>
        <v>469.42358240916963</v>
      </c>
      <c r="CY23" s="59">
        <f ca="1">AVERAGE(OFFSET($CX$3,0,0,'Données projet'!$E$13+1,1))-AVERAGE(OFFSET($H$3,0,0,'Données projet'!$E$13+1,1))</f>
        <v>364.67256251031029</v>
      </c>
      <c r="CZ23" s="59">
        <f t="shared" si="42"/>
        <v>347.4139588390766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65.243355394398691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1.35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4.95</v>
      </c>
      <c r="H24" s="67">
        <f t="shared" si="1"/>
        <v>236.86666666666665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6.0769230769230766</v>
      </c>
      <c r="N24" s="13">
        <f>IF('Données projet'!$A$36&gt;35,N23+M24-V23,IF(A24&lt;'Données projet'!$A$36,$K$205^A24,IF(A24='Données projet'!$A$36,'Données projet'!$B$36,N23+M24-V23)))</f>
        <v>68.008617745233437</v>
      </c>
      <c r="O24" s="13">
        <f>N24*VLOOKUP('Données projet'!$B$9,Paramètres!$A$1:$I$89,3,0)*VLOOKUP('Données projet'!$B$9,Paramètres!$A$1:$I$89,5,0)</f>
        <v>34.586462640515919</v>
      </c>
      <c r="P24" s="13">
        <f t="shared" si="33"/>
        <v>10.551872523245439</v>
      </c>
      <c r="Q24" s="20">
        <f t="shared" si="2"/>
        <v>78.615933743551025</v>
      </c>
      <c r="R24" s="59">
        <f t="shared" si="0"/>
        <v>343.81079973837041</v>
      </c>
      <c r="S24" s="59">
        <f ca="1">AVERAGE(OFFSET($R$3,0,0,'Données projet'!$E$9+1,1))-AVERAGE(OFFSET($H$3,0,0,'Données projet'!$E$9+1,1))</f>
        <v>51.998489924038495</v>
      </c>
      <c r="T24" s="59">
        <f t="shared" si="34"/>
        <v>206.32767973856241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5.8668181818181813</v>
      </c>
      <c r="AI24" s="13">
        <f>IF('Données projet'!$A$62&gt;35,AI23+AH24-AQ23,IF(A24&lt;'Données projet'!$A$62,$AF$205^A24,IF(A24='Données projet'!$A$62,'Données projet'!$B$62,AI23+AH24-AQ23)))</f>
        <v>103.48531001863087</v>
      </c>
      <c r="AJ24" s="13">
        <f>AI24*VLOOKUP('Données projet'!$B$10,Paramètres!$A$1:$I$89,3,0)*VLOOKUP('Données projet'!$B$10,Paramètres!$A$1:$I$89,5,0)</f>
        <v>61.884215391141261</v>
      </c>
      <c r="AK24" s="13">
        <f t="shared" si="35"/>
        <v>17.643797099482939</v>
      </c>
      <c r="AL24" s="20">
        <f t="shared" si="4"/>
        <v>138.51128842117049</v>
      </c>
      <c r="AM24" s="59">
        <f t="shared" si="5"/>
        <v>403.70615441598989</v>
      </c>
      <c r="AN24" s="59">
        <f ca="1">AVERAGE(OFFSET($AM$3,0,0,'Données projet'!$E$10+1,1))-AVERAGE(OFFSET($H$3,0,0,'Données projet'!$E$10+1,1))</f>
        <v>356.02637444732096</v>
      </c>
      <c r="AO24" s="59">
        <f t="shared" si="36"/>
        <v>263.30053404008095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4.5104999999999995</v>
      </c>
      <c r="BD24" s="12">
        <f>IF('Données projet'!$A$88&gt;35,BD23+BC24-BL23,IF(A24&lt;'Données projet'!$A$88,$BA$205^A24,IF(A24='Données projet'!$A$88,'Données projet'!$B$88,BD23+BC24-BL23)))</f>
        <v>94.720499999999959</v>
      </c>
      <c r="BE24" s="13">
        <f>BD24*VLOOKUP('Données projet'!$B$11,Paramètres!$A$1:$I$89,3,0)*VLOOKUP('Données projet'!$B$11,Paramètres!$A$1:$I$89,5,0)</f>
        <v>96.04658699999996</v>
      </c>
      <c r="BF24" s="13">
        <f t="shared" si="37"/>
        <v>26.017951770602775</v>
      </c>
      <c r="BG24" s="20">
        <f t="shared" si="7"/>
        <v>212.59573835879976</v>
      </c>
      <c r="BH24" s="59">
        <f t="shared" si="8"/>
        <v>477.79060435361919</v>
      </c>
      <c r="BI24" s="59">
        <f ca="1">AVERAGE(OFFSET($BH$3,0,0,'Données projet'!$E$11+1,1))-AVERAGE(OFFSET($H$3,0,0,'Données projet'!$E$11+1,1))</f>
        <v>478.2340976873212</v>
      </c>
      <c r="BJ24" s="59">
        <f t="shared" si="38"/>
        <v>342.90128902463823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4.0948387096774193</v>
      </c>
      <c r="BY24" s="12">
        <f>IF('Données projet'!$A$114&gt;35,BY23+BX24-CG23,IF(A24&lt;'Données projet'!$A$114,$BV$205^A24,IF(A24='Données projet'!$A$114,'Données projet'!$B$114,BY23+BX24-CG23)))</f>
        <v>26.60837390122752</v>
      </c>
      <c r="BZ24" s="13">
        <f>BY24*VLOOKUP('Données projet'!$B$12,Paramètres!$A$1:$I$89,3,0)*VLOOKUP('Données projet'!$B$12,Paramètres!$A$1:$I$89,5,0)</f>
        <v>24.075256705830657</v>
      </c>
      <c r="CA24" s="13">
        <f t="shared" si="39"/>
        <v>7.6613999685379408</v>
      </c>
      <c r="CB24" s="20">
        <f t="shared" si="10"/>
        <v>55.274677041191971</v>
      </c>
      <c r="CC24" s="59">
        <f t="shared" si="11"/>
        <v>320.46954303601137</v>
      </c>
      <c r="CD24" s="59">
        <f ca="1">AVERAGE(OFFSET($CC$3,0,0,'Données projet'!$E$12+1,1))-AVERAGE(OFFSET($H$3,0,0,'Données projet'!$E$12+1,1))</f>
        <v>471.03166569378629</v>
      </c>
      <c r="CE24" s="59">
        <f t="shared" si="40"/>
        <v>259.15709238853287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9.9228571428571435</v>
      </c>
      <c r="CT24" s="12">
        <f>IF('Données projet'!$A$140&gt;35,CT23+CS24-DB23,IF(A24&lt;'Données projet'!$A$140,$CQ$205^A24,IF(A24='Données projet'!$A$140,'Données projet'!$B$140,CT23+CS24-DB23)))</f>
        <v>208.37999999999997</v>
      </c>
      <c r="CU24" s="17">
        <f>CT24*VLOOKUP('Données projet'!$B$13,Paramètres!$A$1:$I$89,3,0)*VLOOKUP('Données projet'!$B$13,Paramètres!$A$1:$I$89,5,0)</f>
        <v>97.521839999999983</v>
      </c>
      <c r="CV24" s="13">
        <f t="shared" si="41"/>
        <v>26.370750634698393</v>
      </c>
      <c r="CW24" s="20">
        <f t="shared" si="13"/>
        <v>215.779595355433</v>
      </c>
      <c r="CX24" s="59">
        <f t="shared" si="14"/>
        <v>480.9744613502524</v>
      </c>
      <c r="CY24" s="59">
        <f ca="1">AVERAGE(OFFSET($CX$3,0,0,'Données projet'!$E$13+1,1))-AVERAGE(OFFSET($H$3,0,0,'Données projet'!$E$13+1,1))</f>
        <v>364.67256251031029</v>
      </c>
      <c r="CZ24" s="59">
        <f t="shared" si="42"/>
        <v>347.4139588390766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65.325872544041658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1.35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4.95</v>
      </c>
      <c r="H25" s="67">
        <f t="shared" si="1"/>
        <v>236.86666666666665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6.0769230769230766</v>
      </c>
      <c r="N25" s="13">
        <f>IF('Données projet'!$A$36&gt;35,N24+M25-V24,IF(A25&lt;'Données projet'!$A$36,$K$205^A25,IF(A25='Données projet'!$A$36,'Données projet'!$B$36,N24+M25-V24)))</f>
        <v>83.143613980159031</v>
      </c>
      <c r="O25" s="13">
        <f>N25*VLOOKUP('Données projet'!$B$9,Paramètres!$A$1:$I$89,3,0)*VLOOKUP('Données projet'!$B$9,Paramètres!$A$1:$I$89,5,0)</f>
        <v>42.28351632574968</v>
      </c>
      <c r="P25" s="13">
        <f t="shared" si="33"/>
        <v>12.601923694734078</v>
      </c>
      <c r="Q25" s="20">
        <f t="shared" si="2"/>
        <v>95.592141369009198</v>
      </c>
      <c r="R25" s="59">
        <f t="shared" si="0"/>
        <v>362.30654367850121</v>
      </c>
      <c r="S25" s="59">
        <f ca="1">AVERAGE(OFFSET($R$3,0,0,'Données projet'!$E$9+1,1))-AVERAGE(OFFSET($H$3,0,0,'Données projet'!$E$9+1,1))</f>
        <v>51.998489924038495</v>
      </c>
      <c r="T25" s="59">
        <f t="shared" si="34"/>
        <v>206.32767973856241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129.07</v>
      </c>
      <c r="AG25" s="12">
        <f>VLOOKUP(A25,'Données projet'!$A$61:$I$81,9,0)</f>
        <v>5.8668181818181813</v>
      </c>
      <c r="AH25" s="12">
        <f t="array" ref="AH25">INDEX(AG:AG,MIN(IF(ISNUMBER(AG25:AG221),ROW(AG25:AG221),"")))</f>
        <v>5.8668181818181813</v>
      </c>
      <c r="AI25" s="13">
        <f>IF('Données projet'!$A$62&gt;35,AI24+AH25-AQ24,IF(A25&lt;'Données projet'!$A$62,$AF$205^A25,IF(A25='Données projet'!$A$62,'Données projet'!$B$62,AI24+AH25-AQ24)))</f>
        <v>129.07</v>
      </c>
      <c r="AJ25" s="13">
        <f>AI25*VLOOKUP('Données projet'!$B$10,Paramètres!$A$1:$I$89,3,0)*VLOOKUP('Données projet'!$B$10,Paramètres!$A$1:$I$89,5,0)</f>
        <v>77.183859999999996</v>
      </c>
      <c r="AK25" s="13">
        <f t="shared" si="35"/>
        <v>21.447193743401183</v>
      </c>
      <c r="AL25" s="20">
        <f t="shared" si="4"/>
        <v>171.78241860309038</v>
      </c>
      <c r="AM25" s="59">
        <f t="shared" si="5"/>
        <v>438.49682091258239</v>
      </c>
      <c r="AN25" s="59">
        <f ca="1">AVERAGE(OFFSET($AM$3,0,0,'Données projet'!$E$10+1,1))-AVERAGE(OFFSET($H$3,0,0,'Données projet'!$E$10+1,1))</f>
        <v>356.02637444732096</v>
      </c>
      <c r="AO25" s="59">
        <f t="shared" si="36"/>
        <v>263.30053404008095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52.41</v>
      </c>
      <c r="AR25" s="16">
        <f>IF(ISNA(VLOOKUP(A25,'Données projet'!$A$61:$I$81,5,0)),0%,VLOOKUP(A25,'Données projet'!$A$61:$I$81,5,0)*VLOOKUP('Données projet'!$B$10,Paramètres!$A$1:$I$89,7,0))</f>
        <v>4.5000000000000005E-2</v>
      </c>
      <c r="AS25" s="16">
        <f>IF(ISNA(VLOOKUP(A25,'Données projet'!$A$61:$I$81,6,0)),0%,VLOOKUP(A25,'Données projet'!$A$61:$I$81,6,0)*VLOOKUP('Données projet'!$B$10,Paramètres!$A$1:$I$89,7,0))</f>
        <v>0.36000000000000004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1.8709242920789675</v>
      </c>
      <c r="AV25" s="21">
        <f>EXP(-LN(2)/25)*AV24+(1-EXP(-LN(2)/25))/(LN(2)/25)*Calculateur!AQ25*Calculateur!AS25*VLOOKUP('Données projet'!$B$10,Paramètres!$A$1:$I$89,3,0)*0.475*44/12</f>
        <v>14.908462002104068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16.779386294183034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4.5104999999999995</v>
      </c>
      <c r="BD25" s="12">
        <f>IF('Données projet'!$A$88&gt;35,BD24+BC25-BL24,IF(A25&lt;'Données projet'!$A$88,$BA$205^A25,IF(A25='Données projet'!$A$88,'Données projet'!$B$88,BD24+BC25-BL24)))</f>
        <v>99.230999999999952</v>
      </c>
      <c r="BE25" s="13">
        <f>BD25*VLOOKUP('Données projet'!$B$11,Paramètres!$A$1:$I$89,3,0)*VLOOKUP('Données projet'!$B$11,Paramètres!$A$1:$I$89,5,0)</f>
        <v>100.62023399999997</v>
      </c>
      <c r="BF25" s="13">
        <f t="shared" si="37"/>
        <v>27.109706530106749</v>
      </c>
      <c r="BG25" s="20">
        <f t="shared" si="7"/>
        <v>222.46297975660252</v>
      </c>
      <c r="BH25" s="59">
        <f t="shared" si="8"/>
        <v>489.17738206609454</v>
      </c>
      <c r="BI25" s="59">
        <f ca="1">AVERAGE(OFFSET($BH$3,0,0,'Données projet'!$E$11+1,1))-AVERAGE(OFFSET($H$3,0,0,'Données projet'!$E$11+1,1))</f>
        <v>478.2340976873212</v>
      </c>
      <c r="BJ25" s="59">
        <f t="shared" si="38"/>
        <v>342.90128902463823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4.0948387096774193</v>
      </c>
      <c r="BY25" s="12">
        <f>IF('Données projet'!$A$114&gt;35,BY24+BX25-CG24,IF(A25&lt;'Données projet'!$A$114,$BV$205^A25,IF(A25='Données projet'!$A$114,'Données projet'!$B$114,BY24+BX25-CG24)))</f>
        <v>31.108305160449763</v>
      </c>
      <c r="BZ25" s="13">
        <f>BY25*VLOOKUP('Données projet'!$B$12,Paramètres!$A$1:$I$89,3,0)*VLOOKUP('Données projet'!$B$12,Paramètres!$A$1:$I$89,5,0)</f>
        <v>28.146794509174942</v>
      </c>
      <c r="CA25" s="13">
        <f t="shared" si="39"/>
        <v>8.7956406641637628</v>
      </c>
      <c r="CB25" s="20">
        <f t="shared" si="10"/>
        <v>64.341407926898242</v>
      </c>
      <c r="CC25" s="59">
        <f t="shared" si="11"/>
        <v>331.05581023639024</v>
      </c>
      <c r="CD25" s="59">
        <f ca="1">AVERAGE(OFFSET($CC$3,0,0,'Données projet'!$E$12+1,1))-AVERAGE(OFFSET($H$3,0,0,'Données projet'!$E$12+1,1))</f>
        <v>471.03166569378629</v>
      </c>
      <c r="CE25" s="59">
        <f t="shared" si="40"/>
        <v>259.15709238853287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9.9228571428571435</v>
      </c>
      <c r="CT25" s="12">
        <f>IF('Données projet'!$A$140&gt;35,CT24+CS25-DB24,IF(A25&lt;'Données projet'!$A$140,$CQ$205^A25,IF(A25='Données projet'!$A$140,'Données projet'!$B$140,CT24+CS25-DB24)))</f>
        <v>218.30285714285711</v>
      </c>
      <c r="CU25" s="17">
        <f>CT25*VLOOKUP('Données projet'!$B$13,Paramètres!$A$1:$I$89,3,0)*VLOOKUP('Données projet'!$B$13,Paramètres!$A$1:$I$89,5,0)</f>
        <v>102.16573714285713</v>
      </c>
      <c r="CV25" s="13">
        <f t="shared" si="41"/>
        <v>27.477309397316059</v>
      </c>
      <c r="CW25" s="20">
        <f t="shared" si="13"/>
        <v>225.79497272413494</v>
      </c>
      <c r="CX25" s="59">
        <f t="shared" si="14"/>
        <v>492.50937503362695</v>
      </c>
      <c r="CY25" s="59">
        <f ca="1">AVERAGE(OFFSET($CX$3,0,0,'Données projet'!$E$13+1,1))-AVERAGE(OFFSET($H$3,0,0,'Données projet'!$E$13+1,1))</f>
        <v>364.67256251031029</v>
      </c>
      <c r="CZ25" s="59">
        <f t="shared" si="42"/>
        <v>347.4139588390766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65.406958205619034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1.35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4.95</v>
      </c>
      <c r="H26" s="67">
        <f t="shared" si="1"/>
        <v>236.86666666666665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6.0769230769230766</v>
      </c>
      <c r="N26" s="13">
        <f>IF('Données projet'!$A$36&gt;35,N25+M26-V25,IF(A26&lt;'Données projet'!$A$36,$K$205^A26,IF(A26='Données projet'!$A$36,'Données projet'!$B$36,N25+M26-V25)))</f>
        <v>101.64683204675489</v>
      </c>
      <c r="O26" s="13">
        <f>N26*VLOOKUP('Données projet'!$B$9,Paramètres!$A$1:$I$89,3,0)*VLOOKUP('Données projet'!$B$9,Paramètres!$A$1:$I$89,5,0)</f>
        <v>51.693512905697666</v>
      </c>
      <c r="P26" s="13">
        <f t="shared" si="33"/>
        <v>15.050265292539326</v>
      </c>
      <c r="Q26" s="20">
        <f t="shared" si="2"/>
        <v>116.24541369526276</v>
      </c>
      <c r="R26" s="59">
        <f t="shared" si="0"/>
        <v>384.47419458461815</v>
      </c>
      <c r="S26" s="59">
        <f ca="1">AVERAGE(OFFSET($R$3,0,0,'Données projet'!$E$9+1,1))-AVERAGE(OFFSET($H$3,0,0,'Données projet'!$E$9+1,1))</f>
        <v>51.998489924038495</v>
      </c>
      <c r="T26" s="59">
        <f t="shared" si="34"/>
        <v>206.32767973856241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15.766000000000002</v>
      </c>
      <c r="AI26" s="13">
        <f>IF('Données projet'!$A$62&gt;35,AI25+AH26-AQ25,IF(A26&lt;'Données projet'!$A$62,$AF$205^A26,IF(A26='Données projet'!$A$62,'Données projet'!$B$62,AI25+AH26-AQ25)))</f>
        <v>92.425999999999988</v>
      </c>
      <c r="AJ26" s="13">
        <f>AI26*VLOOKUP('Données projet'!$B$10,Paramètres!$A$1:$I$89,3,0)*VLOOKUP('Données projet'!$B$10,Paramètres!$A$1:$I$89,5,0)</f>
        <v>55.27074799999999</v>
      </c>
      <c r="AK26" s="13">
        <f t="shared" si="35"/>
        <v>15.966912640281619</v>
      </c>
      <c r="AL26" s="20">
        <f t="shared" si="4"/>
        <v>124.07225894849046</v>
      </c>
      <c r="AM26" s="59">
        <f t="shared" si="5"/>
        <v>392.30103983784585</v>
      </c>
      <c r="AN26" s="59">
        <f ca="1">AVERAGE(OFFSET($AM$3,0,0,'Données projet'!$E$10+1,1))-AVERAGE(OFFSET($H$3,0,0,'Données projet'!$E$10+1,1))</f>
        <v>356.02637444732096</v>
      </c>
      <c r="AO26" s="59">
        <f t="shared" si="36"/>
        <v>263.30053404008095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1.8342366078624377</v>
      </c>
      <c r="AV26" s="21">
        <f>EXP(-LN(2)/25)*AV25+(1-EXP(-LN(2)/25))/(LN(2)/25)*Calculateur!AQ26*Calculateur!AS26*VLOOKUP('Données projet'!$B$10,Paramètres!$A$1:$I$89,3,0)*0.475*44/12</f>
        <v>14.500789324654589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16.335025932517027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4.5104999999999995</v>
      </c>
      <c r="BD26" s="12">
        <f>IF('Données projet'!$A$88&gt;35,BD25+BC26-BL25,IF(A26&lt;'Données projet'!$A$88,$BA$205^A26,IF(A26='Données projet'!$A$88,'Données projet'!$B$88,BD25+BC26-BL25)))</f>
        <v>103.74149999999995</v>
      </c>
      <c r="BE26" s="13">
        <f>BD26*VLOOKUP('Données projet'!$B$11,Paramètres!$A$1:$I$89,3,0)*VLOOKUP('Données projet'!$B$11,Paramètres!$A$1:$I$89,5,0)</f>
        <v>105.19388099999995</v>
      </c>
      <c r="BF26" s="13">
        <f t="shared" si="37"/>
        <v>28.195698073071476</v>
      </c>
      <c r="BG26" s="20">
        <f t="shared" si="7"/>
        <v>232.32018355226603</v>
      </c>
      <c r="BH26" s="59">
        <f t="shared" si="8"/>
        <v>500.54896444162142</v>
      </c>
      <c r="BI26" s="59">
        <f ca="1">AVERAGE(OFFSET($BH$3,0,0,'Données projet'!$E$11+1,1))-AVERAGE(OFFSET($H$3,0,0,'Données projet'!$E$11+1,1))</f>
        <v>478.2340976873212</v>
      </c>
      <c r="BJ26" s="59">
        <f t="shared" si="38"/>
        <v>342.90128902463823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4.0948387096774193</v>
      </c>
      <c r="BY26" s="12">
        <f>IF('Données projet'!$A$114&gt;35,BY25+BX26-CG25,IF(A26&lt;'Données projet'!$A$114,$BV$205^A26,IF(A26='Données projet'!$A$114,'Données projet'!$B$114,BY25+BX26-CG25)))</f>
        <v>36.369251783214807</v>
      </c>
      <c r="BZ26" s="13">
        <f>BY26*VLOOKUP('Données projet'!$B$12,Paramètres!$A$1:$I$89,3,0)*VLOOKUP('Données projet'!$B$12,Paramètres!$A$1:$I$89,5,0)</f>
        <v>32.906899013452751</v>
      </c>
      <c r="CA26" s="13">
        <f t="shared" si="39"/>
        <v>10.097801317094623</v>
      </c>
      <c r="CB26" s="20">
        <f t="shared" si="10"/>
        <v>74.899853075703348</v>
      </c>
      <c r="CC26" s="59">
        <f t="shared" si="11"/>
        <v>343.12863396505873</v>
      </c>
      <c r="CD26" s="59">
        <f ca="1">AVERAGE(OFFSET($CC$3,0,0,'Données projet'!$E$12+1,1))-AVERAGE(OFFSET($H$3,0,0,'Données projet'!$E$12+1,1))</f>
        <v>471.03166569378629</v>
      </c>
      <c r="CE26" s="59">
        <f t="shared" si="40"/>
        <v>259.15709238853287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9.9228571428571435</v>
      </c>
      <c r="CT26" s="12">
        <f>IF('Données projet'!$A$140&gt;35,CT25+CS26-DB25,IF(A26&lt;'Données projet'!$A$140,$CQ$205^A26,IF(A26='Données projet'!$A$140,'Données projet'!$B$140,CT25+CS26-DB25)))</f>
        <v>228.22571428571425</v>
      </c>
      <c r="CU26" s="17">
        <f>CT26*VLOOKUP('Données projet'!$B$13,Paramètres!$A$1:$I$89,3,0)*VLOOKUP('Données projet'!$B$13,Paramètres!$A$1:$I$89,5,0)</f>
        <v>106.80963428571427</v>
      </c>
      <c r="CV26" s="13">
        <f t="shared" si="41"/>
        <v>28.578026795188716</v>
      </c>
      <c r="CW26" s="20">
        <f t="shared" si="13"/>
        <v>235.80017638257266</v>
      </c>
      <c r="CX26" s="59">
        <f t="shared" si="14"/>
        <v>504.02895727192805</v>
      </c>
      <c r="CY26" s="59">
        <f ca="1">AVERAGE(OFFSET($CX$3,0,0,'Données projet'!$E$13+1,1))-AVERAGE(OFFSET($H$3,0,0,'Données projet'!$E$13+1,1))</f>
        <v>364.67256251031029</v>
      </c>
      <c r="CZ26" s="59">
        <f t="shared" si="42"/>
        <v>347.4139588390766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65.486637212248425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1.35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4.95</v>
      </c>
      <c r="H27" s="67">
        <f t="shared" si="1"/>
        <v>236.86666666666665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6.0769230769230766</v>
      </c>
      <c r="N27" s="13">
        <f>IF('Données projet'!$A$36&gt;35,N26+M27-V26,IF(A27&lt;'Données projet'!$A$36,$K$205^A27,IF(A27='Données projet'!$A$36,'Données projet'!$B$36,N26+M27-V26)))</f>
        <v>124.26785378377696</v>
      </c>
      <c r="O27" s="13">
        <f>N27*VLOOKUP('Données projet'!$B$9,Paramètres!$A$1:$I$89,3,0)*VLOOKUP('Données projet'!$B$9,Paramètres!$A$1:$I$89,5,0)</f>
        <v>63.19765972027762</v>
      </c>
      <c r="P27" s="13">
        <f t="shared" si="33"/>
        <v>17.974278440557846</v>
      </c>
      <c r="Q27" s="20">
        <f t="shared" si="2"/>
        <v>141.37445896345511</v>
      </c>
      <c r="R27" s="59">
        <f t="shared" si="0"/>
        <v>411.11255017303245</v>
      </c>
      <c r="S27" s="59">
        <f ca="1">AVERAGE(OFFSET($R$3,0,0,'Données projet'!$E$9+1,1))-AVERAGE(OFFSET($H$3,0,0,'Données projet'!$E$9+1,1))</f>
        <v>51.998489924038495</v>
      </c>
      <c r="T27" s="59">
        <f t="shared" si="34"/>
        <v>206.32767973856241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15.766000000000002</v>
      </c>
      <c r="AI27" s="13">
        <f>IF('Données projet'!$A$62&gt;35,AI26+AH27-AQ26,IF(A27&lt;'Données projet'!$A$62,$AF$205^A27,IF(A27='Données projet'!$A$62,'Données projet'!$B$62,AI26+AH27-AQ26)))</f>
        <v>108.19199999999999</v>
      </c>
      <c r="AJ27" s="13">
        <f>AI27*VLOOKUP('Données projet'!$B$10,Paramètres!$A$1:$I$89,3,0)*VLOOKUP('Données projet'!$B$10,Paramètres!$A$1:$I$89,5,0)</f>
        <v>64.698815999999994</v>
      </c>
      <c r="AK27" s="13">
        <f t="shared" si="35"/>
        <v>18.351013925322782</v>
      </c>
      <c r="AL27" s="20">
        <f t="shared" si="4"/>
        <v>144.64512045327049</v>
      </c>
      <c r="AM27" s="59">
        <f t="shared" si="5"/>
        <v>414.38321166284788</v>
      </c>
      <c r="AN27" s="59">
        <f ca="1">AVERAGE(OFFSET($AM$3,0,0,'Données projet'!$E$10+1,1))-AVERAGE(OFFSET($H$3,0,0,'Données projet'!$E$10+1,1))</f>
        <v>356.02637444732096</v>
      </c>
      <c r="AO27" s="59">
        <f t="shared" si="36"/>
        <v>263.30053404008095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1.7982683467561162</v>
      </c>
      <c r="AV27" s="21">
        <f>EXP(-LN(2)/25)*AV26+(1-EXP(-LN(2)/25))/(LN(2)/25)*Calculateur!AQ27*Calculateur!AS27*VLOOKUP('Données projet'!$B$10,Paramètres!$A$1:$I$89,3,0)*0.475*44/12</f>
        <v>14.10426447800854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15.902532824764656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4.5104999999999995</v>
      </c>
      <c r="BD27" s="12">
        <f>IF('Données projet'!$A$88&gt;35,BD26+BC27-BL26,IF(A27&lt;'Données projet'!$A$88,$BA$205^A27,IF(A27='Données projet'!$A$88,'Données projet'!$B$88,BD26+BC27-BL26)))</f>
        <v>108.25199999999994</v>
      </c>
      <c r="BE27" s="13">
        <f>BD27*VLOOKUP('Données projet'!$B$11,Paramètres!$A$1:$I$89,3,0)*VLOOKUP('Données projet'!$B$11,Paramètres!$A$1:$I$89,5,0)</f>
        <v>109.76752799999996</v>
      </c>
      <c r="BF27" s="13">
        <f t="shared" si="37"/>
        <v>29.276205613922073</v>
      </c>
      <c r="BG27" s="20">
        <f t="shared" si="7"/>
        <v>242.16783604424754</v>
      </c>
      <c r="BH27" s="59">
        <f t="shared" si="8"/>
        <v>511.90592725382487</v>
      </c>
      <c r="BI27" s="59">
        <f ca="1">AVERAGE(OFFSET($BH$3,0,0,'Données projet'!$E$11+1,1))-AVERAGE(OFFSET($H$3,0,0,'Données projet'!$E$11+1,1))</f>
        <v>478.2340976873212</v>
      </c>
      <c r="BJ27" s="59">
        <f t="shared" si="38"/>
        <v>342.90128902463823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4.0948387096774193</v>
      </c>
      <c r="BY27" s="12">
        <f>IF('Données projet'!$A$114&gt;35,BY26+BX27-CG26,IF(A27&lt;'Données projet'!$A$114,$BV$205^A27,IF(A27='Données projet'!$A$114,'Données projet'!$B$114,BY26+BX27-CG26)))</f>
        <v>42.519914487419456</v>
      </c>
      <c r="BZ27" s="13">
        <f>BY27*VLOOKUP('Données projet'!$B$12,Paramètres!$A$1:$I$89,3,0)*VLOOKUP('Données projet'!$B$12,Paramètres!$A$1:$I$89,5,0)</f>
        <v>38.472018628217121</v>
      </c>
      <c r="CA27" s="13">
        <f t="shared" si="39"/>
        <v>11.592741828910558</v>
      </c>
      <c r="CB27" s="20">
        <f t="shared" si="10"/>
        <v>87.196124462830696</v>
      </c>
      <c r="CC27" s="59">
        <f t="shared" si="11"/>
        <v>356.93421567240807</v>
      </c>
      <c r="CD27" s="59">
        <f ca="1">AVERAGE(OFFSET($CC$3,0,0,'Données projet'!$E$12+1,1))-AVERAGE(OFFSET($H$3,0,0,'Données projet'!$E$12+1,1))</f>
        <v>471.03166569378629</v>
      </c>
      <c r="CE27" s="59">
        <f t="shared" si="40"/>
        <v>259.15709238853287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9.9228571428571435</v>
      </c>
      <c r="CT27" s="12">
        <f>IF('Données projet'!$A$140&gt;35,CT26+CS27-DB26,IF(A27&lt;'Données projet'!$A$140,$CQ$205^A27,IF(A27='Données projet'!$A$140,'Données projet'!$B$140,CT26+CS27-DB26)))</f>
        <v>238.14857142857139</v>
      </c>
      <c r="CU27" s="17">
        <f>CT27*VLOOKUP('Données projet'!$B$13,Paramètres!$A$1:$I$89,3,0)*VLOOKUP('Données projet'!$B$13,Paramètres!$A$1:$I$89,5,0)</f>
        <v>111.45353142857141</v>
      </c>
      <c r="CV27" s="13">
        <f t="shared" si="41"/>
        <v>29.673185828840097</v>
      </c>
      <c r="CW27" s="20">
        <f t="shared" si="13"/>
        <v>245.79569922332504</v>
      </c>
      <c r="CX27" s="59">
        <f t="shared" si="14"/>
        <v>515.53379043290238</v>
      </c>
      <c r="CY27" s="59">
        <f ca="1">AVERAGE(OFFSET($CX$3,0,0,'Données projet'!$E$13+1,1))-AVERAGE(OFFSET($H$3,0,0,'Données projet'!$E$13+1,1))</f>
        <v>364.67256251031029</v>
      </c>
      <c r="CZ27" s="59">
        <f t="shared" si="42"/>
        <v>347.4139588390766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65.564933966248375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1.35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4.95</v>
      </c>
      <c r="H28" s="67">
        <f t="shared" si="1"/>
        <v>236.86666666666665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151.92307692307691</v>
      </c>
      <c r="L28" s="12">
        <f>VLOOKUP(A28,'Données projet'!$A$35:$I$55,9,0)</f>
        <v>6.0769230769230766</v>
      </c>
      <c r="M28" s="12">
        <f t="array" ref="M28">INDEX(L:L,MIN(IF(ISNUMBER(L28:L224),ROW(L28:L224),"")))</f>
        <v>6.0769230769230766</v>
      </c>
      <c r="N28" s="13">
        <f>IF('Données projet'!$A$36&gt;35,N27+M28-V27,IF(A28&lt;'Données projet'!$A$36,$K$205^A28,IF(A28='Données projet'!$A$36,'Données projet'!$B$36,N27+M28-V27)))</f>
        <v>151.92307692307691</v>
      </c>
      <c r="O28" s="13">
        <f>N28*VLOOKUP('Données projet'!$B$9,Paramètres!$A$1:$I$89,3,0)*VLOOKUP('Données projet'!$B$9,Paramètres!$A$1:$I$89,5,0)</f>
        <v>77.262</v>
      </c>
      <c r="P28" s="13">
        <f t="shared" si="33"/>
        <v>21.466378112208911</v>
      </c>
      <c r="Q28" s="20">
        <f t="shared" si="2"/>
        <v>171.95192521209719</v>
      </c>
      <c r="R28" s="59">
        <f t="shared" si="0"/>
        <v>443.19434640522906</v>
      </c>
      <c r="S28" s="59">
        <f ca="1">AVERAGE(OFFSET($R$3,0,0,'Données projet'!$E$9+1,1))-AVERAGE(OFFSET($H$3,0,0,'Données projet'!$E$9+1,1))</f>
        <v>51.998489924038495</v>
      </c>
      <c r="T28" s="59">
        <f t="shared" si="34"/>
        <v>206.32767973856241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151.92307692307691</v>
      </c>
      <c r="W28" s="16">
        <f>IF(ISNA(VLOOKUP(A28,'Données projet'!$A$35:$I$55,5,0)),0%,VLOOKUP(A28,'Données projet'!$A$35:$I$55,5,0)*VLOOKUP('Données projet'!$B$9,Paramètres!$A$1:$I$89,7,0))</f>
        <v>0.44999999999999996</v>
      </c>
      <c r="X28" s="16">
        <f>IF(ISNA(VLOOKUP(A28,'Données projet'!$A$35:$I$55,6,0)),0%,VLOOKUP(A28,'Données projet'!$A$35:$I$55,6,0)*VLOOKUP('Données projet'!$B$9,Paramètres!$A$1:$I$89,7,0))</f>
        <v>0.12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38.434883608563645</v>
      </c>
      <c r="AA28" s="21">
        <f>EXP(-LN(2)/25)*AA27+(1-EXP(-LN(2)/25))/(LN(2)/25)*Calculateur!V28*Calculateur!X28*VLOOKUP('Données projet'!$B$9,Paramètres!$A$1:$I$89,3,0)*0.475*44/12</f>
        <v>10.208946887188786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48.643830495752432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15.766000000000002</v>
      </c>
      <c r="AI28" s="13">
        <f>IF('Données projet'!$A$62&gt;35,AI27+AH28-AQ27,IF(A28&lt;'Données projet'!$A$62,$AF$205^A28,IF(A28='Données projet'!$A$62,'Données projet'!$B$62,AI27+AH28-AQ27)))</f>
        <v>123.958</v>
      </c>
      <c r="AJ28" s="13">
        <f>AI28*VLOOKUP('Données projet'!$B$10,Paramètres!$A$1:$I$89,3,0)*VLOOKUP('Données projet'!$B$10,Paramètres!$A$1:$I$89,5,0)</f>
        <v>74.126884000000004</v>
      </c>
      <c r="AK28" s="13">
        <f t="shared" si="35"/>
        <v>20.694866668390631</v>
      </c>
      <c r="AL28" s="20">
        <f t="shared" si="4"/>
        <v>165.1478824141137</v>
      </c>
      <c r="AM28" s="59">
        <f t="shared" si="5"/>
        <v>436.39030360724553</v>
      </c>
      <c r="AN28" s="59">
        <f ca="1">AVERAGE(OFFSET($AM$3,0,0,'Données projet'!$E$10+1,1))-AVERAGE(OFFSET($H$3,0,0,'Données projet'!$E$10+1,1))</f>
        <v>356.02637444732096</v>
      </c>
      <c r="AO28" s="59">
        <f t="shared" si="36"/>
        <v>263.30053404008095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1.7630054013116168</v>
      </c>
      <c r="AV28" s="21">
        <f>EXP(-LN(2)/25)*AV27+(1-EXP(-LN(2)/25))/(LN(2)/25)*Calculateur!AQ28*Calculateur!AS28*VLOOKUP('Données projet'!$B$10,Paramètres!$A$1:$I$89,3,0)*0.475*44/12</f>
        <v>13.718582624146363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15.481588025457979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4.5104999999999995</v>
      </c>
      <c r="BD28" s="12">
        <f>IF('Données projet'!$A$88&gt;35,BD27+BC28-BL27,IF(A28&lt;'Données projet'!$A$88,$BA$205^A28,IF(A28='Données projet'!$A$88,'Données projet'!$B$88,BD27+BC28-BL27)))</f>
        <v>112.76249999999993</v>
      </c>
      <c r="BE28" s="13">
        <f>BD28*VLOOKUP('Données projet'!$B$11,Paramètres!$A$1:$I$89,3,0)*VLOOKUP('Données projet'!$B$11,Paramètres!$A$1:$I$89,5,0)</f>
        <v>114.34117499999994</v>
      </c>
      <c r="BF28" s="13">
        <f t="shared" si="37"/>
        <v>30.351483782813421</v>
      </c>
      <c r="BG28" s="20">
        <f t="shared" si="7"/>
        <v>252.00638071339992</v>
      </c>
      <c r="BH28" s="59">
        <f t="shared" si="8"/>
        <v>523.24880190653175</v>
      </c>
      <c r="BI28" s="59">
        <f ca="1">AVERAGE(OFFSET($BH$3,0,0,'Données projet'!$E$11+1,1))-AVERAGE(OFFSET($H$3,0,0,'Données projet'!$E$11+1,1))</f>
        <v>478.2340976873212</v>
      </c>
      <c r="BJ28" s="59">
        <f t="shared" si="38"/>
        <v>342.90128902463823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4.0948387096774193</v>
      </c>
      <c r="BY28" s="12">
        <f>IF('Données projet'!$A$114&gt;35,BY27+BX28-CG27,IF(A28&lt;'Données projet'!$A$114,$BV$205^A28,IF(A28='Données projet'!$A$114,'Données projet'!$B$114,BY27+BX28-CG27)))</f>
        <v>49.710759484248385</v>
      </c>
      <c r="BZ28" s="13">
        <f>BY28*VLOOKUP('Données projet'!$B$12,Paramètres!$A$1:$I$89,3,0)*VLOOKUP('Données projet'!$B$12,Paramètres!$A$1:$I$89,5,0)</f>
        <v>44.978295181347939</v>
      </c>
      <c r="CA28" s="13">
        <f t="shared" si="39"/>
        <v>13.309002513671976</v>
      </c>
      <c r="CB28" s="20">
        <f t="shared" si="10"/>
        <v>101.51704348549303</v>
      </c>
      <c r="CC28" s="59">
        <f t="shared" si="11"/>
        <v>372.75946467862491</v>
      </c>
      <c r="CD28" s="59">
        <f ca="1">AVERAGE(OFFSET($CC$3,0,0,'Données projet'!$E$12+1,1))-AVERAGE(OFFSET($H$3,0,0,'Données projet'!$E$12+1,1))</f>
        <v>471.03166569378629</v>
      </c>
      <c r="CE28" s="59">
        <f t="shared" si="40"/>
        <v>259.15709238853287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9.9228571428571435</v>
      </c>
      <c r="CT28" s="12">
        <f>IF('Données projet'!$A$140&gt;35,CT27+CS28-DB27,IF(A28&lt;'Données projet'!$A$140,$CQ$205^A28,IF(A28='Données projet'!$A$140,'Données projet'!$B$140,CT27+CS28-DB27)))</f>
        <v>248.07142857142853</v>
      </c>
      <c r="CU28" s="17">
        <f>CT28*VLOOKUP('Données projet'!$B$13,Paramètres!$A$1:$I$89,3,0)*VLOOKUP('Données projet'!$B$13,Paramètres!$A$1:$I$89,5,0)</f>
        <v>116.09742857142854</v>
      </c>
      <c r="CV28" s="13">
        <f t="shared" si="41"/>
        <v>30.763044581165421</v>
      </c>
      <c r="CW28" s="20">
        <f t="shared" si="13"/>
        <v>255.78199074076778</v>
      </c>
      <c r="CX28" s="59">
        <f t="shared" si="14"/>
        <v>527.02441193389961</v>
      </c>
      <c r="CY28" s="59">
        <f ca="1">AVERAGE(OFFSET($CX$3,0,0,'Données projet'!$E$13+1,1))-AVERAGE(OFFSET($H$3,0,0,'Données projet'!$E$13+1,1))</f>
        <v>364.67256251031029</v>
      </c>
      <c r="CZ28" s="59">
        <f t="shared" si="42"/>
        <v>347.4139588390766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65.641872446611728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1.35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4.95</v>
      </c>
      <c r="H29" s="67">
        <f t="shared" si="1"/>
        <v>236.86666666666665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51.998489924038495</v>
      </c>
      <c r="T29" s="59">
        <f t="shared" si="34"/>
        <v>206.32767973856241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37.68119898396391</v>
      </c>
      <c r="AA29" s="21">
        <f>EXP(-LN(2)/25)*AA28+(1-EXP(-LN(2)/25))/(LN(2)/25)*Calculateur!V29*Calculateur!X29*VLOOKUP('Données projet'!$B$9,Paramètres!$A$1:$I$89,3,0)*0.475*44/12</f>
        <v>9.9297826976934243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47.610981681657336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15.766000000000002</v>
      </c>
      <c r="AI29" s="13">
        <f>IF('Données projet'!$A$62&gt;35,AI28+AH29-AQ28,IF(A29&lt;'Données projet'!$A$62,$AF$205^A29,IF(A29='Données projet'!$A$62,'Données projet'!$B$62,AI28+AH29-AQ28)))</f>
        <v>139.72399999999999</v>
      </c>
      <c r="AJ29" s="13">
        <f>AI29*VLOOKUP('Données projet'!$B$10,Paramètres!$A$1:$I$89,3,0)*VLOOKUP('Données projet'!$B$10,Paramètres!$A$1:$I$89,5,0)</f>
        <v>83.554952</v>
      </c>
      <c r="AK29" s="13">
        <f t="shared" si="35"/>
        <v>23.004176736574664</v>
      </c>
      <c r="AL29" s="20">
        <f t="shared" si="4"/>
        <v>185.59048254953419</v>
      </c>
      <c r="AM29" s="59">
        <f t="shared" si="5"/>
        <v>458.33233978726003</v>
      </c>
      <c r="AN29" s="59">
        <f ca="1">AVERAGE(OFFSET($AM$3,0,0,'Données projet'!$E$10+1,1))-AVERAGE(OFFSET($H$3,0,0,'Données projet'!$E$10+1,1))</f>
        <v>356.02637444732096</v>
      </c>
      <c r="AO29" s="59">
        <f t="shared" si="36"/>
        <v>263.30053404008095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1.728433940719011</v>
      </c>
      <c r="AV29" s="21">
        <f>EXP(-LN(2)/25)*AV28+(1-EXP(-LN(2)/25))/(LN(2)/25)*Calculateur!AQ29*Calculateur!AS29*VLOOKUP('Données projet'!$B$10,Paramètres!$A$1:$I$89,3,0)*0.475*44/12</f>
        <v>13.343447260860174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15.071881201579185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4.5104999999999995</v>
      </c>
      <c r="BD29" s="12">
        <f>IF('Données projet'!$A$88&gt;35,BD28+BC29-BL28,IF(A29&lt;'Données projet'!$A$88,$BA$205^A29,IF(A29='Données projet'!$A$88,'Données projet'!$B$88,BD28+BC29-BL28)))</f>
        <v>117.27299999999993</v>
      </c>
      <c r="BE29" s="13">
        <f>BD29*VLOOKUP('Données projet'!$B$11,Paramètres!$A$1:$I$89,3,0)*VLOOKUP('Données projet'!$B$11,Paramètres!$A$1:$I$89,5,0)</f>
        <v>118.91482199999992</v>
      </c>
      <c r="BF29" s="13">
        <f t="shared" si="37"/>
        <v>31.421765686457753</v>
      </c>
      <c r="BG29" s="20">
        <f t="shared" si="7"/>
        <v>261.83622355391373</v>
      </c>
      <c r="BH29" s="59">
        <f t="shared" si="8"/>
        <v>534.57808079163954</v>
      </c>
      <c r="BI29" s="59">
        <f ca="1">AVERAGE(OFFSET($BH$3,0,0,'Données projet'!$E$11+1,1))-AVERAGE(OFFSET($H$3,0,0,'Données projet'!$E$11+1,1))</f>
        <v>478.2340976873212</v>
      </c>
      <c r="BJ29" s="59">
        <f t="shared" si="38"/>
        <v>342.90128902463823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4.0948387096774193</v>
      </c>
      <c r="BY29" s="12">
        <f>IF('Données projet'!$A$114&gt;35,BY28+BX29-CG28,IF(A29&lt;'Données projet'!$A$114,$BV$205^A29,IF(A29='Données projet'!$A$114,'Données projet'!$B$114,BY28+BX29-CG28)))</f>
        <v>58.117699395466659</v>
      </c>
      <c r="BZ29" s="13">
        <f>BY29*VLOOKUP('Données projet'!$B$12,Paramètres!$A$1:$I$89,3,0)*VLOOKUP('Données projet'!$B$12,Paramètres!$A$1:$I$89,5,0)</f>
        <v>52.584894413018233</v>
      </c>
      <c r="CA29" s="13">
        <f t="shared" si="39"/>
        <v>15.279348968782566</v>
      </c>
      <c r="CB29" s="20">
        <f t="shared" si="10"/>
        <v>118.19689055663639</v>
      </c>
      <c r="CC29" s="59">
        <f t="shared" si="11"/>
        <v>390.9387477943622</v>
      </c>
      <c r="CD29" s="59">
        <f ca="1">AVERAGE(OFFSET($CC$3,0,0,'Données projet'!$E$12+1,1))-AVERAGE(OFFSET($H$3,0,0,'Données projet'!$E$12+1,1))</f>
        <v>471.03166569378629</v>
      </c>
      <c r="CE29" s="59">
        <f t="shared" si="40"/>
        <v>259.15709238853287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9.9228571428571435</v>
      </c>
      <c r="CT29" s="12">
        <f>IF('Données projet'!$A$140&gt;35,CT28+CS29-DB28,IF(A29&lt;'Données projet'!$A$140,$CQ$205^A29,IF(A29='Données projet'!$A$140,'Données projet'!$B$140,CT28+CS29-DB28)))</f>
        <v>257.9942857142857</v>
      </c>
      <c r="CU29" s="17">
        <f>CT29*VLOOKUP('Données projet'!$B$13,Paramètres!$A$1:$I$89,3,0)*VLOOKUP('Données projet'!$B$13,Paramètres!$A$1:$I$89,5,0)</f>
        <v>120.74132571428569</v>
      </c>
      <c r="CV29" s="13">
        <f t="shared" si="41"/>
        <v>31.847839319762979</v>
      </c>
      <c r="CW29" s="20">
        <f t="shared" si="13"/>
        <v>265.75946243430144</v>
      </c>
      <c r="CX29" s="59">
        <f t="shared" si="14"/>
        <v>538.50131967202719</v>
      </c>
      <c r="CY29" s="59">
        <f ca="1">AVERAGE(OFFSET($CX$3,0,0,'Données projet'!$E$13+1,1))-AVERAGE(OFFSET($H$3,0,0,'Données projet'!$E$13+1,1))</f>
        <v>364.67256251031029</v>
      </c>
      <c r="CZ29" s="59">
        <f t="shared" si="42"/>
        <v>347.4139588390766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65.717476216349468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1.35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4.95</v>
      </c>
      <c r="H30" s="67">
        <f t="shared" si="1"/>
        <v>236.86666666666665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51.998489924038495</v>
      </c>
      <c r="T30" s="59">
        <f t="shared" si="34"/>
        <v>206.32767973856241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36.942293655150351</v>
      </c>
      <c r="AA30" s="21">
        <f>EXP(-LN(2)/25)*AA29+(1-EXP(-LN(2)/25))/(LN(2)/25)*Calculateur!V30*Calculateur!X30*VLOOKUP('Données projet'!$B$9,Paramètres!$A$1:$I$89,3,0)*0.475*44/12</f>
        <v>9.658252267640421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46.600545922790772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155.49</v>
      </c>
      <c r="AG30" s="12">
        <f>VLOOKUP(A30,'Données projet'!$A$61:$I$81,9,0)</f>
        <v>15.766000000000002</v>
      </c>
      <c r="AH30" s="12">
        <f t="array" ref="AH30">INDEX(AG:AG,MIN(IF(ISNUMBER(AG30:AG226),ROW(AG30:AG226),"")))</f>
        <v>15.766000000000002</v>
      </c>
      <c r="AI30" s="13">
        <f>IF('Données projet'!$A$62&gt;35,AI29+AH30-AQ29,IF(A30&lt;'Données projet'!$A$62,$AF$205^A30,IF(A30='Données projet'!$A$62,'Données projet'!$B$62,AI29+AH30-AQ29)))</f>
        <v>155.48999999999998</v>
      </c>
      <c r="AJ30" s="13">
        <f>AI30*VLOOKUP('Données projet'!$B$10,Paramètres!$A$1:$I$89,3,0)*VLOOKUP('Données projet'!$B$10,Paramètres!$A$1:$I$89,5,0)</f>
        <v>92.983019999999996</v>
      </c>
      <c r="AK30" s="13">
        <f t="shared" si="35"/>
        <v>25.283286610692237</v>
      </c>
      <c r="AL30" s="20">
        <f t="shared" si="4"/>
        <v>205.98048401362226</v>
      </c>
      <c r="AM30" s="59">
        <f t="shared" si="5"/>
        <v>480.21696825588106</v>
      </c>
      <c r="AN30" s="59">
        <f ca="1">AVERAGE(OFFSET($AM$3,0,0,'Données projet'!$E$10+1,1))-AVERAGE(OFFSET($H$3,0,0,'Données projet'!$E$10+1,1))</f>
        <v>356.02637444732096</v>
      </c>
      <c r="AO30" s="59">
        <f t="shared" si="36"/>
        <v>263.30053404008095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37.840000000000003</v>
      </c>
      <c r="AR30" s="16">
        <f>IF(ISNA(VLOOKUP(A30,'Données projet'!$A$61:$I$81,5,0)),0%,VLOOKUP(A30,'Données projet'!$A$61:$I$81,5,0)*VLOOKUP('Données projet'!$B$10,Paramètres!$A$1:$I$89,7,0))</f>
        <v>4.5000000000000005E-2</v>
      </c>
      <c r="AS30" s="16">
        <f>IF(ISNA(VLOOKUP(A30,'Données projet'!$A$61:$I$81,6,0)),0%,VLOOKUP(A30,'Données projet'!$A$61:$I$81,6,0)*VLOOKUP('Données projet'!$B$10,Paramètres!$A$1:$I$89,7,0))</f>
        <v>0.36000000000000004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3.0453470303061421</v>
      </c>
      <c r="AV30" s="21">
        <f>EXP(-LN(2)/25)*AV29+(1-EXP(-LN(2)/25))/(LN(2)/25)*Calculateur!AQ30*Calculateur!AS30*VLOOKUP('Données projet'!$B$10,Paramètres!$A$1:$I$89,3,0)*0.475*44/12</f>
        <v>23.742473870162744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26.787820900468887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4.5104999999999995</v>
      </c>
      <c r="BD30" s="12">
        <f>IF('Données projet'!$A$88&gt;35,BD29+BC30-BL29,IF(A30&lt;'Données projet'!$A$88,$BA$205^A30,IF(A30='Données projet'!$A$88,'Données projet'!$B$88,BD29+BC30-BL29)))</f>
        <v>121.78349999999992</v>
      </c>
      <c r="BE30" s="13">
        <f>BD30*VLOOKUP('Données projet'!$B$11,Paramètres!$A$1:$I$89,3,0)*VLOOKUP('Données projet'!$B$11,Paramètres!$A$1:$I$89,5,0)</f>
        <v>123.48846899999992</v>
      </c>
      <c r="BF30" s="13">
        <f t="shared" si="37"/>
        <v>32.487265484810301</v>
      </c>
      <c r="BG30" s="20">
        <f t="shared" si="7"/>
        <v>271.65773756104448</v>
      </c>
      <c r="BH30" s="59">
        <f t="shared" si="8"/>
        <v>545.89422180330325</v>
      </c>
      <c r="BI30" s="59">
        <f ca="1">AVERAGE(OFFSET($BH$3,0,0,'Données projet'!$E$11+1,1))-AVERAGE(OFFSET($H$3,0,0,'Données projet'!$E$11+1,1))</f>
        <v>478.2340976873212</v>
      </c>
      <c r="BJ30" s="59">
        <f t="shared" si="38"/>
        <v>342.90128902463823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4.0948387096774193</v>
      </c>
      <c r="BY30" s="12">
        <f>IF('Données projet'!$A$114&gt;35,BY29+BX30-CG29,IF(A30&lt;'Données projet'!$A$114,$BV$205^A30,IF(A30='Données projet'!$A$114,'Données projet'!$B$114,BY29+BX30-CG29)))</f>
        <v>67.946396676801726</v>
      </c>
      <c r="BZ30" s="13">
        <f>BY30*VLOOKUP('Données projet'!$B$12,Paramètres!$A$1:$I$89,3,0)*VLOOKUP('Données projet'!$B$12,Paramètres!$A$1:$I$89,5,0)</f>
        <v>61.477899713170196</v>
      </c>
      <c r="CA30" s="13">
        <f t="shared" si="39"/>
        <v>17.541397611880459</v>
      </c>
      <c r="CB30" s="20">
        <f t="shared" si="10"/>
        <v>137.62527617446324</v>
      </c>
      <c r="CC30" s="59">
        <f t="shared" si="11"/>
        <v>411.86176041672206</v>
      </c>
      <c r="CD30" s="59">
        <f ca="1">AVERAGE(OFFSET($CC$3,0,0,'Données projet'!$E$12+1,1))-AVERAGE(OFFSET($H$3,0,0,'Données projet'!$E$12+1,1))</f>
        <v>471.03166569378629</v>
      </c>
      <c r="CE30" s="59">
        <f t="shared" si="40"/>
        <v>259.15709238853287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9.9228571428571435</v>
      </c>
      <c r="CT30" s="12">
        <f>IF('Données projet'!$A$140&gt;35,CT29+CS30-DB29,IF(A30&lt;'Données projet'!$A$140,$CQ$205^A30,IF(A30='Données projet'!$A$140,'Données projet'!$B$140,CT29+CS30-DB29)))</f>
        <v>267.91714285714284</v>
      </c>
      <c r="CU30" s="17">
        <f>CT30*VLOOKUP('Données projet'!$B$13,Paramètres!$A$1:$I$89,3,0)*VLOOKUP('Données projet'!$B$13,Paramètres!$A$1:$I$89,5,0)</f>
        <v>125.38522285714285</v>
      </c>
      <c r="CV30" s="13">
        <f t="shared" si="41"/>
        <v>32.927787108559478</v>
      </c>
      <c r="CW30" s="20">
        <f t="shared" si="13"/>
        <v>275.72849235693155</v>
      </c>
      <c r="CX30" s="59">
        <f t="shared" si="14"/>
        <v>549.96497659919032</v>
      </c>
      <c r="CY30" s="59">
        <f ca="1">AVERAGE(OFFSET($CX$3,0,0,'Données projet'!$E$13+1,1))-AVERAGE(OFFSET($H$3,0,0,'Données projet'!$E$13+1,1))</f>
        <v>364.67256251031029</v>
      </c>
      <c r="CZ30" s="59">
        <f t="shared" si="42"/>
        <v>347.4139588390766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65.791768429706948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1.35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4.95</v>
      </c>
      <c r="H31" s="67">
        <f t="shared" si="1"/>
        <v>236.86666666666665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51.998489924038495</v>
      </c>
      <c r="T31" s="59">
        <f t="shared" si="34"/>
        <v>206.32767973856241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36.217877809147076</v>
      </c>
      <c r="AA31" s="21">
        <f>EXP(-LN(2)/25)*AA30+(1-EXP(-LN(2)/25))/(LN(2)/25)*Calculateur!V31*Calculateur!X31*VLOOKUP('Données projet'!$B$9,Paramètres!$A$1:$I$89,3,0)*0.475*44/12</f>
        <v>9.394146851476382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45.612024660623462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16.614999999999998</v>
      </c>
      <c r="AI31" s="13">
        <f>IF('Données projet'!$A$62&gt;35,AI30+AH31-AQ30,IF(A31&lt;'Données projet'!$A$62,$AF$205^A31,IF(A31='Données projet'!$A$62,'Données projet'!$B$62,AI30+AH31-AQ30)))</f>
        <v>134.26499999999999</v>
      </c>
      <c r="AJ31" s="13">
        <f>AI31*VLOOKUP('Données projet'!$B$10,Paramètres!$A$1:$I$89,3,0)*VLOOKUP('Données projet'!$B$10,Paramètres!$A$1:$I$89,5,0)</f>
        <v>80.290469999999999</v>
      </c>
      <c r="AK31" s="13">
        <f t="shared" si="35"/>
        <v>22.208190565938402</v>
      </c>
      <c r="AL31" s="20">
        <f t="shared" si="4"/>
        <v>178.51850048567601</v>
      </c>
      <c r="AM31" s="59">
        <f t="shared" si="5"/>
        <v>454.24488611850063</v>
      </c>
      <c r="AN31" s="59">
        <f ca="1">AVERAGE(OFFSET($AM$3,0,0,'Données projet'!$E$10+1,1))-AVERAGE(OFFSET($H$3,0,0,'Données projet'!$E$10+1,1))</f>
        <v>356.02637444732096</v>
      </c>
      <c r="AO31" s="59">
        <f t="shared" si="36"/>
        <v>263.30053404008095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2.9856296325201162</v>
      </c>
      <c r="AV31" s="21">
        <f>EXP(-LN(2)/25)*AV30+(1-EXP(-LN(2)/25))/(LN(2)/25)*Calculateur!AQ31*Calculateur!AS31*VLOOKUP('Données projet'!$B$10,Paramètres!$A$1:$I$89,3,0)*0.475*44/12</f>
        <v>23.093234673620707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26.078864306140822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4.5104999999999995</v>
      </c>
      <c r="BD31" s="12">
        <f>IF('Données projet'!$A$88&gt;35,BD30+BC31-BL30,IF(A31&lt;'Données projet'!$A$88,$BA$205^A31,IF(A31='Données projet'!$A$88,'Données projet'!$B$88,BD30+BC31-BL30)))</f>
        <v>126.29399999999991</v>
      </c>
      <c r="BE31" s="13">
        <f>BD31*VLOOKUP('Données projet'!$B$11,Paramètres!$A$1:$I$89,3,0)*VLOOKUP('Données projet'!$B$11,Paramètres!$A$1:$I$89,5,0)</f>
        <v>128.06211599999992</v>
      </c>
      <c r="BF31" s="13">
        <f t="shared" si="37"/>
        <v>33.548180575292818</v>
      </c>
      <c r="BG31" s="20">
        <f t="shared" si="7"/>
        <v>281.47126653530154</v>
      </c>
      <c r="BH31" s="59">
        <f t="shared" si="8"/>
        <v>557.19765216812607</v>
      </c>
      <c r="BI31" s="59">
        <f ca="1">AVERAGE(OFFSET($BH$3,0,0,'Données projet'!$E$11+1,1))-AVERAGE(OFFSET($H$3,0,0,'Données projet'!$E$11+1,1))</f>
        <v>478.2340976873212</v>
      </c>
      <c r="BJ31" s="59">
        <f t="shared" si="38"/>
        <v>342.90128902463823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4.0948387096774193</v>
      </c>
      <c r="BY31" s="12">
        <f>IF('Données projet'!$A$114&gt;35,BY30+BX31-CG30,IF(A31&lt;'Données projet'!$A$114,$BV$205^A31,IF(A31='Données projet'!$A$114,'Données projet'!$B$114,BY30+BX31-CG30)))</f>
        <v>79.437294823845178</v>
      </c>
      <c r="BZ31" s="13">
        <f>BY31*VLOOKUP('Données projet'!$B$12,Paramètres!$A$1:$I$89,3,0)*VLOOKUP('Données projet'!$B$12,Paramètres!$A$1:$I$89,5,0)</f>
        <v>71.87486435661512</v>
      </c>
      <c r="CA31" s="13">
        <f t="shared" si="39"/>
        <v>20.138333826051934</v>
      </c>
      <c r="CB31" s="20">
        <f t="shared" si="10"/>
        <v>160.25632016814509</v>
      </c>
      <c r="CC31" s="59">
        <f t="shared" si="11"/>
        <v>435.98270580096971</v>
      </c>
      <c r="CD31" s="59">
        <f ca="1">AVERAGE(OFFSET($CC$3,0,0,'Données projet'!$E$12+1,1))-AVERAGE(OFFSET($H$3,0,0,'Données projet'!$E$12+1,1))</f>
        <v>471.03166569378629</v>
      </c>
      <c r="CE31" s="59">
        <f t="shared" si="40"/>
        <v>259.15709238853287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9.9228571428571435</v>
      </c>
      <c r="CT31" s="12">
        <f>IF('Données projet'!$A$140&gt;35,CT30+CS31-DB30,IF(A31&lt;'Données projet'!$A$140,$CQ$205^A31,IF(A31='Données projet'!$A$140,'Données projet'!$B$140,CT30+CS31-DB30)))</f>
        <v>277.83999999999997</v>
      </c>
      <c r="CU31" s="17">
        <f>CT31*VLOOKUP('Données projet'!$B$13,Paramètres!$A$1:$I$89,3,0)*VLOOKUP('Données projet'!$B$13,Paramètres!$A$1:$I$89,5,0)</f>
        <v>130.02912000000001</v>
      </c>
      <c r="CV31" s="13">
        <f t="shared" si="41"/>
        <v>34.003088021651131</v>
      </c>
      <c r="CW31" s="20">
        <f t="shared" si="13"/>
        <v>285.68942897104239</v>
      </c>
      <c r="CX31" s="59">
        <f t="shared" si="14"/>
        <v>561.41581460386692</v>
      </c>
      <c r="CY31" s="59">
        <f ca="1">AVERAGE(OFFSET($CX$3,0,0,'Données projet'!$E$13+1,1))-AVERAGE(OFFSET($H$3,0,0,'Données projet'!$E$13+1,1))</f>
        <v>364.67256251031029</v>
      </c>
      <c r="CZ31" s="59">
        <f t="shared" si="42"/>
        <v>347.4139588390766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65.864771839255198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1.35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4.95</v>
      </c>
      <c r="H32" s="67">
        <f t="shared" si="1"/>
        <v>236.86666666666665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51.998489924038495</v>
      </c>
      <c r="T32" s="59">
        <f t="shared" si="34"/>
        <v>206.32767973856241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35.507667316033888</v>
      </c>
      <c r="AA32" s="21">
        <f>EXP(-LN(2)/25)*AA31+(1-EXP(-LN(2)/25))/(LN(2)/25)*Calculateur!V32*Calculateur!X32*VLOOKUP('Données projet'!$B$9,Paramètres!$A$1:$I$89,3,0)*0.475*44/12</f>
        <v>9.1372634118060478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44.644930727839935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16.614999999999998</v>
      </c>
      <c r="AI32" s="13">
        <f>IF('Données projet'!$A$62&gt;35,AI31+AH32-AQ31,IF(A32&lt;'Données projet'!$A$62,$AF$205^A32,IF(A32='Données projet'!$A$62,'Données projet'!$B$62,AI31+AH32-AQ31)))</f>
        <v>150.88</v>
      </c>
      <c r="AJ32" s="13">
        <f>AI32*VLOOKUP('Données projet'!$B$10,Paramètres!$A$1:$I$89,3,0)*VLOOKUP('Données projet'!$B$10,Paramètres!$A$1:$I$89,5,0)</f>
        <v>90.22623999999999</v>
      </c>
      <c r="AK32" s="13">
        <f t="shared" si="35"/>
        <v>24.619780658757083</v>
      </c>
      <c r="AL32" s="20">
        <f t="shared" si="4"/>
        <v>200.02348598066854</v>
      </c>
      <c r="AM32" s="59">
        <f t="shared" si="5"/>
        <v>477.23512936892917</v>
      </c>
      <c r="AN32" s="59">
        <f ca="1">AVERAGE(OFFSET($AM$3,0,0,'Données projet'!$E$10+1,1))-AVERAGE(OFFSET($H$3,0,0,'Données projet'!$E$10+1,1))</f>
        <v>356.02637444732096</v>
      </c>
      <c r="AO32" s="59">
        <f t="shared" si="36"/>
        <v>263.30053404008095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2.9270832564806581</v>
      </c>
      <c r="AV32" s="21">
        <f>EXP(-LN(2)/25)*AV31+(1-EXP(-LN(2)/25))/(LN(2)/25)*Calculateur!AQ32*Calculateur!AS32*VLOOKUP('Données projet'!$B$10,Paramètres!$A$1:$I$89,3,0)*0.475*44/12</f>
        <v>22.461748957050116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25.388832213530772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4.5104999999999995</v>
      </c>
      <c r="BD32" s="12">
        <f>IF('Données projet'!$A$88&gt;35,BD31+BC32-BL31,IF(A32&lt;'Données projet'!$A$88,$BA$205^A32,IF(A32='Données projet'!$A$88,'Données projet'!$B$88,BD31+BC32-BL31)))</f>
        <v>130.8044999999999</v>
      </c>
      <c r="BE32" s="13">
        <f>BD32*VLOOKUP('Données projet'!$B$11,Paramètres!$A$1:$I$89,3,0)*VLOOKUP('Données projet'!$B$11,Paramètres!$A$1:$I$89,5,0)</f>
        <v>132.63576299999991</v>
      </c>
      <c r="BF32" s="13">
        <f t="shared" si="37"/>
        <v>34.604693456216879</v>
      </c>
      <c r="BG32" s="20">
        <f t="shared" si="7"/>
        <v>291.27712832791093</v>
      </c>
      <c r="BH32" s="59">
        <f t="shared" si="8"/>
        <v>568.48877171617153</v>
      </c>
      <c r="BI32" s="59">
        <f ca="1">AVERAGE(OFFSET($BH$3,0,0,'Données projet'!$E$11+1,1))-AVERAGE(OFFSET($H$3,0,0,'Données projet'!$E$11+1,1))</f>
        <v>478.2340976873212</v>
      </c>
      <c r="BJ32" s="59">
        <f t="shared" si="38"/>
        <v>342.90128902463823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4.0948387096774193</v>
      </c>
      <c r="BY32" s="12">
        <f>IF('Données projet'!$A$114&gt;35,BY31+BX32-CG31,IF(A32&lt;'Données projet'!$A$114,$BV$205^A32,IF(A32='Données projet'!$A$114,'Données projet'!$B$114,BY31+BX32-CG31)))</f>
        <v>92.871500440949163</v>
      </c>
      <c r="BZ32" s="13">
        <f>BY32*VLOOKUP('Données projet'!$B$12,Paramètres!$A$1:$I$89,3,0)*VLOOKUP('Données projet'!$B$12,Paramètres!$A$1:$I$89,5,0)</f>
        <v>84.030133598970792</v>
      </c>
      <c r="CA32" s="13">
        <f t="shared" si="39"/>
        <v>23.119736423672112</v>
      </c>
      <c r="CB32" s="20">
        <f t="shared" si="10"/>
        <v>186.61935695610305</v>
      </c>
      <c r="CC32" s="59">
        <f t="shared" si="11"/>
        <v>463.83100034436364</v>
      </c>
      <c r="CD32" s="59">
        <f ca="1">AVERAGE(OFFSET($CC$3,0,0,'Données projet'!$E$12+1,1))-AVERAGE(OFFSET($H$3,0,0,'Données projet'!$E$12+1,1))</f>
        <v>471.03166569378629</v>
      </c>
      <c r="CE32" s="59">
        <f t="shared" si="40"/>
        <v>259.15709238853287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9.9228571428571435</v>
      </c>
      <c r="CT32" s="12">
        <f>IF('Données projet'!$A$140&gt;35,CT31+CS32-DB31,IF(A32&lt;'Données projet'!$A$140,$CQ$205^A32,IF(A32='Données projet'!$A$140,'Données projet'!$B$140,CT31+CS32-DB31)))</f>
        <v>287.76285714285711</v>
      </c>
      <c r="CU32" s="17">
        <f>CT32*VLOOKUP('Données projet'!$B$13,Paramètres!$A$1:$I$89,3,0)*VLOOKUP('Données projet'!$B$13,Paramètres!$A$1:$I$89,5,0)</f>
        <v>134.67301714285713</v>
      </c>
      <c r="CV32" s="13">
        <f t="shared" si="41"/>
        <v>35.073927031994522</v>
      </c>
      <c r="CW32" s="20">
        <f t="shared" si="13"/>
        <v>295.64259443786659</v>
      </c>
      <c r="CX32" s="59">
        <f t="shared" si="14"/>
        <v>572.85423782612725</v>
      </c>
      <c r="CY32" s="59">
        <f ca="1">AVERAGE(OFFSET($CX$3,0,0,'Données projet'!$E$13+1,1))-AVERAGE(OFFSET($H$3,0,0,'Données projet'!$E$13+1,1))</f>
        <v>364.67256251031029</v>
      </c>
      <c r="CZ32" s="59">
        <f t="shared" si="42"/>
        <v>347.4139588390766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65.936508802858953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1.35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4.95</v>
      </c>
      <c r="H33" s="67">
        <f t="shared" si="1"/>
        <v>236.86666666666665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51.998489924038495</v>
      </c>
      <c r="T33" s="59">
        <f t="shared" si="34"/>
        <v>206.32767973856241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34.811383617505022</v>
      </c>
      <c r="AA33" s="21">
        <f>EXP(-LN(2)/25)*AA32+(1-EXP(-LN(2)/25))/(LN(2)/25)*Calculateur!V33*Calculateur!X33*VLOOKUP('Données projet'!$B$9,Paramètres!$A$1:$I$89,3,0)*0.475*44/12</f>
        <v>8.8874044633024116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43.698788080807432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16.614999999999998</v>
      </c>
      <c r="AI33" s="13">
        <f>IF('Données projet'!$A$62&gt;35,AI32+AH33-AQ32,IF(A33&lt;'Données projet'!$A$62,$AF$205^A33,IF(A33='Données projet'!$A$62,'Données projet'!$B$62,AI32+AH33-AQ32)))</f>
        <v>167.495</v>
      </c>
      <c r="AJ33" s="13">
        <f>AI33*VLOOKUP('Données projet'!$B$10,Paramètres!$A$1:$I$89,3,0)*VLOOKUP('Données projet'!$B$10,Paramètres!$A$1:$I$89,5,0)</f>
        <v>100.16201000000001</v>
      </c>
      <c r="AK33" s="13">
        <f t="shared" si="35"/>
        <v>27.000590559708886</v>
      </c>
      <c r="AL33" s="20">
        <f t="shared" si="4"/>
        <v>221.47486264149299</v>
      </c>
      <c r="AM33" s="59">
        <f t="shared" si="5"/>
        <v>500.16720070674762</v>
      </c>
      <c r="AN33" s="59">
        <f ca="1">AVERAGE(OFFSET($AM$3,0,0,'Données projet'!$E$10+1,1))-AVERAGE(OFFSET($H$3,0,0,'Données projet'!$E$10+1,1))</f>
        <v>356.02637444732096</v>
      </c>
      <c r="AO33" s="59">
        <f t="shared" si="36"/>
        <v>263.30053404008095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2.8696849391655705</v>
      </c>
      <c r="AV33" s="21">
        <f>EXP(-LN(2)/25)*AV32+(1-EXP(-LN(2)/25))/(LN(2)/25)*Calculateur!AQ33*Calculateur!AS33*VLOOKUP('Données projet'!$B$10,Paramètres!$A$1:$I$89,3,0)*0.475*44/12</f>
        <v>21.847531250607538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24.717216189773108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4.5104999999999995</v>
      </c>
      <c r="BD33" s="12">
        <f>IF('Données projet'!$A$88&gt;35,BD32+BC33-BL32,IF(A33&lt;'Données projet'!$A$88,$BA$205^A33,IF(A33='Données projet'!$A$88,'Données projet'!$B$88,BD32+BC33-BL32)))</f>
        <v>135.31499999999991</v>
      </c>
      <c r="BE33" s="13">
        <f>BD33*VLOOKUP('Données projet'!$B$11,Paramètres!$A$1:$I$89,3,0)*VLOOKUP('Données projet'!$B$11,Paramètres!$A$1:$I$89,5,0)</f>
        <v>137.20940999999993</v>
      </c>
      <c r="BF33" s="13">
        <f t="shared" si="37"/>
        <v>35.656973325961978</v>
      </c>
      <c r="BG33" s="20">
        <f t="shared" si="7"/>
        <v>301.0756176260503</v>
      </c>
      <c r="BH33" s="59">
        <f t="shared" si="8"/>
        <v>579.76795569130491</v>
      </c>
      <c r="BI33" s="59">
        <f ca="1">AVERAGE(OFFSET($BH$3,0,0,'Données projet'!$E$11+1,1))-AVERAGE(OFFSET($H$3,0,0,'Données projet'!$E$11+1,1))</f>
        <v>478.2340976873212</v>
      </c>
      <c r="BJ33" s="59">
        <f t="shared" si="38"/>
        <v>342.90128902463823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4.0948387096774193</v>
      </c>
      <c r="BY33" s="12">
        <f>IF('Données projet'!$A$114&gt;35,BY32+BX33-CG32,IF(A33&lt;'Données projet'!$A$114,$BV$205^A33,IF(A33='Données projet'!$A$114,'Données projet'!$B$114,BY32+BX33-CG32)))</f>
        <v>108.57766006860759</v>
      </c>
      <c r="BZ33" s="13">
        <f>BY33*VLOOKUP('Données projet'!$B$12,Paramètres!$A$1:$I$89,3,0)*VLOOKUP('Données projet'!$B$12,Paramètres!$A$1:$I$89,5,0)</f>
        <v>98.241066830076136</v>
      </c>
      <c r="CA33" s="13">
        <f t="shared" si="39"/>
        <v>26.542524168935309</v>
      </c>
      <c r="CB33" s="20">
        <f t="shared" si="10"/>
        <v>217.33142098994492</v>
      </c>
      <c r="CC33" s="59">
        <f t="shared" si="11"/>
        <v>496.02375905519955</v>
      </c>
      <c r="CD33" s="59">
        <f ca="1">AVERAGE(OFFSET($CC$3,0,0,'Données projet'!$E$12+1,1))-AVERAGE(OFFSET($H$3,0,0,'Données projet'!$E$12+1,1))</f>
        <v>471.03166569378629</v>
      </c>
      <c r="CE33" s="59">
        <f t="shared" si="40"/>
        <v>259.15709238853287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9.9228571428571435</v>
      </c>
      <c r="CT33" s="12">
        <f>IF('Données projet'!$A$140&gt;35,CT32+CS33-DB32,IF(A33&lt;'Données projet'!$A$140,$CQ$205^A33,IF(A33='Données projet'!$A$140,'Données projet'!$B$140,CT32+CS33-DB32)))</f>
        <v>297.68571428571425</v>
      </c>
      <c r="CU33" s="17">
        <f>CT33*VLOOKUP('Données projet'!$B$13,Paramètres!$A$1:$I$89,3,0)*VLOOKUP('Données projet'!$B$13,Paramètres!$A$1:$I$89,5,0)</f>
        <v>139.31691428571426</v>
      </c>
      <c r="CV33" s="13">
        <f t="shared" si="41"/>
        <v>36.14047563226957</v>
      </c>
      <c r="CW33" s="20">
        <f t="shared" si="13"/>
        <v>305.58828744048856</v>
      </c>
      <c r="CX33" s="59">
        <f t="shared" si="14"/>
        <v>584.28062550574327</v>
      </c>
      <c r="CY33" s="59">
        <f ca="1">AVERAGE(OFFSET($CX$3,0,0,'Données projet'!$E$13+1,1))-AVERAGE(OFFSET($H$3,0,0,'Données projet'!$E$13+1,1))</f>
        <v>364.67256251031029</v>
      </c>
      <c r="CZ33" s="59">
        <f t="shared" si="42"/>
        <v>347.4139588390766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66.007001290524002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1.35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4.95</v>
      </c>
      <c r="H34" s="67">
        <f t="shared" si="1"/>
        <v>236.86666666666665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51.998489924038495</v>
      </c>
      <c r="T34" s="59">
        <f t="shared" si="34"/>
        <v>206.32767973856241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34.128753617613185</v>
      </c>
      <c r="AA34" s="21">
        <f>EXP(-LN(2)/25)*AA33+(1-EXP(-LN(2)/25))/(LN(2)/25)*Calculateur!V34*Calculateur!X34*VLOOKUP('Données projet'!$B$9,Paramètres!$A$1:$I$89,3,0)*0.475*44/12</f>
        <v>8.6443779208851197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42.773131538498305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16.614999999999998</v>
      </c>
      <c r="AI34" s="13">
        <f>IF('Données projet'!$A$62&gt;35,AI33+AH34-AQ33,IF(A34&lt;'Données projet'!$A$62,$AF$205^A34,IF(A34='Données projet'!$A$62,'Données projet'!$B$62,AI33+AH34-AQ33)))</f>
        <v>184.11</v>
      </c>
      <c r="AJ34" s="13">
        <f>AI34*VLOOKUP('Données projet'!$B$10,Paramètres!$A$1:$I$89,3,0)*VLOOKUP('Données projet'!$B$10,Paramètres!$A$1:$I$89,5,0)</f>
        <v>110.09778000000001</v>
      </c>
      <c r="AK34" s="13">
        <f t="shared" si="35"/>
        <v>29.354021111763256</v>
      </c>
      <c r="AL34" s="20">
        <f t="shared" si="4"/>
        <v>242.87855360298769</v>
      </c>
      <c r="AM34" s="59">
        <f t="shared" si="5"/>
        <v>521.82488020378173</v>
      </c>
      <c r="AN34" s="59">
        <f ca="1">AVERAGE(OFFSET($AM$3,0,0,'Données projet'!$E$10+1,1))-AVERAGE(OFFSET($H$3,0,0,'Données projet'!$E$10+1,1))</f>
        <v>356.02637444732096</v>
      </c>
      <c r="AO34" s="59">
        <f t="shared" si="36"/>
        <v>263.30053404008095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2.8134121678435156</v>
      </c>
      <c r="AV34" s="21">
        <f>EXP(-LN(2)/25)*AV33+(1-EXP(-LN(2)/25))/(LN(2)/25)*Calculateur!AQ34*Calculateur!AS34*VLOOKUP('Données projet'!$B$10,Paramètres!$A$1:$I$89,3,0)*0.475*44/12</f>
        <v>21.25010935964794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24.063521527491456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4.5104999999999995</v>
      </c>
      <c r="BD34" s="12">
        <f>IF('Données projet'!$A$88&gt;35,BD33+BC34-BL33,IF(A34&lt;'Données projet'!$A$88,$BA$205^A34,IF(A34='Données projet'!$A$88,'Données projet'!$B$88,BD33+BC34-BL33)))</f>
        <v>139.82549999999992</v>
      </c>
      <c r="BE34" s="13">
        <f>BD34*VLOOKUP('Données projet'!$B$11,Paramètres!$A$1:$I$89,3,0)*VLOOKUP('Données projet'!$B$11,Paramètres!$A$1:$I$89,5,0)</f>
        <v>141.78305699999993</v>
      </c>
      <c r="BF34" s="13">
        <f t="shared" si="37"/>
        <v>36.705177462940235</v>
      </c>
      <c r="BG34" s="20">
        <f t="shared" si="7"/>
        <v>310.86700835628744</v>
      </c>
      <c r="BH34" s="59">
        <f t="shared" si="8"/>
        <v>589.81333495708145</v>
      </c>
      <c r="BI34" s="59">
        <f ca="1">AVERAGE(OFFSET($BH$3,0,0,'Données projet'!$E$11+1,1))-AVERAGE(OFFSET($H$3,0,0,'Données projet'!$E$11+1,1))</f>
        <v>478.2340976873212</v>
      </c>
      <c r="BJ34" s="59">
        <f t="shared" si="38"/>
        <v>342.90128902463823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126.94</v>
      </c>
      <c r="BW34" s="12">
        <f>VLOOKUP(A34,'Données projet'!$A$113:$I$133,9,0)</f>
        <v>4.0948387096774193</v>
      </c>
      <c r="BX34" s="12">
        <f t="array" ref="BX34">INDEX(BW:BW,MIN(IF(ISNUMBER(BW34:BW230),ROW(BW34:BW230),"")))</f>
        <v>4.0948387096774193</v>
      </c>
      <c r="BY34" s="12">
        <f>IF('Données projet'!$A$114&gt;35,BY33+BX34-CG33,IF(A34&lt;'Données projet'!$A$114,$BV$205^A34,IF(A34='Données projet'!$A$114,'Données projet'!$B$114,BY33+BX34-CG33)))</f>
        <v>126.94</v>
      </c>
      <c r="BZ34" s="13">
        <f>BY34*VLOOKUP('Données projet'!$B$12,Paramètres!$A$1:$I$89,3,0)*VLOOKUP('Données projet'!$B$12,Paramètres!$A$1:$I$89,5,0)</f>
        <v>114.855312</v>
      </c>
      <c r="CA34" s="13">
        <f t="shared" si="39"/>
        <v>30.472042429392744</v>
      </c>
      <c r="CB34" s="20">
        <f t="shared" si="10"/>
        <v>253.11180896452572</v>
      </c>
      <c r="CC34" s="59">
        <f t="shared" si="11"/>
        <v>532.05813556531984</v>
      </c>
      <c r="CD34" s="59">
        <f ca="1">AVERAGE(OFFSET($CC$3,0,0,'Données projet'!$E$12+1,1))-AVERAGE(OFFSET($H$3,0,0,'Données projet'!$E$12+1,1))</f>
        <v>471.03166569378629</v>
      </c>
      <c r="CE34" s="59">
        <f t="shared" si="40"/>
        <v>259.15709238853287</v>
      </c>
      <c r="CF34" s="15">
        <f>IF(ISNA(VLOOKUP(A34,'Données projet'!$A$113:$I$133,3,0)),0,VLOOKUP(A34,'Données projet'!$A$113:$I$133,3,0))</f>
        <v>1</v>
      </c>
      <c r="CG34" s="15">
        <f>IF(ISNA(VLOOKUP(A34,'Données projet'!$A$113:$I$133,4,0)),0,VLOOKUP(A34,'Données projet'!$A$113:$I$133,4,0))</f>
        <v>26.77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9.9228571428571435</v>
      </c>
      <c r="CT34" s="12">
        <f>IF('Données projet'!$A$140&gt;35,CT33+CS34-DB33,IF(A34&lt;'Données projet'!$A$140,$CQ$205^A34,IF(A34='Données projet'!$A$140,'Données projet'!$B$140,CT33+CS34-DB33)))</f>
        <v>307.60857142857139</v>
      </c>
      <c r="CU34" s="17">
        <f>CT34*VLOOKUP('Données projet'!$B$13,Paramètres!$A$1:$I$89,3,0)*VLOOKUP('Données projet'!$B$13,Paramètres!$A$1:$I$89,5,0)</f>
        <v>143.96081142857142</v>
      </c>
      <c r="CV34" s="13">
        <f t="shared" si="41"/>
        <v>37.202893233556154</v>
      </c>
      <c r="CW34" s="20">
        <f t="shared" si="13"/>
        <v>315.52678561987216</v>
      </c>
      <c r="CX34" s="59">
        <f t="shared" si="14"/>
        <v>594.47311222066628</v>
      </c>
      <c r="CY34" s="59">
        <f ca="1">AVERAGE(OFFSET($CX$3,0,0,'Données projet'!$E$13+1,1))-AVERAGE(OFFSET($H$3,0,0,'Données projet'!$E$13+1,1))</f>
        <v>364.67256251031029</v>
      </c>
      <c r="CZ34" s="59">
        <f t="shared" si="42"/>
        <v>347.4139588390766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66.07627089112566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1.35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4.95</v>
      </c>
      <c r="H35" s="67">
        <f t="shared" si="1"/>
        <v>236.86666666666665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51.998489924038495</v>
      </c>
      <c r="T35" s="59">
        <f t="shared" si="34"/>
        <v>206.32767973856241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33.459509575656043</v>
      </c>
      <c r="AA35" s="21">
        <f>EXP(-LN(2)/25)*AA34+(1-EXP(-LN(2)/25))/(LN(2)/25)*Calculateur!V35*Calculateur!X35*VLOOKUP('Données projet'!$B$9,Paramètres!$A$1:$I$89,3,0)*0.475*44/12</f>
        <v>8.4079969520504374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41.867506527706482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16.614999999999998</v>
      </c>
      <c r="AI35" s="13">
        <f>IF('Données projet'!$A$62&gt;35,AI34+AH35-AQ34,IF(A35&lt;'Données projet'!$A$62,$AF$205^A35,IF(A35='Données projet'!$A$62,'Données projet'!$B$62,AI34+AH35-AQ34)))</f>
        <v>200.72500000000002</v>
      </c>
      <c r="AJ35" s="13">
        <f>AI35*VLOOKUP('Données projet'!$B$10,Paramètres!$A$1:$I$89,3,0)*VLOOKUP('Données projet'!$B$10,Paramètres!$A$1:$I$89,5,0)</f>
        <v>120.03355000000002</v>
      </c>
      <c r="AK35" s="13">
        <f t="shared" si="35"/>
        <v>31.68282415335652</v>
      </c>
      <c r="AL35" s="20">
        <f t="shared" si="4"/>
        <v>264.23935165042923</v>
      </c>
      <c r="AM35" s="59">
        <f t="shared" si="5"/>
        <v>543.43526065350443</v>
      </c>
      <c r="AN35" s="59">
        <f ca="1">AVERAGE(OFFSET($AM$3,0,0,'Données projet'!$E$10+1,1))-AVERAGE(OFFSET($H$3,0,0,'Données projet'!$E$10+1,1))</f>
        <v>356.02637444732096</v>
      </c>
      <c r="AO35" s="59">
        <f t="shared" si="36"/>
        <v>263.30053404008095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2.7582428712440845</v>
      </c>
      <c r="AV35" s="21">
        <f>EXP(-LN(2)/25)*AV34+(1-EXP(-LN(2)/25))/(LN(2)/25)*Calculateur!AQ35*Calculateur!AS35*VLOOKUP('Données projet'!$B$10,Paramètres!$A$1:$I$89,3,0)*0.475*44/12</f>
        <v>20.669024001713684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23.42726687295777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4.5104999999999995</v>
      </c>
      <c r="BD35" s="12">
        <f>IF('Données projet'!$A$88&gt;35,BD34+BC35-BL34,IF(A35&lt;'Données projet'!$A$88,$BA$205^A35,IF(A35='Données projet'!$A$88,'Données projet'!$B$88,BD34+BC35-BL34)))</f>
        <v>144.33599999999993</v>
      </c>
      <c r="BE35" s="13">
        <f>BD35*VLOOKUP('Données projet'!$B$11,Paramètres!$A$1:$I$89,3,0)*VLOOKUP('Données projet'!$B$11,Paramètres!$A$1:$I$89,5,0)</f>
        <v>146.35670399999992</v>
      </c>
      <c r="BF35" s="13">
        <f t="shared" si="37"/>
        <v>37.749452422499616</v>
      </c>
      <c r="BG35" s="20">
        <f t="shared" si="7"/>
        <v>320.6515557691867</v>
      </c>
      <c r="BH35" s="59">
        <f t="shared" si="8"/>
        <v>599.8474647722619</v>
      </c>
      <c r="BI35" s="59">
        <f ca="1">AVERAGE(OFFSET($BH$3,0,0,'Données projet'!$E$11+1,1))-AVERAGE(OFFSET($H$3,0,0,'Données projet'!$E$11+1,1))</f>
        <v>478.2340976873212</v>
      </c>
      <c r="BJ35" s="59">
        <f t="shared" si="38"/>
        <v>342.90128902463823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12.03</v>
      </c>
      <c r="BY35" s="12">
        <f>IF('Données projet'!$A$114&gt;35,BY34+BX35-CG34,IF(A35&lt;'Données projet'!$A$114,$BV$205^A35,IF(A35='Données projet'!$A$114,'Données projet'!$B$114,BY34+BX35-CG34)))</f>
        <v>112.2</v>
      </c>
      <c r="BZ35" s="13">
        <f>BY35*VLOOKUP('Données projet'!$B$12,Paramètres!$A$1:$I$89,3,0)*VLOOKUP('Données projet'!$B$12,Paramètres!$A$1:$I$89,5,0)</f>
        <v>101.51855999999999</v>
      </c>
      <c r="CA35" s="13">
        <f t="shared" si="39"/>
        <v>27.323455582096614</v>
      </c>
      <c r="CB35" s="20">
        <f t="shared" si="10"/>
        <v>224.39984380548495</v>
      </c>
      <c r="CC35" s="59">
        <f t="shared" si="11"/>
        <v>503.59575280856018</v>
      </c>
      <c r="CD35" s="59">
        <f ca="1">AVERAGE(OFFSET($CC$3,0,0,'Données projet'!$E$12+1,1))-AVERAGE(OFFSET($H$3,0,0,'Données projet'!$E$12+1,1))</f>
        <v>471.03166569378629</v>
      </c>
      <c r="CE35" s="59">
        <f t="shared" si="40"/>
        <v>259.15709238853287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9.9228571428571435</v>
      </c>
      <c r="CT35" s="12">
        <f>IF('Données projet'!$A$140&gt;35,CT34+CS35-DB34,IF(A35&lt;'Données projet'!$A$140,$CQ$205^A35,IF(A35='Données projet'!$A$140,'Données projet'!$B$140,CT34+CS35-DB34)))</f>
        <v>317.53142857142853</v>
      </c>
      <c r="CU35" s="17">
        <f>CT35*VLOOKUP('Données projet'!$B$13,Paramètres!$A$1:$I$89,3,0)*VLOOKUP('Données projet'!$B$13,Paramètres!$A$1:$I$89,5,0)</f>
        <v>148.60470857142857</v>
      </c>
      <c r="CV35" s="13">
        <f t="shared" si="41"/>
        <v>38.261328378466914</v>
      </c>
      <c r="CW35" s="20">
        <f t="shared" si="13"/>
        <v>325.4583476877346</v>
      </c>
      <c r="CX35" s="59">
        <f t="shared" si="14"/>
        <v>604.6542566908098</v>
      </c>
      <c r="CY35" s="59">
        <f ca="1">AVERAGE(OFFSET($CX$3,0,0,'Données projet'!$E$13+1,1))-AVERAGE(OFFSET($H$3,0,0,'Données projet'!$E$13+1,1))</f>
        <v>364.67256251031029</v>
      </c>
      <c r="CZ35" s="59">
        <f t="shared" si="42"/>
        <v>347.4139588390766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66.144338819020504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1.35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4.95</v>
      </c>
      <c r="H36" s="67">
        <f t="shared" si="1"/>
        <v>236.86666666666665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51.998489924038495</v>
      </c>
      <c r="T36" s="59">
        <f t="shared" si="34"/>
        <v>206.32767973856241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32.803389001163119</v>
      </c>
      <c r="AA36" s="21">
        <f>EXP(-LN(2)/25)*AA35+(1-EXP(-LN(2)/25))/(LN(2)/25)*Calculateur!V36*Calculateur!X36*VLOOKUP('Données projet'!$B$9,Paramètres!$A$1:$I$89,3,0)*0.475*44/12</f>
        <v>8.1780798332392752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40.981468834402392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217.34</v>
      </c>
      <c r="AG36" s="12">
        <f>VLOOKUP(A36,'Données projet'!$A$61:$I$81,9,0)</f>
        <v>16.614999999999998</v>
      </c>
      <c r="AH36" s="12">
        <f t="array" ref="AH36">INDEX(AG:AG,MIN(IF(ISNUMBER(AG36:AG232),ROW(AG36:AG232),"")))</f>
        <v>16.614999999999998</v>
      </c>
      <c r="AI36" s="13">
        <f>IF('Données projet'!$A$62&gt;35,AI35+AH36-AQ35,IF(A36&lt;'Données projet'!$A$62,$AF$205^A36,IF(A36='Données projet'!$A$62,'Données projet'!$B$62,AI35+AH36-AQ35)))</f>
        <v>217.34000000000003</v>
      </c>
      <c r="AJ36" s="13">
        <f>AI36*VLOOKUP('Données projet'!$B$10,Paramètres!$A$1:$I$89,3,0)*VLOOKUP('Données projet'!$B$10,Paramètres!$A$1:$I$89,5,0)</f>
        <v>129.96932000000001</v>
      </c>
      <c r="AK36" s="13">
        <f t="shared" si="35"/>
        <v>33.989269987755954</v>
      </c>
      <c r="AL36" s="20">
        <f t="shared" si="4"/>
        <v>285.56121089534162</v>
      </c>
      <c r="AM36" s="59">
        <f t="shared" si="5"/>
        <v>565.00237260400093</v>
      </c>
      <c r="AN36" s="59">
        <f ca="1">AVERAGE(OFFSET($AM$3,0,0,'Données projet'!$E$10+1,1))-AVERAGE(OFFSET($H$3,0,0,'Données projet'!$E$10+1,1))</f>
        <v>356.02637444732096</v>
      </c>
      <c r="AO36" s="59">
        <f t="shared" si="36"/>
        <v>263.30053404008095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50.41</v>
      </c>
      <c r="AR36" s="16">
        <f>IF(ISNA(VLOOKUP(A36,'Données projet'!$A$61:$I$81,5,0)),0%,VLOOKUP(A36,'Données projet'!$A$61:$I$81,5,0)*VLOOKUP('Données projet'!$B$10,Paramètres!$A$1:$I$89,7,0))</f>
        <v>0.13500000000000001</v>
      </c>
      <c r="AS36" s="16">
        <f>IF(ISNA(VLOOKUP(A36,'Données projet'!$A$61:$I$81,6,0)),0%,VLOOKUP(A36,'Données projet'!$A$61:$I$81,6,0)*VLOOKUP('Données projet'!$B$10,Paramètres!$A$1:$I$89,7,0))</f>
        <v>0.22500000000000001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8.1027411901626536</v>
      </c>
      <c r="AV36" s="21">
        <f>EXP(-LN(2)/25)*AV35+(1-EXP(-LN(2)/25))/(LN(2)/25)*Calculateur!AQ36*Calculateur!AS36*VLOOKUP('Données projet'!$B$10,Paramètres!$A$1:$I$89,3,0)*0.475*44/12</f>
        <v>29.066044270160475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37.168785460323129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4.5104999999999995</v>
      </c>
      <c r="BD36" s="12">
        <f>IF('Données projet'!$A$88&gt;35,BD35+BC36-BL35,IF(A36&lt;'Données projet'!$A$88,$BA$205^A36,IF(A36='Données projet'!$A$88,'Données projet'!$B$88,BD35+BC36-BL35)))</f>
        <v>148.84649999999993</v>
      </c>
      <c r="BE36" s="13">
        <f>BD36*VLOOKUP('Données projet'!$B$11,Paramètres!$A$1:$I$89,3,0)*VLOOKUP('Données projet'!$B$11,Paramètres!$A$1:$I$89,5,0)</f>
        <v>150.93035099999994</v>
      </c>
      <c r="BF36" s="13">
        <f t="shared" si="37"/>
        <v>38.789935080010601</v>
      </c>
      <c r="BG36" s="20">
        <f t="shared" si="7"/>
        <v>330.42949825601835</v>
      </c>
      <c r="BH36" s="59">
        <f t="shared" si="8"/>
        <v>609.87065996467766</v>
      </c>
      <c r="BI36" s="59">
        <f ca="1">AVERAGE(OFFSET($BH$3,0,0,'Données projet'!$E$11+1,1))-AVERAGE(OFFSET($H$3,0,0,'Données projet'!$E$11+1,1))</f>
        <v>478.2340976873212</v>
      </c>
      <c r="BJ36" s="59">
        <f t="shared" si="38"/>
        <v>342.90128902463823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12.03</v>
      </c>
      <c r="BY36" s="12">
        <f>IF('Données projet'!$A$114&gt;35,BY35+BX36-CG35,IF(A36&lt;'Données projet'!$A$114,$BV$205^A36,IF(A36='Données projet'!$A$114,'Données projet'!$B$114,BY35+BX36-CG35)))</f>
        <v>124.23</v>
      </c>
      <c r="BZ36" s="13">
        <f>BY36*VLOOKUP('Données projet'!$B$12,Paramètres!$A$1:$I$89,3,0)*VLOOKUP('Données projet'!$B$12,Paramètres!$A$1:$I$89,5,0)</f>
        <v>112.40330399999999</v>
      </c>
      <c r="CA36" s="13">
        <f t="shared" si="39"/>
        <v>29.896507519165457</v>
      </c>
      <c r="CB36" s="20">
        <f t="shared" si="10"/>
        <v>247.83883839587983</v>
      </c>
      <c r="CC36" s="59">
        <f t="shared" si="11"/>
        <v>527.28000010453911</v>
      </c>
      <c r="CD36" s="59">
        <f ca="1">AVERAGE(OFFSET($CC$3,0,0,'Données projet'!$E$12+1,1))-AVERAGE(OFFSET($H$3,0,0,'Données projet'!$E$12+1,1))</f>
        <v>471.03166569378629</v>
      </c>
      <c r="CE36" s="59">
        <f t="shared" si="40"/>
        <v>259.15709238853287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9.9228571428571435</v>
      </c>
      <c r="CT36" s="12">
        <f>IF('Données projet'!$A$140&gt;35,CT35+CS36-DB35,IF(A36&lt;'Données projet'!$A$140,$CQ$205^A36,IF(A36='Données projet'!$A$140,'Données projet'!$B$140,CT35+CS36-DB35)))</f>
        <v>327.45428571428567</v>
      </c>
      <c r="CU36" s="17">
        <f>CT36*VLOOKUP('Données projet'!$B$13,Paramètres!$A$1:$I$89,3,0)*VLOOKUP('Données projet'!$B$13,Paramètres!$A$1:$I$89,5,0)</f>
        <v>153.2486057142857</v>
      </c>
      <c r="CV36" s="13">
        <f t="shared" si="41"/>
        <v>39.315919798378474</v>
      </c>
      <c r="CW36" s="20">
        <f t="shared" si="13"/>
        <v>335.38321526789008</v>
      </c>
      <c r="CX36" s="59">
        <f t="shared" si="14"/>
        <v>614.82437697654939</v>
      </c>
      <c r="CY36" s="59">
        <f ca="1">AVERAGE(OFFSET($CX$3,0,0,'Données projet'!$E$13+1,1))-AVERAGE(OFFSET($H$3,0,0,'Données projet'!$E$13+1,1))</f>
        <v>364.67256251031029</v>
      </c>
      <c r="CZ36" s="59">
        <f t="shared" si="42"/>
        <v>347.4139588390766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66.211225920543455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1.35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4.95</v>
      </c>
      <c r="H37" s="67">
        <f t="shared" si="1"/>
        <v>236.86666666666665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51.998489924038495</v>
      </c>
      <c r="T37" s="59">
        <f t="shared" si="34"/>
        <v>206.32767973856241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32.160134550941969</v>
      </c>
      <c r="AA37" s="21">
        <f>EXP(-LN(2)/25)*AA36+(1-EXP(-LN(2)/25))/(LN(2)/25)*Calculateur!V37*Calculateur!X37*VLOOKUP('Données projet'!$B$9,Paramètres!$A$1:$I$89,3,0)*0.475*44/12</f>
        <v>7.9544498101328198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40.11458436107479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16.701250000000002</v>
      </c>
      <c r="AI37" s="13">
        <f>IF('Données projet'!$A$62&gt;35,AI36+AH37-AQ36,IF(A37&lt;'Données projet'!$A$62,$AF$205^A37,IF(A37='Données projet'!$A$62,'Données projet'!$B$62,AI36+AH37-AQ36)))</f>
        <v>183.63125000000005</v>
      </c>
      <c r="AJ37" s="13">
        <f>AI37*VLOOKUP('Données projet'!$B$10,Paramètres!$A$1:$I$89,3,0)*VLOOKUP('Données projet'!$B$10,Paramètres!$A$1:$I$89,5,0)</f>
        <v>109.81148750000004</v>
      </c>
      <c r="AK37" s="13">
        <f t="shared" si="35"/>
        <v>29.286565124423376</v>
      </c>
      <c r="AL37" s="20">
        <f t="shared" si="4"/>
        <v>242.26244165420408</v>
      </c>
      <c r="AM37" s="59">
        <f t="shared" si="5"/>
        <v>521.94460148230871</v>
      </c>
      <c r="AN37" s="59">
        <f ca="1">AVERAGE(OFFSET($AM$3,0,0,'Données projet'!$E$10+1,1))-AVERAGE(OFFSET($H$3,0,0,'Données projet'!$E$10+1,1))</f>
        <v>356.02637444732096</v>
      </c>
      <c r="AO37" s="59">
        <f t="shared" si="36"/>
        <v>263.30053404008095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7.9438513776076896</v>
      </c>
      <c r="AV37" s="21">
        <f>EXP(-LN(2)/25)*AV36+(1-EXP(-LN(2)/25))/(LN(2)/25)*Calculateur!AQ37*Calculateur!AS37*VLOOKUP('Données projet'!$B$10,Paramètres!$A$1:$I$89,3,0)*0.475*44/12</f>
        <v>28.271231761076098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36.215083138683788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4.5104999999999995</v>
      </c>
      <c r="BD37" s="12">
        <f>IF('Données projet'!$A$88&gt;35,BD36+BC37-BL36,IF(A37&lt;'Données projet'!$A$88,$BA$205^A37,IF(A37='Données projet'!$A$88,'Données projet'!$B$88,BD36+BC37-BL36)))</f>
        <v>153.35699999999994</v>
      </c>
      <c r="BE37" s="13">
        <f>BD37*VLOOKUP('Données projet'!$B$11,Paramètres!$A$1:$I$89,3,0)*VLOOKUP('Données projet'!$B$11,Paramètres!$A$1:$I$89,5,0)</f>
        <v>155.50399799999994</v>
      </c>
      <c r="BF37" s="13">
        <f t="shared" si="37"/>
        <v>39.826753543966426</v>
      </c>
      <c r="BG37" s="20">
        <f t="shared" si="7"/>
        <v>340.2010589390747</v>
      </c>
      <c r="BH37" s="59">
        <f t="shared" si="8"/>
        <v>619.8832187671793</v>
      </c>
      <c r="BI37" s="59">
        <f ca="1">AVERAGE(OFFSET($BH$3,0,0,'Données projet'!$E$11+1,1))-AVERAGE(OFFSET($H$3,0,0,'Données projet'!$E$11+1,1))</f>
        <v>478.2340976873212</v>
      </c>
      <c r="BJ37" s="59">
        <f t="shared" si="38"/>
        <v>342.90128902463823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12.03</v>
      </c>
      <c r="BY37" s="12">
        <f>IF('Données projet'!$A$114&gt;35,BY36+BX37-CG36,IF(A37&lt;'Données projet'!$A$114,$BV$205^A37,IF(A37='Données projet'!$A$114,'Données projet'!$B$114,BY36+BX37-CG36)))</f>
        <v>136.26</v>
      </c>
      <c r="BZ37" s="13">
        <f>BY37*VLOOKUP('Données projet'!$B$12,Paramètres!$A$1:$I$89,3,0)*VLOOKUP('Données projet'!$B$12,Paramètres!$A$1:$I$89,5,0)</f>
        <v>123.28804799999997</v>
      </c>
      <c r="CA37" s="13">
        <f t="shared" si="39"/>
        <v>32.440671835283716</v>
      </c>
      <c r="CB37" s="20">
        <f t="shared" si="10"/>
        <v>271.22752037978574</v>
      </c>
      <c r="CC37" s="59">
        <f t="shared" si="11"/>
        <v>550.90968020789035</v>
      </c>
      <c r="CD37" s="59">
        <f ca="1">AVERAGE(OFFSET($CC$3,0,0,'Données projet'!$E$12+1,1))-AVERAGE(OFFSET($H$3,0,0,'Données projet'!$E$12+1,1))</f>
        <v>471.03166569378629</v>
      </c>
      <c r="CE37" s="59">
        <f t="shared" si="40"/>
        <v>259.15709238853287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9.9228571428571435</v>
      </c>
      <c r="CT37" s="12">
        <f>IF('Données projet'!$A$140&gt;35,CT36+CS37-DB36,IF(A37&lt;'Données projet'!$A$140,$CQ$205^A37,IF(A37='Données projet'!$A$140,'Données projet'!$B$140,CT36+CS37-DB36)))</f>
        <v>337.37714285714281</v>
      </c>
      <c r="CU37" s="17">
        <f>CT37*VLOOKUP('Données projet'!$B$13,Paramètres!$A$1:$I$89,3,0)*VLOOKUP('Données projet'!$B$13,Paramètres!$A$1:$I$89,5,0)</f>
        <v>157.89250285714283</v>
      </c>
      <c r="CV37" s="13">
        <f t="shared" si="41"/>
        <v>40.366797338912775</v>
      </c>
      <c r="CW37" s="20">
        <f t="shared" si="13"/>
        <v>345.30161450813017</v>
      </c>
      <c r="CX37" s="59">
        <f t="shared" si="14"/>
        <v>624.98377433623477</v>
      </c>
      <c r="CY37" s="59">
        <f ca="1">AVERAGE(OFFSET($CX$3,0,0,'Données projet'!$E$13+1,1))-AVERAGE(OFFSET($H$3,0,0,'Données projet'!$E$13+1,1))</f>
        <v>364.67256251031029</v>
      </c>
      <c r="CZ37" s="59">
        <f t="shared" si="42"/>
        <v>347.4139588390766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66.276952680392156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1.35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4.95</v>
      </c>
      <c r="H38" s="67">
        <f t="shared" si="1"/>
        <v>236.86666666666665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51.998489924038495</v>
      </c>
      <c r="T38" s="59">
        <f t="shared" si="34"/>
        <v>206.32767973856241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31.529493928143179</v>
      </c>
      <c r="AA38" s="21">
        <f>EXP(-LN(2)/25)*AA37+(1-EXP(-LN(2)/25))/(LN(2)/25)*Calculateur!V38*Calculateur!X38*VLOOKUP('Données projet'!$B$9,Paramètres!$A$1:$I$89,3,0)*0.475*44/12</f>
        <v>7.7369349617684025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39.26642888991158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16.701250000000002</v>
      </c>
      <c r="AI38" s="13">
        <f>IF('Données projet'!$A$62&gt;35,AI37+AH38-AQ37,IF(A38&lt;'Données projet'!$A$62,$AF$205^A38,IF(A38='Données projet'!$A$62,'Données projet'!$B$62,AI37+AH38-AQ37)))</f>
        <v>200.33250000000004</v>
      </c>
      <c r="AJ38" s="13">
        <f>AI38*VLOOKUP('Données projet'!$B$10,Paramètres!$A$1:$I$89,3,0)*VLOOKUP('Données projet'!$B$10,Paramètres!$A$1:$I$89,5,0)</f>
        <v>119.79883500000003</v>
      </c>
      <c r="AK38" s="13">
        <f t="shared" si="35"/>
        <v>31.628076280921128</v>
      </c>
      <c r="AL38" s="20">
        <f t="shared" si="4"/>
        <v>263.73520381427102</v>
      </c>
      <c r="AM38" s="59">
        <f t="shared" si="5"/>
        <v>543.65418098323948</v>
      </c>
      <c r="AN38" s="59">
        <f ca="1">AVERAGE(OFFSET($AM$3,0,0,'Données projet'!$E$10+1,1))-AVERAGE(OFFSET($H$3,0,0,'Données projet'!$E$10+1,1))</f>
        <v>356.02637444732096</v>
      </c>
      <c r="AO38" s="59">
        <f t="shared" si="36"/>
        <v>263.30053404008095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7.7880772973637127</v>
      </c>
      <c r="AV38" s="21">
        <f>EXP(-LN(2)/25)*AV37+(1-EXP(-LN(2)/25))/(LN(2)/25)*Calculateur!AQ38*Calculateur!AS38*VLOOKUP('Données projet'!$B$10,Paramètres!$A$1:$I$89,3,0)*0.475*44/12</f>
        <v>27.498153441850008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35.286230739213721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4.5104999999999995</v>
      </c>
      <c r="BD38" s="12">
        <f>IF('Données projet'!$A$88&gt;35,BD37+BC38-BL37,IF(A38&lt;'Données projet'!$A$88,$BA$205^A38,IF(A38='Données projet'!$A$88,'Données projet'!$B$88,BD37+BC38-BL37)))</f>
        <v>157.86749999999995</v>
      </c>
      <c r="BE38" s="13">
        <f>BD38*VLOOKUP('Données projet'!$B$11,Paramètres!$A$1:$I$89,3,0)*VLOOKUP('Données projet'!$B$11,Paramètres!$A$1:$I$89,5,0)</f>
        <v>160.07764499999996</v>
      </c>
      <c r="BF38" s="13">
        <f t="shared" si="37"/>
        <v>40.860027958640771</v>
      </c>
      <c r="BG38" s="20">
        <f t="shared" si="7"/>
        <v>349.96644706963258</v>
      </c>
      <c r="BH38" s="59">
        <f t="shared" si="8"/>
        <v>629.88542423860099</v>
      </c>
      <c r="BI38" s="59">
        <f ca="1">AVERAGE(OFFSET($BH$3,0,0,'Données projet'!$E$11+1,1))-AVERAGE(OFFSET($H$3,0,0,'Données projet'!$E$11+1,1))</f>
        <v>478.2340976873212</v>
      </c>
      <c r="BJ38" s="59">
        <f t="shared" si="38"/>
        <v>342.90128902463823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12.03</v>
      </c>
      <c r="BY38" s="12">
        <f>IF('Données projet'!$A$114&gt;35,BY37+BX38-CG37,IF(A38&lt;'Données projet'!$A$114,$BV$205^A38,IF(A38='Données projet'!$A$114,'Données projet'!$B$114,BY37+BX38-CG37)))</f>
        <v>148.29</v>
      </c>
      <c r="BZ38" s="13">
        <f>BY38*VLOOKUP('Données projet'!$B$12,Paramètres!$A$1:$I$89,3,0)*VLOOKUP('Données projet'!$B$12,Paramètres!$A$1:$I$89,5,0)</f>
        <v>134.17279199999999</v>
      </c>
      <c r="CA38" s="13">
        <f t="shared" si="39"/>
        <v>34.958788938933147</v>
      </c>
      <c r="CB38" s="20">
        <f t="shared" si="10"/>
        <v>294.57083680197519</v>
      </c>
      <c r="CC38" s="59">
        <f t="shared" si="11"/>
        <v>574.4898139709436</v>
      </c>
      <c r="CD38" s="59">
        <f ca="1">AVERAGE(OFFSET($CC$3,0,0,'Données projet'!$E$12+1,1))-AVERAGE(OFFSET($H$3,0,0,'Données projet'!$E$12+1,1))</f>
        <v>471.03166569378629</v>
      </c>
      <c r="CE38" s="59">
        <f t="shared" si="40"/>
        <v>259.15709238853287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9.9228571428571435</v>
      </c>
      <c r="CT38" s="12">
        <f>IF('Données projet'!$A$140&gt;35,CT37+CS38-DB37,IF(A38&lt;'Données projet'!$A$140,$CQ$205^A38,IF(A38='Données projet'!$A$140,'Données projet'!$B$140,CT37+CS38-DB37)))</f>
        <v>347.29999999999995</v>
      </c>
      <c r="CU38" s="17">
        <f>CT38*VLOOKUP('Données projet'!$B$13,Paramètres!$A$1:$I$89,3,0)*VLOOKUP('Données projet'!$B$13,Paramètres!$A$1:$I$89,5,0)</f>
        <v>162.53639999999999</v>
      </c>
      <c r="CV38" s="13">
        <f t="shared" si="41"/>
        <v>41.414082773478739</v>
      </c>
      <c r="CW38" s="20">
        <f t="shared" si="13"/>
        <v>355.21375749714207</v>
      </c>
      <c r="CX38" s="59">
        <f t="shared" si="14"/>
        <v>635.13273466611054</v>
      </c>
      <c r="CY38" s="59">
        <f ca="1">AVERAGE(OFFSET($CX$3,0,0,'Données projet'!$E$13+1,1))-AVERAGE(OFFSET($H$3,0,0,'Données projet'!$E$13+1,1))</f>
        <v>364.67256251031029</v>
      </c>
      <c r="CZ38" s="59">
        <f t="shared" si="42"/>
        <v>347.4139588390766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66.341539227900483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1.35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4.95</v>
      </c>
      <c r="H39" s="67">
        <f t="shared" si="1"/>
        <v>236.86666666666665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51.998489924038495</v>
      </c>
      <c r="T39" s="59">
        <f t="shared" si="34"/>
        <v>206.32767973856241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30.911219783304674</v>
      </c>
      <c r="AA39" s="21">
        <f>EXP(-LN(2)/25)*AA38+(1-EXP(-LN(2)/25))/(LN(2)/25)*Calculateur!V39*Calculateur!X39*VLOOKUP('Données projet'!$B$9,Paramètres!$A$1:$I$89,3,0)*0.475*44/12</f>
        <v>7.5253680683711188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38.436587851675796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16.701250000000002</v>
      </c>
      <c r="AI39" s="13">
        <f>IF('Données projet'!$A$62&gt;35,AI38+AH39-AQ38,IF(A39&lt;'Données projet'!$A$62,$AF$205^A39,IF(A39='Données projet'!$A$62,'Données projet'!$B$62,AI38+AH39-AQ38)))</f>
        <v>217.03375000000005</v>
      </c>
      <c r="AJ39" s="13">
        <f>AI39*VLOOKUP('Données projet'!$B$10,Paramètres!$A$1:$I$89,3,0)*VLOOKUP('Données projet'!$B$10,Paramètres!$A$1:$I$89,5,0)</f>
        <v>129.78618250000005</v>
      </c>
      <c r="AK39" s="13">
        <f t="shared" si="35"/>
        <v>33.946947653586037</v>
      </c>
      <c r="AL39" s="20">
        <f t="shared" si="4"/>
        <v>285.1685350174958</v>
      </c>
      <c r="AM39" s="59">
        <f t="shared" si="5"/>
        <v>565.32022127590835</v>
      </c>
      <c r="AN39" s="59">
        <f ca="1">AVERAGE(OFFSET($AM$3,0,0,'Données projet'!$E$10+1,1))-AVERAGE(OFFSET($H$3,0,0,'Données projet'!$E$10+1,1))</f>
        <v>356.02637444732096</v>
      </c>
      <c r="AO39" s="59">
        <f t="shared" si="36"/>
        <v>263.30053404008095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7.6353578518205127</v>
      </c>
      <c r="AV39" s="21">
        <f>EXP(-LN(2)/25)*AV38+(1-EXP(-LN(2)/25))/(LN(2)/25)*Calculateur!AQ39*Calculateur!AS39*VLOOKUP('Données projet'!$B$10,Paramètres!$A$1:$I$89,3,0)*0.475*44/12</f>
        <v>26.746214989917579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34.381572841738091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4.5104999999999995</v>
      </c>
      <c r="BD39" s="12">
        <f>IF('Données projet'!$A$88&gt;35,BD38+BC39-BL38,IF(A39&lt;'Données projet'!$A$88,$BA$205^A39,IF(A39='Données projet'!$A$88,'Données projet'!$B$88,BD38+BC39-BL38)))</f>
        <v>162.37799999999996</v>
      </c>
      <c r="BE39" s="13">
        <f>BD39*VLOOKUP('Données projet'!$B$11,Paramètres!$A$1:$I$89,3,0)*VLOOKUP('Données projet'!$B$11,Paramètres!$A$1:$I$89,5,0)</f>
        <v>164.65129199999998</v>
      </c>
      <c r="BF39" s="13">
        <f t="shared" si="37"/>
        <v>41.889871212434976</v>
      </c>
      <c r="BG39" s="20">
        <f t="shared" si="7"/>
        <v>359.72585926165749</v>
      </c>
      <c r="BH39" s="59">
        <f t="shared" si="8"/>
        <v>639.87754552007004</v>
      </c>
      <c r="BI39" s="59">
        <f ca="1">AVERAGE(OFFSET($BH$3,0,0,'Données projet'!$E$11+1,1))-AVERAGE(OFFSET($H$3,0,0,'Données projet'!$E$11+1,1))</f>
        <v>478.2340976873212</v>
      </c>
      <c r="BJ39" s="59">
        <f t="shared" si="38"/>
        <v>342.90128902463823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12.03</v>
      </c>
      <c r="BY39" s="12">
        <f>IF('Données projet'!$A$114&gt;35,BY38+BX39-CG38,IF(A39&lt;'Données projet'!$A$114,$BV$205^A39,IF(A39='Données projet'!$A$114,'Données projet'!$B$114,BY38+BX39-CG38)))</f>
        <v>160.32</v>
      </c>
      <c r="BZ39" s="13">
        <f>BY39*VLOOKUP('Données projet'!$B$12,Paramètres!$A$1:$I$89,3,0)*VLOOKUP('Données projet'!$B$12,Paramètres!$A$1:$I$89,5,0)</f>
        <v>145.057536</v>
      </c>
      <c r="CA39" s="13">
        <f t="shared" si="39"/>
        <v>37.45321214097595</v>
      </c>
      <c r="CB39" s="20">
        <f t="shared" si="10"/>
        <v>317.87288634553312</v>
      </c>
      <c r="CC39" s="59">
        <f t="shared" si="11"/>
        <v>598.02457260394567</v>
      </c>
      <c r="CD39" s="59">
        <f ca="1">AVERAGE(OFFSET($CC$3,0,0,'Données projet'!$E$12+1,1))-AVERAGE(OFFSET($H$3,0,0,'Données projet'!$E$12+1,1))</f>
        <v>471.03166569378629</v>
      </c>
      <c r="CE39" s="59">
        <f t="shared" si="40"/>
        <v>259.15709238853287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9.9228571428571435</v>
      </c>
      <c r="CT39" s="12">
        <f>IF('Données projet'!$A$140&gt;35,CT38+CS39-DB38,IF(A39&lt;'Données projet'!$A$140,$CQ$205^A39,IF(A39='Données projet'!$A$140,'Données projet'!$B$140,CT38+CS39-DB38)))</f>
        <v>357.22285714285709</v>
      </c>
      <c r="CU39" s="17">
        <f>CT39*VLOOKUP('Données projet'!$B$13,Paramètres!$A$1:$I$89,3,0)*VLOOKUP('Données projet'!$B$13,Paramètres!$A$1:$I$89,5,0)</f>
        <v>167.18029714285711</v>
      </c>
      <c r="CV39" s="13">
        <f t="shared" si="41"/>
        <v>42.457890521224527</v>
      </c>
      <c r="CW39" s="20">
        <f t="shared" si="13"/>
        <v>365.1198435149422</v>
      </c>
      <c r="CX39" s="59">
        <f t="shared" si="14"/>
        <v>645.27152977335481</v>
      </c>
      <c r="CY39" s="59">
        <f ca="1">AVERAGE(OFFSET($CX$3,0,0,'Données projet'!$E$13+1,1))-AVERAGE(OFFSET($H$3,0,0,'Données projet'!$E$13+1,1))</f>
        <v>364.67256251031029</v>
      </c>
      <c r="CZ39" s="59">
        <f t="shared" si="42"/>
        <v>347.4139588390766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66.405005343203442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1.35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4.95</v>
      </c>
      <c r="H40" s="67">
        <f t="shared" si="1"/>
        <v>236.86666666666665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51.998489924038495</v>
      </c>
      <c r="T40" s="59">
        <f t="shared" si="34"/>
        <v>206.32767973856241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30.305069617336461</v>
      </c>
      <c r="AA40" s="21">
        <f>EXP(-LN(2)/25)*AA39+(1-EXP(-LN(2)/25))/(LN(2)/25)*Calculateur!V40*Calculateur!X40*VLOOKUP('Données projet'!$B$9,Paramètres!$A$1:$I$89,3,0)*0.475*44/12</f>
        <v>7.3195864827996031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37.624656100136065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16.701250000000002</v>
      </c>
      <c r="AI40" s="13">
        <f>IF('Données projet'!$A$62&gt;35,AI39+AH40-AQ39,IF(A40&lt;'Données projet'!$A$62,$AF$205^A40,IF(A40='Données projet'!$A$62,'Données projet'!$B$62,AI39+AH40-AQ39)))</f>
        <v>233.73500000000007</v>
      </c>
      <c r="AJ40" s="13">
        <f>AI40*VLOOKUP('Données projet'!$B$10,Paramètres!$A$1:$I$89,3,0)*VLOOKUP('Données projet'!$B$10,Paramètres!$A$1:$I$89,5,0)</f>
        <v>139.77353000000005</v>
      </c>
      <c r="AK40" s="13">
        <f t="shared" si="35"/>
        <v>36.245119510821418</v>
      </c>
      <c r="AL40" s="20">
        <f t="shared" si="4"/>
        <v>306.56581456468069</v>
      </c>
      <c r="AM40" s="59">
        <f t="shared" si="5"/>
        <v>586.94617293009514</v>
      </c>
      <c r="AN40" s="59">
        <f ca="1">AVERAGE(OFFSET($AM$3,0,0,'Données projet'!$E$10+1,1))-AVERAGE(OFFSET($H$3,0,0,'Données projet'!$E$10+1,1))</f>
        <v>356.02637444732096</v>
      </c>
      <c r="AO40" s="59">
        <f t="shared" si="36"/>
        <v>263.30053404008095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7.485633141454751</v>
      </c>
      <c r="AV40" s="21">
        <f>EXP(-LN(2)/25)*AV39+(1-EXP(-LN(2)/25))/(LN(2)/25)*Calculateur!AQ40*Calculateur!AS40*VLOOKUP('Données projet'!$B$10,Paramètres!$A$1:$I$89,3,0)*0.475*44/12</f>
        <v>26.014838334495966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33.500471475950718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4.5104999999999995</v>
      </c>
      <c r="BD40" s="12">
        <f>IF('Données projet'!$A$88&gt;35,BD39+BC40-BL39,IF(A40&lt;'Données projet'!$A$88,$BA$205^A40,IF(A40='Données projet'!$A$88,'Données projet'!$B$88,BD39+BC40-BL39)))</f>
        <v>166.88849999999996</v>
      </c>
      <c r="BE40" s="13">
        <f>BD40*VLOOKUP('Données projet'!$B$11,Paramètres!$A$1:$I$89,3,0)*VLOOKUP('Données projet'!$B$11,Paramètres!$A$1:$I$89,5,0)</f>
        <v>169.22493899999998</v>
      </c>
      <c r="BF40" s="13">
        <f t="shared" si="37"/>
        <v>42.916389565306943</v>
      </c>
      <c r="BG40" s="20">
        <f t="shared" si="7"/>
        <v>369.47948058457615</v>
      </c>
      <c r="BH40" s="59">
        <f t="shared" si="8"/>
        <v>649.85983894999072</v>
      </c>
      <c r="BI40" s="59">
        <f ca="1">AVERAGE(OFFSET($BH$3,0,0,'Données projet'!$E$11+1,1))-AVERAGE(OFFSET($H$3,0,0,'Données projet'!$E$11+1,1))</f>
        <v>478.2340976873212</v>
      </c>
      <c r="BJ40" s="59">
        <f t="shared" si="38"/>
        <v>342.90128902463823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172.35</v>
      </c>
      <c r="BW40" s="12">
        <f>VLOOKUP(A40,'Données projet'!$A$113:$I$133,9,0)</f>
        <v>12.03</v>
      </c>
      <c r="BX40" s="12">
        <f t="array" ref="BX40">INDEX(BW:BW,MIN(IF(ISNUMBER(BW40:BW236),ROW(BW40:BW236),"")))</f>
        <v>12.03</v>
      </c>
      <c r="BY40" s="12">
        <f>IF('Données projet'!$A$114&gt;35,BY39+BX40-CG39,IF(A40&lt;'Données projet'!$A$114,$BV$205^A40,IF(A40='Données projet'!$A$114,'Données projet'!$B$114,BY39+BX40-CG39)))</f>
        <v>172.35</v>
      </c>
      <c r="BZ40" s="13">
        <f>BY40*VLOOKUP('Données projet'!$B$12,Paramètres!$A$1:$I$89,3,0)*VLOOKUP('Données projet'!$B$12,Paramètres!$A$1:$I$89,5,0)</f>
        <v>155.94227999999998</v>
      </c>
      <c r="CA40" s="13">
        <f t="shared" si="39"/>
        <v>39.925921535820443</v>
      </c>
      <c r="CB40" s="20">
        <f t="shared" si="10"/>
        <v>341.13711767488724</v>
      </c>
      <c r="CC40" s="59">
        <f t="shared" si="11"/>
        <v>621.51747604030174</v>
      </c>
      <c r="CD40" s="59">
        <f ca="1">AVERAGE(OFFSET($CC$3,0,0,'Données projet'!$E$12+1,1))-AVERAGE(OFFSET($H$3,0,0,'Données projet'!$E$12+1,1))</f>
        <v>471.03166569378629</v>
      </c>
      <c r="CE40" s="59">
        <f t="shared" si="40"/>
        <v>259.15709238853287</v>
      </c>
      <c r="CF40" s="15">
        <f>IF(ISNA(VLOOKUP(A40,'Données projet'!$A$113:$I$133,3,0)),0,VLOOKUP(A40,'Données projet'!$A$113:$I$133,3,0))</f>
        <v>2</v>
      </c>
      <c r="CG40" s="15">
        <f>IF(ISNA(VLOOKUP(A40,'Données projet'!$A$113:$I$133,4,0)),0,VLOOKUP(A40,'Données projet'!$A$113:$I$133,4,0))</f>
        <v>45.38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9.9228571428571435</v>
      </c>
      <c r="CT40" s="12">
        <f>IF('Données projet'!$A$140&gt;35,CT39+CS40-DB39,IF(A40&lt;'Données projet'!$A$140,$CQ$205^A40,IF(A40='Données projet'!$A$140,'Données projet'!$B$140,CT39+CS40-DB39)))</f>
        <v>367.14571428571423</v>
      </c>
      <c r="CU40" s="17">
        <f>CT40*VLOOKUP('Données projet'!$B$13,Paramètres!$A$1:$I$89,3,0)*VLOOKUP('Données projet'!$B$13,Paramètres!$A$1:$I$89,5,0)</f>
        <v>171.82419428571427</v>
      </c>
      <c r="CV40" s="13">
        <f t="shared" si="41"/>
        <v>43.498328282974661</v>
      </c>
      <c r="CW40" s="20">
        <f t="shared" si="13"/>
        <v>375.02006014046651</v>
      </c>
      <c r="CX40" s="59">
        <f t="shared" si="14"/>
        <v>655.40041850588102</v>
      </c>
      <c r="CY40" s="59">
        <f ca="1">AVERAGE(OFFSET($CX$3,0,0,'Données projet'!$E$13+1,1))-AVERAGE(OFFSET($H$3,0,0,'Données projet'!$E$13+1,1))</f>
        <v>364.67256251031029</v>
      </c>
      <c r="CZ40" s="59">
        <f t="shared" si="42"/>
        <v>347.4139588390766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66.46737046329487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1.35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4.95</v>
      </c>
      <c r="H41" s="67">
        <f t="shared" si="1"/>
        <v>236.86666666666665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51.998489924038495</v>
      </c>
      <c r="T41" s="59">
        <f t="shared" si="34"/>
        <v>206.32767973856241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29.710805686407788</v>
      </c>
      <c r="AA41" s="21">
        <f>EXP(-LN(2)/25)*AA40+(1-EXP(-LN(2)/25))/(LN(2)/25)*Calculateur!V41*Calculateur!X41*VLOOKUP('Données projet'!$B$9,Paramètres!$A$1:$I$89,3,0)*0.475*44/12</f>
        <v>7.1194320055071243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36.83023769191491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16.701250000000002</v>
      </c>
      <c r="AI41" s="13">
        <f>IF('Données projet'!$A$62&gt;35,AI40+AH41-AQ40,IF(A41&lt;'Données projet'!$A$62,$AF$205^A41,IF(A41='Données projet'!$A$62,'Données projet'!$B$62,AI40+AH41-AQ40)))</f>
        <v>250.43625000000009</v>
      </c>
      <c r="AJ41" s="13">
        <f>AI41*VLOOKUP('Données projet'!$B$10,Paramètres!$A$1:$I$89,3,0)*VLOOKUP('Données projet'!$B$10,Paramètres!$A$1:$I$89,5,0)</f>
        <v>149.76087750000008</v>
      </c>
      <c r="AK41" s="13">
        <f t="shared" si="35"/>
        <v>38.524239129902824</v>
      </c>
      <c r="AL41" s="20">
        <f t="shared" si="4"/>
        <v>327.9299114637476</v>
      </c>
      <c r="AM41" s="59">
        <f t="shared" si="5"/>
        <v>608.53497498634181</v>
      </c>
      <c r="AN41" s="59">
        <f ca="1">AVERAGE(OFFSET($AM$3,0,0,'Données projet'!$E$10+1,1))-AVERAGE(OFFSET($H$3,0,0,'Données projet'!$E$10+1,1))</f>
        <v>356.02637444732096</v>
      </c>
      <c r="AO41" s="59">
        <f t="shared" si="36"/>
        <v>263.30053404008095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7.3388444413362057</v>
      </c>
      <c r="AV41" s="21">
        <f>EXP(-LN(2)/25)*AV40+(1-EXP(-LN(2)/25))/(LN(2)/25)*Calculateur!AQ41*Calculateur!AS41*VLOOKUP('Données projet'!$B$10,Paramètres!$A$1:$I$89,3,0)*0.475*44/12</f>
        <v>25.303461212178284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32.642305653514491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4.5104999999999995</v>
      </c>
      <c r="BD41" s="12">
        <f>IF('Données projet'!$A$88&gt;35,BD40+BC41-BL40,IF(A41&lt;'Données projet'!$A$88,$BA$205^A41,IF(A41='Données projet'!$A$88,'Données projet'!$B$88,BD40+BC41-BL40)))</f>
        <v>171.39899999999997</v>
      </c>
      <c r="BE41" s="13">
        <f>BD41*VLOOKUP('Données projet'!$B$11,Paramètres!$A$1:$I$89,3,0)*VLOOKUP('Données projet'!$B$11,Paramètres!$A$1:$I$89,5,0)</f>
        <v>173.798586</v>
      </c>
      <c r="BF41" s="13">
        <f t="shared" si="37"/>
        <v>43.939683206463229</v>
      </c>
      <c r="BG41" s="20">
        <f t="shared" si="7"/>
        <v>379.22748553459013</v>
      </c>
      <c r="BH41" s="59">
        <f t="shared" si="8"/>
        <v>659.83254905718434</v>
      </c>
      <c r="BI41" s="59">
        <f ca="1">AVERAGE(OFFSET($BH$3,0,0,'Données projet'!$E$11+1,1))-AVERAGE(OFFSET($H$3,0,0,'Données projet'!$E$11+1,1))</f>
        <v>478.2340976873212</v>
      </c>
      <c r="BJ41" s="59">
        <f t="shared" si="38"/>
        <v>342.90128902463823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12.206666666666669</v>
      </c>
      <c r="BY41" s="12">
        <f>IF('Données projet'!$A$114&gt;35,BY40+BX41-CG40,IF(A41&lt;'Données projet'!$A$114,$BV$205^A41,IF(A41='Données projet'!$A$114,'Données projet'!$B$114,BY40+BX41-CG40)))</f>
        <v>139.17666666666668</v>
      </c>
      <c r="BZ41" s="13">
        <f>BY41*VLOOKUP('Données projet'!$B$12,Paramètres!$A$1:$I$89,3,0)*VLOOKUP('Données projet'!$B$12,Paramètres!$A$1:$I$89,5,0)</f>
        <v>125.927048</v>
      </c>
      <c r="CA41" s="13">
        <f t="shared" si="39"/>
        <v>33.053483261950589</v>
      </c>
      <c r="CB41" s="20">
        <f t="shared" si="10"/>
        <v>276.89109194789728</v>
      </c>
      <c r="CC41" s="59">
        <f t="shared" si="11"/>
        <v>557.49615547049143</v>
      </c>
      <c r="CD41" s="59">
        <f ca="1">AVERAGE(OFFSET($CC$3,0,0,'Données projet'!$E$12+1,1))-AVERAGE(OFFSET($H$3,0,0,'Données projet'!$E$12+1,1))</f>
        <v>471.03166569378629</v>
      </c>
      <c r="CE41" s="59">
        <f t="shared" si="40"/>
        <v>259.15709238853287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9.9228571428571435</v>
      </c>
      <c r="CT41" s="12">
        <f>IF('Données projet'!$A$140&gt;35,CT40+CS41-DB40,IF(A41&lt;'Données projet'!$A$140,$CQ$205^A41,IF(A41='Données projet'!$A$140,'Données projet'!$B$140,CT40+CS41-DB40)))</f>
        <v>377.06857142857137</v>
      </c>
      <c r="CU41" s="17">
        <f>CT41*VLOOKUP('Données projet'!$B$13,Paramètres!$A$1:$I$89,3,0)*VLOOKUP('Données projet'!$B$13,Paramètres!$A$1:$I$89,5,0)</f>
        <v>176.4680914285714</v>
      </c>
      <c r="CV41" s="13">
        <f t="shared" si="41"/>
        <v>44.535497606483588</v>
      </c>
      <c r="CW41" s="20">
        <f t="shared" si="13"/>
        <v>384.91458423605405</v>
      </c>
      <c r="CX41" s="59">
        <f t="shared" si="14"/>
        <v>665.51964775864826</v>
      </c>
      <c r="CY41" s="59">
        <f ca="1">AVERAGE(OFFSET($CX$3,0,0,'Données projet'!$E$13+1,1))-AVERAGE(OFFSET($H$3,0,0,'Données projet'!$E$13+1,1))</f>
        <v>364.67256251031029</v>
      </c>
      <c r="CZ41" s="59">
        <f t="shared" si="42"/>
        <v>347.4139588390766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66.528653687980238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1.35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4.95</v>
      </c>
      <c r="H42" s="67">
        <f t="shared" si="1"/>
        <v>236.86666666666665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51.998489924038495</v>
      </c>
      <c r="T42" s="59">
        <f t="shared" si="34"/>
        <v>206.32767973856241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29.12819490869942</v>
      </c>
      <c r="AA42" s="21">
        <f>EXP(-LN(2)/25)*AA41+(1-EXP(-LN(2)/25))/(LN(2)/25)*Calculateur!V42*Calculateur!X42*VLOOKUP('Données projet'!$B$9,Paramètres!$A$1:$I$89,3,0)*0.475*44/12</f>
        <v>6.9247507629218745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36.052945671621295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16.701250000000002</v>
      </c>
      <c r="AI42" s="13">
        <f>IF('Données projet'!$A$62&gt;35,AI41+AH42-AQ41,IF(A42&lt;'Données projet'!$A$62,$AF$205^A42,IF(A42='Données projet'!$A$62,'Données projet'!$B$62,AI41+AH42-AQ41)))</f>
        <v>267.1375000000001</v>
      </c>
      <c r="AJ42" s="13">
        <f>AI42*VLOOKUP('Données projet'!$B$10,Paramètres!$A$1:$I$89,3,0)*VLOOKUP('Données projet'!$B$10,Paramètres!$A$1:$I$89,5,0)</f>
        <v>159.74822500000008</v>
      </c>
      <c r="AK42" s="13">
        <f t="shared" si="35"/>
        <v>40.785721648734771</v>
      </c>
      <c r="AL42" s="20">
        <f t="shared" si="4"/>
        <v>349.26329041321316</v>
      </c>
      <c r="AM42" s="59">
        <f t="shared" si="5"/>
        <v>630.08916096087546</v>
      </c>
      <c r="AN42" s="59">
        <f ca="1">AVERAGE(OFFSET($AM$3,0,0,'Données projet'!$E$10+1,1))-AVERAGE(OFFSET($H$3,0,0,'Données projet'!$E$10+1,1))</f>
        <v>356.02637444732096</v>
      </c>
      <c r="AO42" s="59">
        <f t="shared" si="36"/>
        <v>263.30053404008095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7.1949341780947185</v>
      </c>
      <c r="AV42" s="21">
        <f>EXP(-LN(2)/25)*AV41+(1-EXP(-LN(2)/25))/(LN(2)/25)*Calculateur!AQ42*Calculateur!AS42*VLOOKUP('Données projet'!$B$10,Paramètres!$A$1:$I$89,3,0)*0.475*44/12</f>
        <v>24.611536734680076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31.806470912774795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4.5104999999999995</v>
      </c>
      <c r="BD42" s="12">
        <f>IF('Données projet'!$A$88&gt;35,BD41+BC42-BL41,IF(A42&lt;'Données projet'!$A$88,$BA$205^A42,IF(A42='Données projet'!$A$88,'Données projet'!$B$88,BD41+BC42-BL41)))</f>
        <v>175.90949999999998</v>
      </c>
      <c r="BE42" s="13">
        <f>BD42*VLOOKUP('Données projet'!$B$11,Paramètres!$A$1:$I$89,3,0)*VLOOKUP('Données projet'!$B$11,Paramètres!$A$1:$I$89,5,0)</f>
        <v>178.37223299999999</v>
      </c>
      <c r="BF42" s="13">
        <f t="shared" si="37"/>
        <v>44.959846751694165</v>
      </c>
      <c r="BG42" s="20">
        <f t="shared" si="7"/>
        <v>388.97003890086734</v>
      </c>
      <c r="BH42" s="59">
        <f t="shared" si="8"/>
        <v>669.79590944852964</v>
      </c>
      <c r="BI42" s="59">
        <f ca="1">AVERAGE(OFFSET($BH$3,0,0,'Données projet'!$E$11+1,1))-AVERAGE(OFFSET($H$3,0,0,'Données projet'!$E$11+1,1))</f>
        <v>478.2340976873212</v>
      </c>
      <c r="BJ42" s="59">
        <f t="shared" si="38"/>
        <v>342.90128902463823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12.206666666666669</v>
      </c>
      <c r="BY42" s="12">
        <f>IF('Données projet'!$A$114&gt;35,BY41+BX42-CG41,IF(A42&lt;'Données projet'!$A$114,$BV$205^A42,IF(A42='Données projet'!$A$114,'Données projet'!$B$114,BY41+BX42-CG41)))</f>
        <v>151.38333333333335</v>
      </c>
      <c r="BZ42" s="13">
        <f>BY42*VLOOKUP('Données projet'!$B$12,Paramètres!$A$1:$I$89,3,0)*VLOOKUP('Données projet'!$B$12,Paramètres!$A$1:$I$89,5,0)</f>
        <v>136.97164000000001</v>
      </c>
      <c r="CA42" s="13">
        <f t="shared" si="39"/>
        <v>35.602370242154976</v>
      </c>
      <c r="CB42" s="20">
        <f t="shared" si="10"/>
        <v>300.56640117175328</v>
      </c>
      <c r="CC42" s="59">
        <f t="shared" si="11"/>
        <v>581.39227171941559</v>
      </c>
      <c r="CD42" s="59">
        <f ca="1">AVERAGE(OFFSET($CC$3,0,0,'Données projet'!$E$12+1,1))-AVERAGE(OFFSET($H$3,0,0,'Données projet'!$E$12+1,1))</f>
        <v>471.03166569378629</v>
      </c>
      <c r="CE42" s="59">
        <f t="shared" si="40"/>
        <v>259.15709238853287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9.9228571428571435</v>
      </c>
      <c r="CT42" s="12">
        <f>IF('Données projet'!$A$140&gt;35,CT41+CS42-DB41,IF(A42&lt;'Données projet'!$A$140,$CQ$205^A42,IF(A42='Données projet'!$A$140,'Données projet'!$B$140,CT41+CS42-DB41)))</f>
        <v>386.99142857142851</v>
      </c>
      <c r="CU42" s="17">
        <f>CT42*VLOOKUP('Données projet'!$B$13,Paramètres!$A$1:$I$89,3,0)*VLOOKUP('Données projet'!$B$13,Paramètres!$A$1:$I$89,5,0)</f>
        <v>181.11198857142855</v>
      </c>
      <c r="CV42" s="13">
        <f t="shared" si="41"/>
        <v>45.569494390515281</v>
      </c>
      <c r="CW42" s="20">
        <f t="shared" si="13"/>
        <v>394.80358282538549</v>
      </c>
      <c r="CX42" s="59">
        <f t="shared" si="14"/>
        <v>675.6294533730478</v>
      </c>
      <c r="CY42" s="59">
        <f ca="1">AVERAGE(OFFSET($CX$3,0,0,'Données projet'!$E$13+1,1))-AVERAGE(OFFSET($H$3,0,0,'Données projet'!$E$13+1,1))</f>
        <v>364.67256251031029</v>
      </c>
      <c r="CZ42" s="59">
        <f t="shared" si="42"/>
        <v>347.4139588390766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66.588873785726079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1.35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4.95</v>
      </c>
      <c r="H43" s="67">
        <f t="shared" si="1"/>
        <v>236.86666666666665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51.998489924038495</v>
      </c>
      <c r="T43" s="59">
        <f t="shared" si="34"/>
        <v>206.32767973856241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28.557008772984428</v>
      </c>
      <c r="AA43" s="21">
        <f>EXP(-LN(2)/25)*AA42+(1-EXP(-LN(2)/25))/(LN(2)/25)*Calculateur!V43*Calculateur!X43*VLOOKUP('Données projet'!$B$9,Paramètres!$A$1:$I$89,3,0)*0.475*44/12</f>
        <v>6.7353930891529599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35.292401862137389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16.701250000000002</v>
      </c>
      <c r="AI43" s="13">
        <f>IF('Données projet'!$A$62&gt;35,AI42+AH43-AQ42,IF(A43&lt;'Données projet'!$A$62,$AF$205^A43,IF(A43='Données projet'!$A$62,'Données projet'!$B$62,AI42+AH43-AQ42)))</f>
        <v>283.83875000000012</v>
      </c>
      <c r="AJ43" s="13">
        <f>AI43*VLOOKUP('Données projet'!$B$10,Paramètres!$A$1:$I$89,3,0)*VLOOKUP('Données projet'!$B$10,Paramètres!$A$1:$I$89,5,0)</f>
        <v>169.73557250000007</v>
      </c>
      <c r="AK43" s="13">
        <f t="shared" si="35"/>
        <v>43.030795257249402</v>
      </c>
      <c r="AL43" s="20">
        <f t="shared" si="4"/>
        <v>370.56809051054279</v>
      </c>
      <c r="AM43" s="59">
        <f t="shared" si="5"/>
        <v>651.61093757503875</v>
      </c>
      <c r="AN43" s="59">
        <f ca="1">AVERAGE(OFFSET($AM$3,0,0,'Données projet'!$E$10+1,1))-AVERAGE(OFFSET($H$3,0,0,'Données projet'!$E$10+1,1))</f>
        <v>356.02637444732096</v>
      </c>
      <c r="AO43" s="59">
        <f t="shared" si="36"/>
        <v>263.30053404008095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7.053845907338804</v>
      </c>
      <c r="AV43" s="21">
        <f>EXP(-LN(2)/25)*AV42+(1-EXP(-LN(2)/25))/(LN(2)/25)*Calculateur!AQ43*Calculateur!AS43*VLOOKUP('Données projet'!$B$10,Paramètres!$A$1:$I$89,3,0)*0.475*44/12</f>
        <v>23.938532968405784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30.992378875744588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180.42</v>
      </c>
      <c r="BB43" s="12">
        <f>VLOOKUP(A43,'Données projet'!$A$87:$I$107,9,0)</f>
        <v>4.5104999999999995</v>
      </c>
      <c r="BC43" s="12">
        <f t="array" ref="BC43">INDEX(BB:BB,MIN(IF(ISNUMBER(BB43:BB239),ROW(BB43:BB239),"")))</f>
        <v>4.5104999999999995</v>
      </c>
      <c r="BD43" s="12">
        <f>IF('Données projet'!$A$88&gt;35,BD42+BC43-BL42,IF(A43&lt;'Données projet'!$A$88,$BA$205^A43,IF(A43='Données projet'!$A$88,'Données projet'!$B$88,BD42+BC43-BL42)))</f>
        <v>180.42</v>
      </c>
      <c r="BE43" s="13">
        <f>BD43*VLOOKUP('Données projet'!$B$11,Paramètres!$A$1:$I$89,3,0)*VLOOKUP('Données projet'!$B$11,Paramètres!$A$1:$I$89,5,0)</f>
        <v>182.94587999999999</v>
      </c>
      <c r="BF43" s="13">
        <f t="shared" si="37"/>
        <v>45.976969688266045</v>
      </c>
      <c r="BG43" s="20">
        <f t="shared" si="7"/>
        <v>398.70729654039661</v>
      </c>
      <c r="BH43" s="59">
        <f t="shared" si="8"/>
        <v>679.75014360489263</v>
      </c>
      <c r="BI43" s="59">
        <f ca="1">AVERAGE(OFFSET($BH$3,0,0,'Données projet'!$E$11+1,1))-AVERAGE(OFFSET($H$3,0,0,'Données projet'!$E$11+1,1))</f>
        <v>478.2340976873212</v>
      </c>
      <c r="BJ43" s="59">
        <f t="shared" si="38"/>
        <v>342.90128902463823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84.13</v>
      </c>
      <c r="BM43" s="16">
        <f>IF(ISNA(VLOOKUP(A43,'Données projet'!$A$87:$I$107,5,0)),0%,VLOOKUP(A43,'Données projet'!$A$87:$I$107,5,0)*VLOOKUP('Données projet'!$B$11,Paramètres!$A$1:$I$89,7,0))</f>
        <v>0.129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12.16537959167619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12.16537959167619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12.206666666666669</v>
      </c>
      <c r="BY43" s="12">
        <f>IF('Données projet'!$A$114&gt;35,BY42+BX43-CG42,IF(A43&lt;'Données projet'!$A$114,$BV$205^A43,IF(A43='Données projet'!$A$114,'Données projet'!$B$114,BY42+BX43-CG42)))</f>
        <v>163.59000000000003</v>
      </c>
      <c r="BZ43" s="13">
        <f>BY43*VLOOKUP('Données projet'!$B$12,Paramètres!$A$1:$I$89,3,0)*VLOOKUP('Données projet'!$B$12,Paramètres!$A$1:$I$89,5,0)</f>
        <v>148.01623200000003</v>
      </c>
      <c r="CA43" s="13">
        <f t="shared" si="39"/>
        <v>38.127418508766141</v>
      </c>
      <c r="CB43" s="20">
        <f t="shared" si="10"/>
        <v>324.20019130276773</v>
      </c>
      <c r="CC43" s="59">
        <f t="shared" si="11"/>
        <v>605.24303836726369</v>
      </c>
      <c r="CD43" s="59">
        <f ca="1">AVERAGE(OFFSET($CC$3,0,0,'Données projet'!$E$12+1,1))-AVERAGE(OFFSET($H$3,0,0,'Données projet'!$E$12+1,1))</f>
        <v>471.03166569378629</v>
      </c>
      <c r="CE43" s="59">
        <f t="shared" si="40"/>
        <v>259.15709238853287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9.9228571428571435</v>
      </c>
      <c r="CT43" s="12">
        <f>IF('Données projet'!$A$140&gt;35,CT42+CS43-DB42,IF(A43&lt;'Données projet'!$A$140,$CQ$205^A43,IF(A43='Données projet'!$A$140,'Données projet'!$B$140,CT42+CS43-DB42)))</f>
        <v>396.91428571428565</v>
      </c>
      <c r="CU43" s="17">
        <f>CT43*VLOOKUP('Données projet'!$B$13,Paramètres!$A$1:$I$89,3,0)*VLOOKUP('Données projet'!$B$13,Paramètres!$A$1:$I$89,5,0)</f>
        <v>185.75588571428571</v>
      </c>
      <c r="CV43" s="13">
        <f t="shared" si="41"/>
        <v>46.60040933576763</v>
      </c>
      <c r="CW43" s="20">
        <f t="shared" si="13"/>
        <v>404.6872138788429</v>
      </c>
      <c r="CX43" s="59">
        <f t="shared" si="14"/>
        <v>685.73006094333891</v>
      </c>
      <c r="CY43" s="59">
        <f ca="1">AVERAGE(OFFSET($CX$3,0,0,'Données projet'!$E$13+1,1))-AVERAGE(OFFSET($H$3,0,0,'Données projet'!$E$13+1,1))</f>
        <v>364.67256251031029</v>
      </c>
      <c r="CZ43" s="59">
        <f t="shared" si="42"/>
        <v>347.4139588390766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66.648049199407993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1.35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4.95</v>
      </c>
      <c r="H44" s="67">
        <f t="shared" si="1"/>
        <v>236.86666666666665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51.998489924038495</v>
      </c>
      <c r="T44" s="59">
        <f t="shared" si="34"/>
        <v>206.32767973856241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27.997023249001664</v>
      </c>
      <c r="AA44" s="21">
        <f>EXP(-LN(2)/25)*AA43+(1-EXP(-LN(2)/25))/(LN(2)/25)*Calculateur!V44*Calculateur!X44*VLOOKUP('Données projet'!$B$9,Paramètres!$A$1:$I$89,3,0)*0.475*44/12</f>
        <v>6.551213410931144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34.548236659932812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300.54000000000002</v>
      </c>
      <c r="AG44" s="12">
        <f>VLOOKUP(A44,'Données projet'!$A$61:$I$81,9,0)</f>
        <v>16.701250000000002</v>
      </c>
      <c r="AH44" s="12">
        <f t="array" ref="AH44">INDEX(AG:AG,MIN(IF(ISNUMBER(AG44:AG240),ROW(AG44:AG240),"")))</f>
        <v>16.701250000000002</v>
      </c>
      <c r="AI44" s="13">
        <f>IF('Données projet'!$A$62&gt;35,AI43+AH44-AQ43,IF(A44&lt;'Données projet'!$A$62,$AF$205^A44,IF(A44='Données projet'!$A$62,'Données projet'!$B$62,AI43+AH44-AQ43)))</f>
        <v>300.54000000000013</v>
      </c>
      <c r="AJ44" s="13">
        <f>AI44*VLOOKUP('Données projet'!$B$10,Paramètres!$A$1:$I$89,3,0)*VLOOKUP('Données projet'!$B$10,Paramètres!$A$1:$I$89,5,0)</f>
        <v>179.72292000000007</v>
      </c>
      <c r="AK44" s="13">
        <f t="shared" si="35"/>
        <v>45.260535445550182</v>
      </c>
      <c r="AL44" s="20">
        <f t="shared" si="4"/>
        <v>391.84618490100002</v>
      </c>
      <c r="AM44" s="59">
        <f t="shared" si="5"/>
        <v>673.10224442484946</v>
      </c>
      <c r="AN44" s="59">
        <f ca="1">AVERAGE(OFFSET($AM$3,0,0,'Données projet'!$E$10+1,1))-AVERAGE(OFFSET($H$3,0,0,'Données projet'!$E$10+1,1))</f>
        <v>356.02637444732096</v>
      </c>
      <c r="AO44" s="59">
        <f t="shared" si="36"/>
        <v>263.30053404008095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72.13</v>
      </c>
      <c r="AR44" s="16">
        <f>IF(ISNA(VLOOKUP(A44,'Données projet'!$A$61:$I$81,5,0)),0%,VLOOKUP(A44,'Données projet'!$A$61:$I$81,5,0)*VLOOKUP('Données projet'!$B$10,Paramètres!$A$1:$I$89,7,0))</f>
        <v>0.13500000000000001</v>
      </c>
      <c r="AS44" s="16">
        <f>IF(ISNA(VLOOKUP(A44,'Données projet'!$A$61:$I$81,6,0)),0%,VLOOKUP(A44,'Données projet'!$A$61:$I$81,6,0)*VLOOKUP('Données projet'!$B$10,Paramètres!$A$1:$I$89,7,0))</f>
        <v>0.22500000000000001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14.640181943930113</v>
      </c>
      <c r="AV44" s="21">
        <f>EXP(-LN(2)/25)*AV43+(1-EXP(-LN(2)/25))/(LN(2)/25)*Calculateur!AQ44*Calculateur!AS44*VLOOKUP('Données projet'!$B$10,Paramètres!$A$1:$I$89,3,0)*0.475*44/12</f>
        <v>36.107670412028959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50.747852355959068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8.7714285714285722</v>
      </c>
      <c r="BD44" s="12">
        <f>IF('Données projet'!$A$88&gt;35,BD43+BC44-BL43,IF(A44&lt;'Données projet'!$A$88,$BA$205^A44,IF(A44='Données projet'!$A$88,'Données projet'!$B$88,BD43+BC44-BL43)))</f>
        <v>105.06142857142856</v>
      </c>
      <c r="BE44" s="13">
        <f>BD44*VLOOKUP('Données projet'!$B$11,Paramètres!$A$1:$I$89,3,0)*VLOOKUP('Données projet'!$B$11,Paramètres!$A$1:$I$89,5,0)</f>
        <v>106.53228857142858</v>
      </c>
      <c r="BF44" s="13">
        <f t="shared" si="37"/>
        <v>28.512447813527398</v>
      </c>
      <c r="BG44" s="20">
        <f t="shared" si="7"/>
        <v>235.20291587046498</v>
      </c>
      <c r="BH44" s="59">
        <f t="shared" si="8"/>
        <v>516.45897539431439</v>
      </c>
      <c r="BI44" s="59">
        <f ca="1">AVERAGE(OFFSET($BH$3,0,0,'Données projet'!$E$11+1,1))-AVERAGE(OFFSET($H$3,0,0,'Données projet'!$E$11+1,1))</f>
        <v>478.2340976873212</v>
      </c>
      <c r="BJ44" s="59">
        <f t="shared" si="38"/>
        <v>342.90128902463823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11.926823918032293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11.926823918032293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12.206666666666669</v>
      </c>
      <c r="BY44" s="12">
        <f>IF('Données projet'!$A$114&gt;35,BY43+BX44-CG43,IF(A44&lt;'Données projet'!$A$114,$BV$205^A44,IF(A44='Données projet'!$A$114,'Données projet'!$B$114,BY43+BX44-CG43)))</f>
        <v>175.79666666666671</v>
      </c>
      <c r="BZ44" s="13">
        <f>BY44*VLOOKUP('Données projet'!$B$12,Paramètres!$A$1:$I$89,3,0)*VLOOKUP('Données projet'!$B$12,Paramètres!$A$1:$I$89,5,0)</f>
        <v>159.06082400000003</v>
      </c>
      <c r="CA44" s="13">
        <f t="shared" si="39"/>
        <v>40.630609112003604</v>
      </c>
      <c r="CB44" s="20">
        <f t="shared" si="10"/>
        <v>347.79591267007299</v>
      </c>
      <c r="CC44" s="59">
        <f t="shared" si="11"/>
        <v>629.05197219392244</v>
      </c>
      <c r="CD44" s="59">
        <f ca="1">AVERAGE(OFFSET($CC$3,0,0,'Données projet'!$E$12+1,1))-AVERAGE(OFFSET($H$3,0,0,'Données projet'!$E$12+1,1))</f>
        <v>471.03166569378629</v>
      </c>
      <c r="CE44" s="59">
        <f t="shared" si="40"/>
        <v>259.15709238853287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9.9228571428571435</v>
      </c>
      <c r="CT44" s="12">
        <f>IF('Données projet'!$A$140&gt;35,CT43+CS44-DB43,IF(A44&lt;'Données projet'!$A$140,$CQ$205^A44,IF(A44='Données projet'!$A$140,'Données projet'!$B$140,CT43+CS44-DB43)))</f>
        <v>406.83714285714279</v>
      </c>
      <c r="CU44" s="17">
        <f>CT44*VLOOKUP('Données projet'!$B$13,Paramètres!$A$1:$I$89,3,0)*VLOOKUP('Données projet'!$B$13,Paramètres!$A$1:$I$89,5,0)</f>
        <v>190.39978285714281</v>
      </c>
      <c r="CV44" s="13">
        <f t="shared" si="41"/>
        <v>47.628328349435108</v>
      </c>
      <c r="CW44" s="20">
        <f t="shared" si="13"/>
        <v>414.56562701812322</v>
      </c>
      <c r="CX44" s="59">
        <f t="shared" si="14"/>
        <v>695.82168654197267</v>
      </c>
      <c r="CY44" s="59">
        <f ca="1">AVERAGE(OFFSET($CX$3,0,0,'Données projet'!$E$13+1,1))-AVERAGE(OFFSET($H$3,0,0,'Données projet'!$E$13+1,1))</f>
        <v>364.67256251031029</v>
      </c>
      <c r="CZ44" s="59">
        <f t="shared" si="42"/>
        <v>347.4139588390766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66.706198051958921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1.35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4.95</v>
      </c>
      <c r="H45" s="67">
        <f t="shared" si="1"/>
        <v>236.86666666666665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51.998489924038495</v>
      </c>
      <c r="T45" s="59">
        <f t="shared" si="34"/>
        <v>206.32767973856241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27.448018699586758</v>
      </c>
      <c r="AA45" s="21">
        <f>EXP(-LN(2)/25)*AA44+(1-EXP(-LN(2)/25))/(LN(2)/25)*Calculateur!V45*Calculateur!X45*VLOOKUP('Données projet'!$B$9,Paramètres!$A$1:$I$89,3,0)*0.475*44/12</f>
        <v>6.3720701356958918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33.820088835282647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15.725555555555552</v>
      </c>
      <c r="AI45" s="13">
        <f>IF('Données projet'!$A$62&gt;35,AI44+AH45-AQ44,IF(A45&lt;'Données projet'!$A$62,$AF$205^A45,IF(A45='Données projet'!$A$62,'Données projet'!$B$62,AI44+AH45-AQ44)))</f>
        <v>244.1355555555557</v>
      </c>
      <c r="AJ45" s="13">
        <f>AI45*VLOOKUP('Données projet'!$B$10,Paramètres!$A$1:$I$89,3,0)*VLOOKUP('Données projet'!$B$10,Paramètres!$A$1:$I$89,5,0)</f>
        <v>145.99306222222231</v>
      </c>
      <c r="AK45" s="13">
        <f t="shared" si="35"/>
        <v>37.666564668799332</v>
      </c>
      <c r="AL45" s="20">
        <f t="shared" si="4"/>
        <v>319.87385016852937</v>
      </c>
      <c r="AM45" s="59">
        <f t="shared" si="5"/>
        <v>601.33942339223404</v>
      </c>
      <c r="AN45" s="59">
        <f ca="1">AVERAGE(OFFSET($AM$3,0,0,'Données projet'!$E$10+1,1))-AVERAGE(OFFSET($H$3,0,0,'Données projet'!$E$10+1,1))</f>
        <v>356.02637444732096</v>
      </c>
      <c r="AO45" s="59">
        <f t="shared" si="36"/>
        <v>263.30053404008095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14.353096905638902</v>
      </c>
      <c r="AV45" s="21">
        <f>EXP(-LN(2)/25)*AV44+(1-EXP(-LN(2)/25))/(LN(2)/25)*Calculateur!AQ45*Calculateur!AS45*VLOOKUP('Données projet'!$B$10,Paramètres!$A$1:$I$89,3,0)*0.475*44/12</f>
        <v>35.120304265792164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49.473401171431064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8.7714285714285722</v>
      </c>
      <c r="BD45" s="12">
        <f>IF('Données projet'!$A$88&gt;35,BD44+BC45-BL44,IF(A45&lt;'Données projet'!$A$88,$BA$205^A45,IF(A45='Données projet'!$A$88,'Données projet'!$B$88,BD44+BC45-BL44)))</f>
        <v>113.83285714285714</v>
      </c>
      <c r="BE45" s="13">
        <f>BD45*VLOOKUP('Données projet'!$B$11,Paramètres!$A$1:$I$89,3,0)*VLOOKUP('Données projet'!$B$11,Paramètres!$A$1:$I$89,5,0)</f>
        <v>115.42651714285714</v>
      </c>
      <c r="BF45" s="13">
        <f t="shared" si="37"/>
        <v>30.605909205591352</v>
      </c>
      <c r="BG45" s="20">
        <f t="shared" si="7"/>
        <v>254.33980922354775</v>
      </c>
      <c r="BH45" s="59">
        <f t="shared" si="8"/>
        <v>535.80538244725244</v>
      </c>
      <c r="BI45" s="59">
        <f ca="1">AVERAGE(OFFSET($BH$3,0,0,'Données projet'!$E$11+1,1))-AVERAGE(OFFSET($H$3,0,0,'Données projet'!$E$11+1,1))</f>
        <v>478.2340976873212</v>
      </c>
      <c r="BJ45" s="59">
        <f t="shared" si="38"/>
        <v>342.90128902463823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11.692946175643957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11.692946175643957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12.206666666666669</v>
      </c>
      <c r="BY45" s="12">
        <f>IF('Données projet'!$A$114&gt;35,BY44+BX45-CG44,IF(A45&lt;'Données projet'!$A$114,$BV$205^A45,IF(A45='Données projet'!$A$114,'Données projet'!$B$114,BY44+BX45-CG44)))</f>
        <v>188.00333333333339</v>
      </c>
      <c r="BZ45" s="13">
        <f>BY45*VLOOKUP('Données projet'!$B$12,Paramètres!$A$1:$I$89,3,0)*VLOOKUP('Données projet'!$B$12,Paramètres!$A$1:$I$89,5,0)</f>
        <v>170.10541600000005</v>
      </c>
      <c r="CA45" s="13">
        <f t="shared" si="39"/>
        <v>43.113632410716306</v>
      </c>
      <c r="CB45" s="20">
        <f t="shared" si="10"/>
        <v>371.35650931533092</v>
      </c>
      <c r="CC45" s="59">
        <f t="shared" si="11"/>
        <v>652.82208253903559</v>
      </c>
      <c r="CD45" s="59">
        <f ca="1">AVERAGE(OFFSET($CC$3,0,0,'Données projet'!$E$12+1,1))-AVERAGE(OFFSET($H$3,0,0,'Données projet'!$E$12+1,1))</f>
        <v>471.03166569378629</v>
      </c>
      <c r="CE45" s="59">
        <f t="shared" si="40"/>
        <v>259.15709238853287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416.76</v>
      </c>
      <c r="CR45" s="12">
        <f>VLOOKUP(A45,'Données projet'!$A$139:$I$159,9,0)</f>
        <v>9.9228571428571435</v>
      </c>
      <c r="CS45" s="12">
        <f t="array" ref="CS45">INDEX(CR:CR,MIN(IF(ISNUMBER(CR45:CR241),ROW(CR45:CR241),"")))</f>
        <v>9.9228571428571435</v>
      </c>
      <c r="CT45" s="12">
        <f>IF('Données projet'!$A$140&gt;35,CT44+CS45-DB44,IF(A45&lt;'Données projet'!$A$140,$CQ$205^A45,IF(A45='Données projet'!$A$140,'Données projet'!$B$140,CT44+CS45-DB44)))</f>
        <v>416.75999999999993</v>
      </c>
      <c r="CU45" s="17">
        <f>CT45*VLOOKUP('Données projet'!$B$13,Paramètres!$A$1:$I$89,3,0)*VLOOKUP('Données projet'!$B$13,Paramètres!$A$1:$I$89,5,0)</f>
        <v>195.04367999999997</v>
      </c>
      <c r="CV45" s="13">
        <f t="shared" si="41"/>
        <v>48.65333290919024</v>
      </c>
      <c r="CW45" s="20">
        <f t="shared" si="13"/>
        <v>424.43896415017292</v>
      </c>
      <c r="CX45" s="59">
        <f t="shared" si="14"/>
        <v>705.9045373738777</v>
      </c>
      <c r="CY45" s="59">
        <f ca="1">AVERAGE(OFFSET($CX$3,0,0,'Données projet'!$E$13+1,1))-AVERAGE(OFFSET($H$3,0,0,'Données projet'!$E$13+1,1))</f>
        <v>364.67256251031029</v>
      </c>
      <c r="CZ45" s="59">
        <f t="shared" si="42"/>
        <v>347.4139588390766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182.39</v>
      </c>
      <c r="DC45" s="16">
        <f>IF(ISNA(VLOOKUP(A45,'Données projet'!$A$139:$I$159,5,0)),0%,VLOOKUP(A45,'Données projet'!$A$139:$I$159,5,0)*VLOOKUP('Données projet'!$B$13,Paramètres!$A$1:$I$89,7,0))</f>
        <v>0.27500000000000002</v>
      </c>
      <c r="DD45" s="16">
        <f>IF(ISNA(VLOOKUP(A45,'Données projet'!$A$139:$I$159,6,0)),0%,VLOOKUP(A45,'Données projet'!$A$139:$I$159,6,0)*VLOOKUP('Données projet'!$B$13,Paramètres!$A$1:$I$89,7,0))</f>
        <v>0.27500000000000002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31.1392341152544</v>
      </c>
      <c r="DG45" s="21">
        <f>EXP(-LN(2)/25)*DG44+(1-EXP(-LN(2)/25))/(LN(2)/25)*Calculateur!DB45*Calculateur!DD45*VLOOKUP('Données projet'!$B$13,Paramètres!$A$1:$I$89,3,0)*0.475*44/12</f>
        <v>31.016627085564249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62.155861200818649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66.76333815191947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1.35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4.95</v>
      </c>
      <c r="H46" s="67">
        <f t="shared" si="1"/>
        <v>236.86666666666665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51.998489924038495</v>
      </c>
      <c r="T46" s="59">
        <f t="shared" si="34"/>
        <v>206.32767973856241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26.90977979452617</v>
      </c>
      <c r="AA46" s="21">
        <f>EXP(-LN(2)/25)*AA45+(1-EXP(-LN(2)/25))/(LN(2)/25)*Calculateur!V46*Calculateur!X46*VLOOKUP('Données projet'!$B$9,Paramètres!$A$1:$I$89,3,0)*0.475*44/12</f>
        <v>6.1978255427426827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33.107605337268851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15.725555555555552</v>
      </c>
      <c r="AI46" s="13">
        <f>IF('Données projet'!$A$62&gt;35,AI45+AH46-AQ45,IF(A46&lt;'Données projet'!$A$62,$AF$205^A46,IF(A46='Données projet'!$A$62,'Données projet'!$B$62,AI45+AH46-AQ45)))</f>
        <v>259.86111111111126</v>
      </c>
      <c r="AJ46" s="13">
        <f>AI46*VLOOKUP('Données projet'!$B$10,Paramètres!$A$1:$I$89,3,0)*VLOOKUP('Données projet'!$B$10,Paramètres!$A$1:$I$89,5,0)</f>
        <v>155.39694444444453</v>
      </c>
      <c r="AK46" s="13">
        <f t="shared" si="35"/>
        <v>39.802526102363792</v>
      </c>
      <c r="AL46" s="20">
        <f t="shared" si="4"/>
        <v>339.97241120235782</v>
      </c>
      <c r="AM46" s="59">
        <f t="shared" si="5"/>
        <v>621.64386353162786</v>
      </c>
      <c r="AN46" s="59">
        <f ca="1">AVERAGE(OFFSET($AM$3,0,0,'Données projet'!$E$10+1,1))-AVERAGE(OFFSET($H$3,0,0,'Données projet'!$E$10+1,1))</f>
        <v>356.02637444732096</v>
      </c>
      <c r="AO46" s="59">
        <f t="shared" si="36"/>
        <v>263.30053404008095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14.071641429843998</v>
      </c>
      <c r="AV46" s="21">
        <f>EXP(-LN(2)/25)*AV45+(1-EXP(-LN(2)/25))/(LN(2)/25)*Calculateur!AQ46*Calculateur!AS46*VLOOKUP('Données projet'!$B$10,Paramètres!$A$1:$I$89,3,0)*0.475*44/12</f>
        <v>34.159937698747548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48.231579128591548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8.7714285714285722</v>
      </c>
      <c r="BD46" s="12">
        <f>IF('Données projet'!$A$88&gt;35,BD45+BC46-BL45,IF(A46&lt;'Données projet'!$A$88,$BA$205^A46,IF(A46='Données projet'!$A$88,'Données projet'!$B$88,BD45+BC46-BL45)))</f>
        <v>122.60428571428571</v>
      </c>
      <c r="BE46" s="13">
        <f>BD46*VLOOKUP('Données projet'!$B$11,Paramètres!$A$1:$I$89,3,0)*VLOOKUP('Données projet'!$B$11,Paramètres!$A$1:$I$89,5,0)</f>
        <v>124.32074571428572</v>
      </c>
      <c r="BF46" s="13">
        <f t="shared" si="37"/>
        <v>32.680658258530741</v>
      </c>
      <c r="BG46" s="20">
        <f t="shared" si="7"/>
        <v>273.44411191932198</v>
      </c>
      <c r="BH46" s="59">
        <f t="shared" si="8"/>
        <v>555.11556424859202</v>
      </c>
      <c r="BI46" s="59">
        <f ca="1">AVERAGE(OFFSET($BH$3,0,0,'Données projet'!$E$11+1,1))-AVERAGE(OFFSET($H$3,0,0,'Données projet'!$E$11+1,1))</f>
        <v>478.2340976873212</v>
      </c>
      <c r="BJ46" s="59">
        <f t="shared" si="38"/>
        <v>342.90128902463823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11.463654633132521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11.463654633132521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>
        <f>VLOOKUP(A46,'Données projet'!$A$113:$I$133,2,0)</f>
        <v>200.21</v>
      </c>
      <c r="BW46" s="12">
        <f>VLOOKUP(A46,'Données projet'!$A$113:$I$133,9,0)</f>
        <v>12.206666666666669</v>
      </c>
      <c r="BX46" s="12">
        <f t="array" ref="BX46">INDEX(BW:BW,MIN(IF(ISNUMBER(BW46:BW242),ROW(BW46:BW242),"")))</f>
        <v>12.206666666666669</v>
      </c>
      <c r="BY46" s="12">
        <f>IF('Données projet'!$A$114&gt;35,BY45+BX46-CG45,IF(A46&lt;'Données projet'!$A$114,$BV$205^A46,IF(A46='Données projet'!$A$114,'Données projet'!$B$114,BY45+BX46-CG45)))</f>
        <v>200.21000000000006</v>
      </c>
      <c r="BZ46" s="13">
        <f>BY46*VLOOKUP('Données projet'!$B$12,Paramètres!$A$1:$I$89,3,0)*VLOOKUP('Données projet'!$B$12,Paramètres!$A$1:$I$89,5,0)</f>
        <v>181.15000800000007</v>
      </c>
      <c r="CA46" s="13">
        <f t="shared" si="39"/>
        <v>45.577946848052541</v>
      </c>
      <c r="CB46" s="20">
        <f t="shared" si="10"/>
        <v>394.88452136035829</v>
      </c>
      <c r="CC46" s="59">
        <f t="shared" si="11"/>
        <v>676.55597368962833</v>
      </c>
      <c r="CD46" s="59">
        <f ca="1">AVERAGE(OFFSET($CC$3,0,0,'Données projet'!$E$12+1,1))-AVERAGE(OFFSET($H$3,0,0,'Données projet'!$E$12+1,1))</f>
        <v>471.03166569378629</v>
      </c>
      <c r="CE46" s="59">
        <f t="shared" si="40"/>
        <v>259.15709238853287</v>
      </c>
      <c r="CF46" s="15">
        <f>IF(ISNA(VLOOKUP(A46,'Données projet'!$A$113:$I$133,3,0)),0,VLOOKUP(A46,'Données projet'!$A$113:$I$133,3,0))</f>
        <v>3</v>
      </c>
      <c r="CG46" s="15">
        <f>IF(ISNA(VLOOKUP(A46,'Données projet'!$A$113:$I$133,4,0)),0,VLOOKUP(A46,'Données projet'!$A$113:$I$133,4,0))</f>
        <v>50.92</v>
      </c>
      <c r="CH46" s="16">
        <f>IF(ISNA(VLOOKUP(A46,'Données projet'!$A$113:$I$133,5,0)),0%,VLOOKUP(A46,'Données projet'!$A$113:$I$133,5,0)*VLOOKUP('Données projet'!$B$12,Paramètres!$A$1:$I$89,7,0))</f>
        <v>0.129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6.5701881649960754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6.5701881649960754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18.127142857142854</v>
      </c>
      <c r="CT46" s="12">
        <f>IF('Données projet'!$A$140&gt;35,CT45+CS46-DB45,IF(A46&lt;'Données projet'!$A$140,$CQ$205^A46,IF(A46='Données projet'!$A$140,'Données projet'!$B$140,CT45+CS46-DB45)))</f>
        <v>252.49714285714282</v>
      </c>
      <c r="CU46" s="17">
        <f>CT46*VLOOKUP('Données projet'!$B$13,Paramètres!$A$1:$I$89,3,0)*VLOOKUP('Données projet'!$B$13,Paramètres!$A$1:$I$89,5,0)</f>
        <v>118.16866285714285</v>
      </c>
      <c r="CV46" s="13">
        <f t="shared" si="41"/>
        <v>31.247488431792092</v>
      </c>
      <c r="CW46" s="20">
        <f t="shared" si="13"/>
        <v>260.23313016156169</v>
      </c>
      <c r="CX46" s="59">
        <f t="shared" si="14"/>
        <v>541.90458249083167</v>
      </c>
      <c r="CY46" s="59">
        <f ca="1">AVERAGE(OFFSET($CX$3,0,0,'Données projet'!$E$13+1,1))-AVERAGE(OFFSET($H$3,0,0,'Données projet'!$E$13+1,1))</f>
        <v>364.67256251031029</v>
      </c>
      <c r="CZ46" s="59">
        <f t="shared" si="42"/>
        <v>347.4139588390766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30.528612727311664</v>
      </c>
      <c r="DG46" s="21">
        <f>EXP(-LN(2)/25)*DG45+(1-EXP(-LN(2)/25))/(LN(2)/25)*Calculateur!DB46*Calculateur!DD46*VLOOKUP('Données projet'!$B$13,Paramètres!$A$1:$I$89,3,0)*0.475*44/12</f>
        <v>30.168475786815964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60.697088514127628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66.819486998891819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1.35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4.95</v>
      </c>
      <c r="H47" s="67">
        <f t="shared" si="1"/>
        <v>236.86666666666665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51.998489924038495</v>
      </c>
      <c r="T47" s="59">
        <f t="shared" si="34"/>
        <v>206.32767973856241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26.382095426100502</v>
      </c>
      <c r="AA47" s="21">
        <f>EXP(-LN(2)/25)*AA46+(1-EXP(-LN(2)/25))/(LN(2)/25)*Calculateur!V47*Calculateur!X47*VLOOKUP('Données projet'!$B$9,Paramètres!$A$1:$I$89,3,0)*0.475*44/12</f>
        <v>6.0283456773469037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32.410441103447404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15.725555555555552</v>
      </c>
      <c r="AI47" s="13">
        <f>IF('Données projet'!$A$62&gt;35,AI46+AH47-AQ46,IF(A47&lt;'Données projet'!$A$62,$AF$205^A47,IF(A47='Données projet'!$A$62,'Données projet'!$B$62,AI46+AH47-AQ46)))</f>
        <v>275.58666666666682</v>
      </c>
      <c r="AJ47" s="13">
        <f>AI47*VLOOKUP('Données projet'!$B$10,Paramètres!$A$1:$I$89,3,0)*VLOOKUP('Données projet'!$B$10,Paramètres!$A$1:$I$89,5,0)</f>
        <v>164.80082666666678</v>
      </c>
      <c r="AK47" s="13">
        <f t="shared" si="35"/>
        <v>41.923485083367801</v>
      </c>
      <c r="AL47" s="20">
        <f t="shared" si="4"/>
        <v>360.04484296464358</v>
      </c>
      <c r="AM47" s="59">
        <f t="shared" si="5"/>
        <v>641.91860285727398</v>
      </c>
      <c r="AN47" s="59">
        <f ca="1">AVERAGE(OFFSET($AM$3,0,0,'Données projet'!$E$10+1,1))-AVERAGE(OFFSET($H$3,0,0,'Données projet'!$E$10+1,1))</f>
        <v>356.02637444732096</v>
      </c>
      <c r="AO47" s="59">
        <f t="shared" si="36"/>
        <v>263.30053404008095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13.795705124258543</v>
      </c>
      <c r="AV47" s="21">
        <f>EXP(-LN(2)/25)*AV46+(1-EXP(-LN(2)/25))/(LN(2)/25)*Calculateur!AQ47*Calculateur!AS47*VLOOKUP('Données projet'!$B$10,Paramètres!$A$1:$I$89,3,0)*0.475*44/12</f>
        <v>33.225832405982246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47.021537530240792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8.7714285714285722</v>
      </c>
      <c r="BD47" s="12">
        <f>IF('Données projet'!$A$88&gt;35,BD46+BC47-BL46,IF(A47&lt;'Données projet'!$A$88,$BA$205^A47,IF(A47='Données projet'!$A$88,'Données projet'!$B$88,BD46+BC47-BL46)))</f>
        <v>131.37571428571428</v>
      </c>
      <c r="BE47" s="13">
        <f>BD47*VLOOKUP('Données projet'!$B$11,Paramètres!$A$1:$I$89,3,0)*VLOOKUP('Données projet'!$B$11,Paramètres!$A$1:$I$89,5,0)</f>
        <v>133.21497428571428</v>
      </c>
      <c r="BF47" s="13">
        <f t="shared" si="37"/>
        <v>34.738185959025927</v>
      </c>
      <c r="BG47" s="20">
        <f t="shared" si="7"/>
        <v>292.51842075958916</v>
      </c>
      <c r="BH47" s="59">
        <f t="shared" si="8"/>
        <v>574.39218065221962</v>
      </c>
      <c r="BI47" s="59">
        <f ca="1">AVERAGE(OFFSET($BH$3,0,0,'Données projet'!$E$11+1,1))-AVERAGE(OFFSET($H$3,0,0,'Données projet'!$E$11+1,1))</f>
        <v>478.2340976873212</v>
      </c>
      <c r="BJ47" s="59">
        <f t="shared" si="38"/>
        <v>342.90128902463823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11.238859357915702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11.238859357915702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11.741666666666665</v>
      </c>
      <c r="BY47" s="12">
        <f>IF('Données projet'!$A$114&gt;35,BY46+BX47-CG46,IF(A47&lt;'Données projet'!$A$114,$BV$205^A47,IF(A47='Données projet'!$A$114,'Données projet'!$B$114,BY46+BX47-CG46)))</f>
        <v>161.03166666666675</v>
      </c>
      <c r="BZ47" s="13">
        <f>BY47*VLOOKUP('Données projet'!$B$12,Paramètres!$A$1:$I$89,3,0)*VLOOKUP('Données projet'!$B$12,Paramètres!$A$1:$I$89,5,0)</f>
        <v>145.70145200000007</v>
      </c>
      <c r="CA47" s="13">
        <f t="shared" si="39"/>
        <v>37.600078276597628</v>
      </c>
      <c r="CB47" s="20">
        <f t="shared" si="10"/>
        <v>319.25016523174099</v>
      </c>
      <c r="CC47" s="59">
        <f t="shared" si="11"/>
        <v>601.12392512437145</v>
      </c>
      <c r="CD47" s="59">
        <f ca="1">AVERAGE(OFFSET($CC$3,0,0,'Données projet'!$E$12+1,1))-AVERAGE(OFFSET($H$3,0,0,'Données projet'!$E$12+1,1))</f>
        <v>471.03166569378629</v>
      </c>
      <c r="CE47" s="59">
        <f t="shared" si="40"/>
        <v>259.15709238853287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6.4413507824995833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6.4413507824995833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18.127142857142854</v>
      </c>
      <c r="CT47" s="12">
        <f>IF('Données projet'!$A$140&gt;35,CT46+CS47-DB46,IF(A47&lt;'Données projet'!$A$140,$CQ$205^A47,IF(A47='Données projet'!$A$140,'Données projet'!$B$140,CT46+CS47-DB46)))</f>
        <v>270.62428571428569</v>
      </c>
      <c r="CU47" s="17">
        <f>CT47*VLOOKUP('Données projet'!$B$13,Paramètres!$A$1:$I$89,3,0)*VLOOKUP('Données projet'!$B$13,Paramètres!$A$1:$I$89,5,0)</f>
        <v>126.6521657142857</v>
      </c>
      <c r="CV47" s="13">
        <f t="shared" si="41"/>
        <v>33.221602407666438</v>
      </c>
      <c r="CW47" s="20">
        <f t="shared" si="13"/>
        <v>278.44681281239997</v>
      </c>
      <c r="CX47" s="59">
        <f t="shared" si="14"/>
        <v>560.32057270503037</v>
      </c>
      <c r="CY47" s="59">
        <f ca="1">AVERAGE(OFFSET($CX$3,0,0,'Données projet'!$E$13+1,1))-AVERAGE(OFFSET($H$3,0,0,'Données projet'!$E$13+1,1))</f>
        <v>364.67256251031029</v>
      </c>
      <c r="CZ47" s="59">
        <f t="shared" si="42"/>
        <v>347.4139588390766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29.929965252344214</v>
      </c>
      <c r="DG47" s="21">
        <f>EXP(-LN(2)/25)*DG46+(1-EXP(-LN(2)/25))/(LN(2)/25)*Calculateur!DB47*Calculateur!DD47*VLOOKUP('Données projet'!$B$13,Paramètres!$A$1:$I$89,3,0)*0.475*44/12</f>
        <v>29.343517229934292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59.27348248227851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66.874661788899218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1.35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4.95</v>
      </c>
      <c r="H48" s="67">
        <f t="shared" si="1"/>
        <v>236.86666666666665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51.998489924038495</v>
      </c>
      <c r="T48" s="59">
        <f t="shared" si="34"/>
        <v>206.32767973856241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25.864758626283979</v>
      </c>
      <c r="AA48" s="21">
        <f>EXP(-LN(2)/25)*AA47+(1-EXP(-LN(2)/25))/(LN(2)/25)*Calculateur!V48*Calculateur!X48*VLOOKUP('Données projet'!$B$9,Paramètres!$A$1:$I$89,3,0)*0.475*44/12</f>
        <v>5.8635002477829312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31.72825887406691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15.725555555555552</v>
      </c>
      <c r="AI48" s="13">
        <f>IF('Données projet'!$A$62&gt;35,AI47+AH48-AQ47,IF(A48&lt;'Données projet'!$A$62,$AF$205^A48,IF(A48='Données projet'!$A$62,'Données projet'!$B$62,AI47+AH48-AQ47)))</f>
        <v>291.31222222222237</v>
      </c>
      <c r="AJ48" s="13">
        <f>AI48*VLOOKUP('Données projet'!$B$10,Paramètres!$A$1:$I$89,3,0)*VLOOKUP('Données projet'!$B$10,Paramètres!$A$1:$I$89,5,0)</f>
        <v>174.204708888889</v>
      </c>
      <c r="AK48" s="13">
        <f t="shared" si="35"/>
        <v>44.030395226989455</v>
      </c>
      <c r="AL48" s="20">
        <f t="shared" si="4"/>
        <v>380.09280633515499</v>
      </c>
      <c r="AM48" s="59">
        <f t="shared" si="5"/>
        <v>662.16536420721354</v>
      </c>
      <c r="AN48" s="59">
        <f ca="1">AVERAGE(OFFSET($AM$3,0,0,'Données projet'!$E$10+1,1))-AVERAGE(OFFSET($H$3,0,0,'Données projet'!$E$10+1,1))</f>
        <v>356.02637444732096</v>
      </c>
      <c r="AO48" s="59">
        <f t="shared" si="36"/>
        <v>263.30053404008095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13.525179761321091</v>
      </c>
      <c r="AV48" s="21">
        <f>EXP(-LN(2)/25)*AV47+(1-EXP(-LN(2)/25))/(LN(2)/25)*Calculateur!AQ48*Calculateur!AS48*VLOOKUP('Données projet'!$B$10,Paramètres!$A$1:$I$89,3,0)*0.475*44/12</f>
        <v>32.317270271570074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45.842450032891165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8.7714285714285722</v>
      </c>
      <c r="BD48" s="12">
        <f>IF('Données projet'!$A$88&gt;35,BD47+BC48-BL47,IF(A48&lt;'Données projet'!$A$88,$BA$205^A48,IF(A48='Données projet'!$A$88,'Données projet'!$B$88,BD47+BC48-BL47)))</f>
        <v>140.14714285714285</v>
      </c>
      <c r="BE48" s="13">
        <f>BD48*VLOOKUP('Données projet'!$B$11,Paramètres!$A$1:$I$89,3,0)*VLOOKUP('Données projet'!$B$11,Paramètres!$A$1:$I$89,5,0)</f>
        <v>142.10920285714286</v>
      </c>
      <c r="BF48" s="13">
        <f t="shared" si="37"/>
        <v>36.779772935376265</v>
      </c>
      <c r="BG48" s="20">
        <f t="shared" si="7"/>
        <v>311.56496617197075</v>
      </c>
      <c r="BH48" s="59">
        <f t="shared" si="8"/>
        <v>593.63752404402931</v>
      </c>
      <c r="BI48" s="59">
        <f ca="1">AVERAGE(OFFSET($BH$3,0,0,'Données projet'!$E$11+1,1))-AVERAGE(OFFSET($H$3,0,0,'Données projet'!$E$11+1,1))</f>
        <v>478.2340976873212</v>
      </c>
      <c r="BJ48" s="59">
        <f t="shared" si="38"/>
        <v>342.90128902463823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11.018472180934305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11.018472180934305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11.741666666666665</v>
      </c>
      <c r="BY48" s="12">
        <f>IF('Données projet'!$A$114&gt;35,BY47+BX48-CG47,IF(A48&lt;'Données projet'!$A$114,$BV$205^A48,IF(A48='Données projet'!$A$114,'Données projet'!$B$114,BY47+BX48-CG47)))</f>
        <v>172.77333333333343</v>
      </c>
      <c r="BZ48" s="13">
        <f>BY48*VLOOKUP('Données projet'!$B$12,Paramètres!$A$1:$I$89,3,0)*VLOOKUP('Données projet'!$B$12,Paramètres!$A$1:$I$89,5,0)</f>
        <v>156.32531200000008</v>
      </c>
      <c r="CA48" s="13">
        <f t="shared" si="39"/>
        <v>40.012561807021854</v>
      </c>
      <c r="CB48" s="20">
        <f t="shared" si="10"/>
        <v>341.95513021389655</v>
      </c>
      <c r="CC48" s="59">
        <f t="shared" si="11"/>
        <v>624.02768808595511</v>
      </c>
      <c r="CD48" s="59">
        <f ca="1">AVERAGE(OFFSET($CC$3,0,0,'Données projet'!$E$12+1,1))-AVERAGE(OFFSET($H$3,0,0,'Données projet'!$E$12+1,1))</f>
        <v>471.03166569378629</v>
      </c>
      <c r="CE48" s="59">
        <f t="shared" si="40"/>
        <v>259.15709238853287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6.3150398224908031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6.3150398224908031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18.127142857142854</v>
      </c>
      <c r="CT48" s="12">
        <f>IF('Données projet'!$A$140&gt;35,CT47+CS48-DB47,IF(A48&lt;'Données projet'!$A$140,$CQ$205^A48,IF(A48='Données projet'!$A$140,'Données projet'!$B$140,CT47+CS48-DB47)))</f>
        <v>288.75142857142856</v>
      </c>
      <c r="CU48" s="17">
        <f>CT48*VLOOKUP('Données projet'!$B$13,Paramètres!$A$1:$I$89,3,0)*VLOOKUP('Données projet'!$B$13,Paramètres!$A$1:$I$89,5,0)</f>
        <v>135.13566857142857</v>
      </c>
      <c r="CV48" s="13">
        <f t="shared" si="41"/>
        <v>35.180372380671528</v>
      </c>
      <c r="CW48" s="20">
        <f t="shared" si="13"/>
        <v>296.63377132490763</v>
      </c>
      <c r="CX48" s="59">
        <f t="shared" si="14"/>
        <v>578.70632919696618</v>
      </c>
      <c r="CY48" s="59">
        <f ca="1">AVERAGE(OFFSET($CX$3,0,0,'Données projet'!$E$13+1,1))-AVERAGE(OFFSET($H$3,0,0,'Données projet'!$E$13+1,1))</f>
        <v>364.67256251031029</v>
      </c>
      <c r="CZ48" s="59">
        <f t="shared" si="42"/>
        <v>347.4139588390766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29.34305688922197</v>
      </c>
      <c r="DG48" s="21">
        <f>EXP(-LN(2)/25)*DG47+(1-EXP(-LN(2)/25))/(LN(2)/25)*Calculateur!DB48*Calculateur!DD48*VLOOKUP('Données projet'!$B$13,Paramètres!$A$1:$I$89,3,0)*0.475*44/12</f>
        <v>28.541117208173233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57.884174097395203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66.928879419652333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1.35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4.95</v>
      </c>
      <c r="H49" s="67">
        <f t="shared" si="1"/>
        <v>236.86666666666665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51.998489924038495</v>
      </c>
      <c r="T49" s="59">
        <f t="shared" si="34"/>
        <v>206.32767973856241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25.357566485567567</v>
      </c>
      <c r="AA49" s="21">
        <f>EXP(-LN(2)/25)*AA48+(1-EXP(-LN(2)/25))/(LN(2)/25)*Calculateur!V49*Calculateur!X49*VLOOKUP('Données projet'!$B$9,Paramètres!$A$1:$I$89,3,0)*0.475*44/12</f>
        <v>5.7031625251592297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31.060729010726796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15.725555555555552</v>
      </c>
      <c r="AI49" s="13">
        <f>IF('Données projet'!$A$62&gt;35,AI48+AH49-AQ48,IF(A49&lt;'Données projet'!$A$62,$AF$205^A49,IF(A49='Données projet'!$A$62,'Données projet'!$B$62,AI48+AH49-AQ48)))</f>
        <v>307.03777777777793</v>
      </c>
      <c r="AJ49" s="13">
        <f>AI49*VLOOKUP('Données projet'!$B$10,Paramètres!$A$1:$I$89,3,0)*VLOOKUP('Données projet'!$B$10,Paramètres!$A$1:$I$89,5,0)</f>
        <v>183.60859111111122</v>
      </c>
      <c r="AK49" s="13">
        <f t="shared" si="35"/>
        <v>46.124101377958297</v>
      </c>
      <c r="AL49" s="20">
        <f t="shared" si="4"/>
        <v>400.11777275179605</v>
      </c>
      <c r="AM49" s="59">
        <f t="shared" si="5"/>
        <v>682.38567990278534</v>
      </c>
      <c r="AN49" s="59">
        <f ca="1">AVERAGE(OFFSET($AM$3,0,0,'Données projet'!$E$10+1,1))-AVERAGE(OFFSET($H$3,0,0,'Données projet'!$E$10+1,1))</f>
        <v>356.02637444732096</v>
      </c>
      <c r="AO49" s="59">
        <f t="shared" si="36"/>
        <v>263.30053404008095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13.259959235746663</v>
      </c>
      <c r="AV49" s="21">
        <f>EXP(-LN(2)/25)*AV48+(1-EXP(-LN(2)/25))/(LN(2)/25)*Calculateur!AQ49*Calculateur!AS49*VLOOKUP('Données projet'!$B$10,Paramètres!$A$1:$I$89,3,0)*0.475*44/12</f>
        <v>31.433552816502608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44.693512052249275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8.7714285714285722</v>
      </c>
      <c r="BD49" s="12">
        <f>IF('Données projet'!$A$88&gt;35,BD48+BC49-BL48,IF(A49&lt;'Données projet'!$A$88,$BA$205^A49,IF(A49='Données projet'!$A$88,'Données projet'!$B$88,BD48+BC49-BL48)))</f>
        <v>148.91857142857143</v>
      </c>
      <c r="BE49" s="13">
        <f>BD49*VLOOKUP('Données projet'!$B$11,Paramètres!$A$1:$I$89,3,0)*VLOOKUP('Données projet'!$B$11,Paramètres!$A$1:$I$89,5,0)</f>
        <v>151.00343142857145</v>
      </c>
      <c r="BF49" s="13">
        <f t="shared" si="37"/>
        <v>38.806530453346383</v>
      </c>
      <c r="BG49" s="20">
        <f t="shared" si="7"/>
        <v>330.58568361100691</v>
      </c>
      <c r="BH49" s="59">
        <f t="shared" si="8"/>
        <v>612.8535907619962</v>
      </c>
      <c r="BI49" s="59">
        <f ca="1">AVERAGE(OFFSET($BH$3,0,0,'Données projet'!$E$11+1,1))-AVERAGE(OFFSET($H$3,0,0,'Données projet'!$E$11+1,1))</f>
        <v>478.2340976873212</v>
      </c>
      <c r="BJ49" s="59">
        <f t="shared" si="38"/>
        <v>342.90128902463823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10.802406662070609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10.802406662070609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11.741666666666665</v>
      </c>
      <c r="BY49" s="12">
        <f>IF('Données projet'!$A$114&gt;35,BY48+BX49-CG48,IF(A49&lt;'Données projet'!$A$114,$BV$205^A49,IF(A49='Données projet'!$A$114,'Données projet'!$B$114,BY48+BX49-CG48)))</f>
        <v>184.5150000000001</v>
      </c>
      <c r="BZ49" s="13">
        <f>BY49*VLOOKUP('Données projet'!$B$12,Paramètres!$A$1:$I$89,3,0)*VLOOKUP('Données projet'!$B$12,Paramètres!$A$1:$I$89,5,0)</f>
        <v>166.94917200000009</v>
      </c>
      <c r="CA49" s="13">
        <f t="shared" si="39"/>
        <v>42.406021126494203</v>
      </c>
      <c r="CB49" s="20">
        <f t="shared" si="10"/>
        <v>364.62696136197752</v>
      </c>
      <c r="CC49" s="59">
        <f t="shared" si="11"/>
        <v>646.89486851296681</v>
      </c>
      <c r="CD49" s="59">
        <f ca="1">AVERAGE(OFFSET($CC$3,0,0,'Données projet'!$E$12+1,1))-AVERAGE(OFFSET($H$3,0,0,'Données projet'!$E$12+1,1))</f>
        <v>471.03166569378629</v>
      </c>
      <c r="CE49" s="59">
        <f t="shared" si="40"/>
        <v>259.15709238853287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6.1912057433657175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6.1912057433657175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18.127142857142854</v>
      </c>
      <c r="CT49" s="12">
        <f>IF('Données projet'!$A$140&gt;35,CT48+CS49-DB48,IF(A49&lt;'Données projet'!$A$140,$CQ$205^A49,IF(A49='Données projet'!$A$140,'Données projet'!$B$140,CT48+CS49-DB48)))</f>
        <v>306.87857142857143</v>
      </c>
      <c r="CU49" s="17">
        <f>CT49*VLOOKUP('Données projet'!$B$13,Paramètres!$A$1:$I$89,3,0)*VLOOKUP('Données projet'!$B$13,Paramètres!$A$1:$I$89,5,0)</f>
        <v>143.61917142857143</v>
      </c>
      <c r="CV49" s="13">
        <f t="shared" si="41"/>
        <v>37.124871268762028</v>
      </c>
      <c r="CW49" s="20">
        <f t="shared" si="13"/>
        <v>314.79587436452249</v>
      </c>
      <c r="CX49" s="59">
        <f t="shared" si="14"/>
        <v>597.06378151551178</v>
      </c>
      <c r="CY49" s="59">
        <f ca="1">AVERAGE(OFFSET($CX$3,0,0,'Données projet'!$E$13+1,1))-AVERAGE(OFFSET($H$3,0,0,'Données projet'!$E$13+1,1))</f>
        <v>364.67256251031029</v>
      </c>
      <c r="CZ49" s="59">
        <f t="shared" si="42"/>
        <v>347.4139588390766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28.767657441121798</v>
      </c>
      <c r="DG49" s="21">
        <f>EXP(-LN(2)/25)*DG48+(1-EXP(-LN(2)/25))/(LN(2)/25)*Calculateur!DB49*Calculateur!DD49*VLOOKUP('Données projet'!$B$13,Paramètres!$A$1:$I$89,3,0)*0.475*44/12</f>
        <v>27.760658857203612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56.528316298325407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66.982156495724354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1.35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4.95</v>
      </c>
      <c r="H50" s="67">
        <f t="shared" si="1"/>
        <v>236.86666666666665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51.998489924038495</v>
      </c>
      <c r="T50" s="59">
        <f t="shared" si="34"/>
        <v>206.32767973856241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24.860320073373945</v>
      </c>
      <c r="AA50" s="21">
        <f>EXP(-LN(2)/25)*AA49+(1-EXP(-LN(2)/25))/(LN(2)/25)*Calculateur!V50*Calculateur!X50*VLOOKUP('Données projet'!$B$9,Paramètres!$A$1:$I$89,3,0)*0.475*44/12</f>
        <v>5.5472092459924678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30.407529319366411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15.725555555555552</v>
      </c>
      <c r="AI50" s="13">
        <f>IF('Données projet'!$A$62&gt;35,AI49+AH50-AQ49,IF(A50&lt;'Données projet'!$A$62,$AF$205^A50,IF(A50='Données projet'!$A$62,'Données projet'!$B$62,AI49+AH50-AQ49)))</f>
        <v>322.76333333333349</v>
      </c>
      <c r="AJ50" s="13">
        <f>AI50*VLOOKUP('Données projet'!$B$10,Paramètres!$A$1:$I$89,3,0)*VLOOKUP('Données projet'!$B$10,Paramètres!$A$1:$I$89,5,0)</f>
        <v>193.01247333333347</v>
      </c>
      <c r="AK50" s="13">
        <f t="shared" si="35"/>
        <v>48.205356952003704</v>
      </c>
      <c r="AL50" s="20">
        <f t="shared" si="4"/>
        <v>420.12105441362888</v>
      </c>
      <c r="AM50" s="59">
        <f t="shared" si="5"/>
        <v>702.58092197029498</v>
      </c>
      <c r="AN50" s="59">
        <f ca="1">AVERAGE(OFFSET($AM$3,0,0,'Données projet'!$E$10+1,1))-AVERAGE(OFFSET($H$3,0,0,'Données projet'!$E$10+1,1))</f>
        <v>356.02637444732096</v>
      </c>
      <c r="AO50" s="59">
        <f t="shared" si="36"/>
        <v>263.30053404008095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12.999939522910203</v>
      </c>
      <c r="AV50" s="21">
        <f>EXP(-LN(2)/25)*AV49+(1-EXP(-LN(2)/25))/(LN(2)/25)*Calculateur!AQ50*Calculateur!AS50*VLOOKUP('Données projet'!$B$10,Paramètres!$A$1:$I$89,3,0)*0.475*44/12</f>
        <v>30.574000661716646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43.573940184626849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>
        <f>VLOOKUP(A50,'Données projet'!$A$87:$I$107,2,0)</f>
        <v>157.69</v>
      </c>
      <c r="BB50" s="12">
        <f>VLOOKUP(A50,'Données projet'!$A$87:$I$107,9,0)</f>
        <v>8.7714285714285722</v>
      </c>
      <c r="BC50" s="12">
        <f t="array" ref="BC50">INDEX(BB:BB,MIN(IF(ISNUMBER(BB50:BB246),ROW(BB50:BB246),"")))</f>
        <v>8.7714285714285722</v>
      </c>
      <c r="BD50" s="12">
        <f>IF('Données projet'!$A$88&gt;35,BD49+BC50-BL49,IF(A50&lt;'Données projet'!$A$88,$BA$205^A50,IF(A50='Données projet'!$A$88,'Données projet'!$B$88,BD49+BC50-BL49)))</f>
        <v>157.69</v>
      </c>
      <c r="BE50" s="13">
        <f>BD50*VLOOKUP('Données projet'!$B$11,Paramètres!$A$1:$I$89,3,0)*VLOOKUP('Données projet'!$B$11,Paramètres!$A$1:$I$89,5,0)</f>
        <v>159.89766000000003</v>
      </c>
      <c r="BF50" s="13">
        <f t="shared" si="37"/>
        <v>40.81943147453164</v>
      </c>
      <c r="BG50" s="20">
        <f t="shared" si="7"/>
        <v>349.582267651476</v>
      </c>
      <c r="BH50" s="59">
        <f t="shared" si="8"/>
        <v>632.0421352081421</v>
      </c>
      <c r="BI50" s="59">
        <f ca="1">AVERAGE(OFFSET($BH$3,0,0,'Données projet'!$E$11+1,1))-AVERAGE(OFFSET($H$3,0,0,'Données projet'!$E$11+1,1))</f>
        <v>478.2340976873212</v>
      </c>
      <c r="BJ50" s="59">
        <f t="shared" si="38"/>
        <v>342.90128902463823</v>
      </c>
      <c r="BK50" s="15">
        <f>IF(ISNA(VLOOKUP(A50,'Données projet'!$A$87:$I$107,3,0)),0,VLOOKUP(A50,'Données projet'!$A$87:$I$107,3,0))</f>
        <v>2</v>
      </c>
      <c r="BL50" s="15">
        <f>IF(ISNA(VLOOKUP(A50,'Données projet'!$A$87:$I$107,4,0)),0,VLOOKUP(A50,'Données projet'!$A$87:$I$107,4,0))</f>
        <v>43</v>
      </c>
      <c r="BM50" s="16">
        <f>IF(ISNA(VLOOKUP(A50,'Données projet'!$A$87:$I$107,5,0)),0%,VLOOKUP(A50,'Données projet'!$A$87:$I$107,5,0)*VLOOKUP('Données projet'!$B$11,Paramètres!$A$1:$I$89,7,0))</f>
        <v>0.129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16.80847087024792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16.80847087024792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11.741666666666665</v>
      </c>
      <c r="BY50" s="12">
        <f>IF('Données projet'!$A$114&gt;35,BY49+BX50-CG49,IF(A50&lt;'Données projet'!$A$114,$BV$205^A50,IF(A50='Données projet'!$A$114,'Données projet'!$B$114,BY49+BX50-CG49)))</f>
        <v>196.25666666666677</v>
      </c>
      <c r="BZ50" s="13">
        <f>BY50*VLOOKUP('Données projet'!$B$12,Paramètres!$A$1:$I$89,3,0)*VLOOKUP('Données projet'!$B$12,Paramètres!$A$1:$I$89,5,0)</f>
        <v>177.5730320000001</v>
      </c>
      <c r="CA50" s="13">
        <f t="shared" si="39"/>
        <v>44.781804645680559</v>
      </c>
      <c r="CB50" s="20">
        <f t="shared" si="10"/>
        <v>387.26800715789381</v>
      </c>
      <c r="CC50" s="59">
        <f t="shared" si="11"/>
        <v>669.7278747145599</v>
      </c>
      <c r="CD50" s="59">
        <f ca="1">AVERAGE(OFFSET($CC$3,0,0,'Données projet'!$E$12+1,1))-AVERAGE(OFFSET($H$3,0,0,'Données projet'!$E$12+1,1))</f>
        <v>471.03166569378629</v>
      </c>
      <c r="CE50" s="59">
        <f t="shared" si="40"/>
        <v>259.15709238853287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6.0697999750009446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6.0697999750009446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18.127142857142854</v>
      </c>
      <c r="CT50" s="12">
        <f>IF('Données projet'!$A$140&gt;35,CT49+CS50-DB49,IF(A50&lt;'Données projet'!$A$140,$CQ$205^A50,IF(A50='Données projet'!$A$140,'Données projet'!$B$140,CT49+CS50-DB49)))</f>
        <v>325.0057142857143</v>
      </c>
      <c r="CU50" s="17">
        <f>CT50*VLOOKUP('Données projet'!$B$13,Paramètres!$A$1:$I$89,3,0)*VLOOKUP('Données projet'!$B$13,Paramètres!$A$1:$I$89,5,0)</f>
        <v>152.1026742857143</v>
      </c>
      <c r="CV50" s="13">
        <f t="shared" si="41"/>
        <v>39.056038076016335</v>
      </c>
      <c r="CW50" s="20">
        <f t="shared" si="13"/>
        <v>332.9347573633475</v>
      </c>
      <c r="CX50" s="59">
        <f t="shared" si="14"/>
        <v>615.3946249200136</v>
      </c>
      <c r="CY50" s="59">
        <f ca="1">AVERAGE(OFFSET($CX$3,0,0,'Données projet'!$E$13+1,1))-AVERAGE(OFFSET($H$3,0,0,'Données projet'!$E$13+1,1))</f>
        <v>364.67256251031029</v>
      </c>
      <c r="CZ50" s="59">
        <f t="shared" si="42"/>
        <v>347.4139588390766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28.203541225239864</v>
      </c>
      <c r="DG50" s="21">
        <f>EXP(-LN(2)/25)*DG49+(1-EXP(-LN(2)/25))/(LN(2)/25)*Calculateur!DB50*Calculateur!DD50*VLOOKUP('Données projet'!$B$13,Paramètres!$A$1:$I$89,3,0)*0.475*44/12</f>
        <v>27.001542180883778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55.205083406123642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67.034509333636208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1.35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4.95</v>
      </c>
      <c r="H51" s="67">
        <f t="shared" si="1"/>
        <v>236.86666666666665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51.998489924038495</v>
      </c>
      <c r="T51" s="59">
        <f t="shared" si="34"/>
        <v>206.32767973856241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24.372824360033075</v>
      </c>
      <c r="AA51" s="21">
        <f>EXP(-LN(2)/25)*AA50+(1-EXP(-LN(2)/25))/(LN(2)/25)*Calculateur!V51*Calculateur!X51*VLOOKUP('Données projet'!$B$9,Paramètres!$A$1:$I$89,3,0)*0.475*44/12</f>
        <v>5.3955205174457479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29.768344877478825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15.725555555555552</v>
      </c>
      <c r="AI51" s="13">
        <f>IF('Données projet'!$A$62&gt;35,AI50+AH51-AQ50,IF(A51&lt;'Données projet'!$A$62,$AF$205^A51,IF(A51='Données projet'!$A$62,'Données projet'!$B$62,AI50+AH51-AQ50)))</f>
        <v>338.48888888888905</v>
      </c>
      <c r="AJ51" s="13">
        <f>AI51*VLOOKUP('Données projet'!$B$10,Paramètres!$A$1:$I$89,3,0)*VLOOKUP('Données projet'!$B$10,Paramètres!$A$1:$I$89,5,0)</f>
        <v>202.41635555555567</v>
      </c>
      <c r="AK51" s="13">
        <f t="shared" si="35"/>
        <v>50.274837801805468</v>
      </c>
      <c r="AL51" s="20">
        <f t="shared" si="4"/>
        <v>440.10382843073722</v>
      </c>
      <c r="AM51" s="59">
        <f t="shared" si="5"/>
        <v>722.75232630920084</v>
      </c>
      <c r="AN51" s="59">
        <f ca="1">AVERAGE(OFFSET($AM$3,0,0,'Données projet'!$E$10+1,1))-AVERAGE(OFFSET($H$3,0,0,'Données projet'!$E$10+1,1))</f>
        <v>356.02637444732096</v>
      </c>
      <c r="AO51" s="59">
        <f t="shared" si="36"/>
        <v>263.30053404008095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12.745018638046101</v>
      </c>
      <c r="AV51" s="21">
        <f>EXP(-LN(2)/25)*AV50+(1-EXP(-LN(2)/25))/(LN(2)/25)*Calculateur!AQ51*Calculateur!AS51*VLOOKUP('Données projet'!$B$10,Paramètres!$A$1:$I$89,3,0)*0.475*44/12</f>
        <v>29.737953005805188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42.482971643851286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8.4224999999999994</v>
      </c>
      <c r="BD51" s="12">
        <f>IF('Données projet'!$A$88&gt;35,BD50+BC51-BL50,IF(A51&lt;'Données projet'!$A$88,$BA$205^A51,IF(A51='Données projet'!$A$88,'Données projet'!$B$88,BD50+BC51-BL50)))</f>
        <v>123.11250000000001</v>
      </c>
      <c r="BE51" s="13">
        <f>BD51*VLOOKUP('Données projet'!$B$11,Paramètres!$A$1:$I$89,3,0)*VLOOKUP('Données projet'!$B$11,Paramètres!$A$1:$I$89,5,0)</f>
        <v>124.83607500000002</v>
      </c>
      <c r="BF51" s="13">
        <f t="shared" si="37"/>
        <v>32.800327653659053</v>
      </c>
      <c r="BG51" s="20">
        <f t="shared" si="7"/>
        <v>274.55006795512287</v>
      </c>
      <c r="BH51" s="59">
        <f t="shared" si="8"/>
        <v>557.19856583358649</v>
      </c>
      <c r="BI51" s="59">
        <f ca="1">AVERAGE(OFFSET($BH$3,0,0,'Données projet'!$E$11+1,1))-AVERAGE(OFFSET($H$3,0,0,'Données projet'!$E$11+1,1))</f>
        <v>478.2340976873212</v>
      </c>
      <c r="BJ51" s="59">
        <f t="shared" si="38"/>
        <v>342.90128902463823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16.478867008637273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16.478867008637273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11.741666666666665</v>
      </c>
      <c r="BY51" s="12">
        <f>IF('Données projet'!$A$114&gt;35,BY50+BX51-CG50,IF(A51&lt;'Données projet'!$A$114,$BV$205^A51,IF(A51='Données projet'!$A$114,'Données projet'!$B$114,BY50+BX51-CG50)))</f>
        <v>207.99833333333345</v>
      </c>
      <c r="BZ51" s="13">
        <f>BY51*VLOOKUP('Données projet'!$B$12,Paramètres!$A$1:$I$89,3,0)*VLOOKUP('Données projet'!$B$12,Paramètres!$A$1:$I$89,5,0)</f>
        <v>188.19689200000008</v>
      </c>
      <c r="CA51" s="13">
        <f t="shared" si="39"/>
        <v>47.141090313946087</v>
      </c>
      <c r="CB51" s="20">
        <f t="shared" si="10"/>
        <v>409.88031919678951</v>
      </c>
      <c r="CC51" s="59">
        <f t="shared" si="11"/>
        <v>692.52881707525307</v>
      </c>
      <c r="CD51" s="59">
        <f ca="1">AVERAGE(OFFSET($CC$3,0,0,'Données projet'!$E$12+1,1))-AVERAGE(OFFSET($H$3,0,0,'Données projet'!$E$12+1,1))</f>
        <v>471.03166569378629</v>
      </c>
      <c r="CE51" s="59">
        <f t="shared" si="40"/>
        <v>259.15709238853287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5.9507748997035979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5.9507748997035979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18.127142857142854</v>
      </c>
      <c r="CT51" s="12">
        <f>IF('Données projet'!$A$140&gt;35,CT50+CS51-DB50,IF(A51&lt;'Données projet'!$A$140,$CQ$205^A51,IF(A51='Données projet'!$A$140,'Données projet'!$B$140,CT50+CS51-DB50)))</f>
        <v>343.13285714285718</v>
      </c>
      <c r="CU51" s="17">
        <f>CT51*VLOOKUP('Données projet'!$B$13,Paramètres!$A$1:$I$89,3,0)*VLOOKUP('Données projet'!$B$13,Paramètres!$A$1:$I$89,5,0)</f>
        <v>160.58617714285717</v>
      </c>
      <c r="CV51" s="13">
        <f t="shared" si="41"/>
        <v>40.974701144941157</v>
      </c>
      <c r="CW51" s="20">
        <f t="shared" si="13"/>
        <v>351.05186301791537</v>
      </c>
      <c r="CX51" s="59">
        <f t="shared" si="14"/>
        <v>633.70036089637892</v>
      </c>
      <c r="CY51" s="59">
        <f ca="1">AVERAGE(OFFSET($CX$3,0,0,'Données projet'!$E$13+1,1))-AVERAGE(OFFSET($H$3,0,0,'Données projet'!$E$13+1,1))</f>
        <v>364.67256251031029</v>
      </c>
      <c r="CZ51" s="59">
        <f t="shared" si="42"/>
        <v>347.4139588390766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27.650486984274455</v>
      </c>
      <c r="DG51" s="21">
        <f>EXP(-LN(2)/25)*DG50+(1-EXP(-LN(2)/25))/(LN(2)/25)*Calculateur!DB51*Calculateur!DD51*VLOOKUP('Données projet'!$B$13,Paramètres!$A$1:$I$89,3,0)*0.475*44/12</f>
        <v>26.263183589998121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53.913670574272572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67.085953966853708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1.35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4.95</v>
      </c>
      <c r="H52" s="67">
        <f t="shared" si="1"/>
        <v>236.86666666666665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51.998489924038495</v>
      </c>
      <c r="T52" s="59">
        <f t="shared" si="34"/>
        <v>206.32767973856241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23.894888140287794</v>
      </c>
      <c r="AA52" s="21">
        <f>EXP(-LN(2)/25)*AA51+(1-EXP(-LN(2)/25))/(LN(2)/25)*Calculateur!V52*Calculateur!X52*VLOOKUP('Données projet'!$B$9,Paramètres!$A$1:$I$89,3,0)*0.475*44/12</f>
        <v>5.2479797251581015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29.142867865445893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15.725555555555552</v>
      </c>
      <c r="AI52" s="13">
        <f>IF('Données projet'!$A$62&gt;35,AI51+AH52-AQ51,IF(A52&lt;'Données projet'!$A$62,$AF$205^A52,IF(A52='Données projet'!$A$62,'Données projet'!$B$62,AI51+AH52-AQ51)))</f>
        <v>354.21444444444461</v>
      </c>
      <c r="AJ52" s="13">
        <f>AI52*VLOOKUP('Données projet'!$B$10,Paramètres!$A$1:$I$89,3,0)*VLOOKUP('Données projet'!$B$10,Paramètres!$A$1:$I$89,5,0)</f>
        <v>211.82023777777789</v>
      </c>
      <c r="AK52" s="13">
        <f t="shared" si="35"/>
        <v>52.333153433287507</v>
      </c>
      <c r="AL52" s="20">
        <f t="shared" si="4"/>
        <v>460.06715635927225</v>
      </c>
      <c r="AM52" s="59">
        <f t="shared" si="5"/>
        <v>742.90101224516445</v>
      </c>
      <c r="AN52" s="59">
        <f ca="1">AVERAGE(OFFSET($AM$3,0,0,'Données projet'!$E$10+1,1))-AVERAGE(OFFSET($H$3,0,0,'Données projet'!$E$10+1,1))</f>
        <v>356.02637444732096</v>
      </c>
      <c r="AO52" s="59">
        <f t="shared" si="36"/>
        <v>263.30053404008095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12.495096596247798</v>
      </c>
      <c r="AV52" s="21">
        <f>EXP(-LN(2)/25)*AV51+(1-EXP(-LN(2)/25))/(LN(2)/25)*Calculateur!AQ52*Calculateur!AS52*VLOOKUP('Données projet'!$B$10,Paramètres!$A$1:$I$89,3,0)*0.475*44/12</f>
        <v>28.924767117010465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41.419863713258266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8.4224999999999994</v>
      </c>
      <c r="BD52" s="12">
        <f>IF('Données projet'!$A$88&gt;35,BD51+BC52-BL51,IF(A52&lt;'Données projet'!$A$88,$BA$205^A52,IF(A52='Données projet'!$A$88,'Données projet'!$B$88,BD51+BC52-BL51)))</f>
        <v>131.53500000000003</v>
      </c>
      <c r="BE52" s="13">
        <f>BD52*VLOOKUP('Données projet'!$B$11,Paramètres!$A$1:$I$89,3,0)*VLOOKUP('Données projet'!$B$11,Paramètres!$A$1:$I$89,5,0)</f>
        <v>133.37649000000005</v>
      </c>
      <c r="BF52" s="13">
        <f t="shared" si="37"/>
        <v>34.775398895968955</v>
      </c>
      <c r="BG52" s="20">
        <f t="shared" si="7"/>
        <v>292.86453982714596</v>
      </c>
      <c r="BH52" s="59">
        <f t="shared" si="8"/>
        <v>575.69839571303817</v>
      </c>
      <c r="BI52" s="59">
        <f ca="1">AVERAGE(OFFSET($BH$3,0,0,'Données projet'!$E$11+1,1))-AVERAGE(OFFSET($H$3,0,0,'Données projet'!$E$11+1,1))</f>
        <v>478.2340976873212</v>
      </c>
      <c r="BJ52" s="59">
        <f t="shared" si="38"/>
        <v>342.90128902463823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16.155726477714307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16.155726477714307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219.74</v>
      </c>
      <c r="BW52" s="12">
        <f>VLOOKUP(A52,'Données projet'!$A$113:$I$133,9,0)</f>
        <v>11.741666666666665</v>
      </c>
      <c r="BX52" s="12">
        <f t="array" ref="BX52">INDEX(BW:BW,MIN(IF(ISNUMBER(BW52:BW248),ROW(BW52:BW248),"")))</f>
        <v>11.741666666666665</v>
      </c>
      <c r="BY52" s="12">
        <f>IF('Données projet'!$A$114&gt;35,BY51+BX52-CG51,IF(A52&lt;'Données projet'!$A$114,$BV$205^A52,IF(A52='Données projet'!$A$114,'Données projet'!$B$114,BY51+BX52-CG51)))</f>
        <v>219.74000000000012</v>
      </c>
      <c r="BZ52" s="13">
        <f>BY52*VLOOKUP('Données projet'!$B$12,Paramètres!$A$1:$I$89,3,0)*VLOOKUP('Données projet'!$B$12,Paramètres!$A$1:$I$89,5,0)</f>
        <v>198.82075200000011</v>
      </c>
      <c r="CA52" s="13">
        <f t="shared" si="39"/>
        <v>49.484915576835363</v>
      </c>
      <c r="CB52" s="20">
        <f t="shared" si="10"/>
        <v>432.46570436298839</v>
      </c>
      <c r="CC52" s="59">
        <f t="shared" si="11"/>
        <v>715.29956024888065</v>
      </c>
      <c r="CD52" s="59">
        <f ca="1">AVERAGE(OFFSET($CC$3,0,0,'Données projet'!$E$12+1,1))-AVERAGE(OFFSET($H$3,0,0,'Données projet'!$E$12+1,1))</f>
        <v>471.03166569378629</v>
      </c>
      <c r="CE52" s="59">
        <f t="shared" si="40"/>
        <v>259.15709238853287</v>
      </c>
      <c r="CF52" s="15">
        <f>IF(ISNA(VLOOKUP(A52,'Données projet'!$A$113:$I$133,3,0)),0,VLOOKUP(A52,'Données projet'!$A$113:$I$133,3,0))</f>
        <v>4</v>
      </c>
      <c r="CG52" s="15">
        <f>IF(ISNA(VLOOKUP(A52,'Données projet'!$A$113:$I$133,4,0)),0,VLOOKUP(A52,'Données projet'!$A$113:$I$133,4,0))</f>
        <v>48.69</v>
      </c>
      <c r="CH52" s="16">
        <f>IF(ISNA(VLOOKUP(A52,'Données projet'!$A$113:$I$133,5,0)),0%,VLOOKUP(A52,'Données projet'!$A$113:$I$133,5,0)*VLOOKUP('Données projet'!$B$12,Paramètres!$A$1:$I$89,7,0))</f>
        <v>0.129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12.116535949670974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12.116535949670974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>
        <f>VLOOKUP(A52,'Données projet'!$A$139:$I$159,2,0)</f>
        <v>361.26</v>
      </c>
      <c r="CR52" s="12">
        <f>VLOOKUP(A52,'Données projet'!$A$139:$I$159,9,0)</f>
        <v>18.127142857142854</v>
      </c>
      <c r="CS52" s="12">
        <f t="array" ref="CS52">INDEX(CR:CR,MIN(IF(ISNUMBER(CR52:CR248),ROW(CR52:CR248),"")))</f>
        <v>18.127142857142854</v>
      </c>
      <c r="CT52" s="12">
        <f>IF('Données projet'!$A$140&gt;35,CT51+CS52-DB51,IF(A52&lt;'Données projet'!$A$140,$CQ$205^A52,IF(A52='Données projet'!$A$140,'Données projet'!$B$140,CT51+CS52-DB51)))</f>
        <v>361.26000000000005</v>
      </c>
      <c r="CU52" s="17">
        <f>CT52*VLOOKUP('Données projet'!$B$13,Paramètres!$A$1:$I$89,3,0)*VLOOKUP('Données projet'!$B$13,Paramètres!$A$1:$I$89,5,0)</f>
        <v>169.06968000000003</v>
      </c>
      <c r="CV52" s="13">
        <f t="shared" si="41"/>
        <v>42.881596355037587</v>
      </c>
      <c r="CW52" s="20">
        <f t="shared" si="13"/>
        <v>369.14847298502383</v>
      </c>
      <c r="CX52" s="59">
        <f t="shared" si="14"/>
        <v>651.98232887091604</v>
      </c>
      <c r="CY52" s="59">
        <f ca="1">AVERAGE(OFFSET($CX$3,0,0,'Données projet'!$E$13+1,1))-AVERAGE(OFFSET($H$3,0,0,'Données projet'!$E$13+1,1))</f>
        <v>364.67256251031029</v>
      </c>
      <c r="CZ52" s="59">
        <f t="shared" si="42"/>
        <v>347.4139588390766</v>
      </c>
      <c r="DA52" s="15">
        <f>IF(ISNA(VLOOKUP(A52,'Données projet'!$A$139:$I$159,3,0)),0,VLOOKUP(A52,'Données projet'!$A$139:$I$159,3,0))</f>
        <v>2</v>
      </c>
      <c r="DB52" s="15">
        <f>IF(ISNA(VLOOKUP(A52,'Données projet'!$A$139:$I$159,4,0)),0,VLOOKUP(A52,'Données projet'!$A$139:$I$159,4,0))</f>
        <v>100.16</v>
      </c>
      <c r="DC52" s="16">
        <f>IF(ISNA(VLOOKUP(A52,'Données projet'!$A$139:$I$159,5,0)),0%,VLOOKUP(A52,'Données projet'!$A$139:$I$159,5,0)*VLOOKUP('Données projet'!$B$13,Paramètres!$A$1:$I$89,7,0))</f>
        <v>0.27500000000000002</v>
      </c>
      <c r="DD52" s="16">
        <f>IF(ISNA(VLOOKUP(A52,'Données projet'!$A$139:$I$159,6,0)),0%,VLOOKUP(A52,'Données projet'!$A$139:$I$159,6,0)*VLOOKUP('Données projet'!$B$13,Paramètres!$A$1:$I$89,7,0))</f>
        <v>0.27500000000000002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44.208478956417892</v>
      </c>
      <c r="DG52" s="21">
        <f>EXP(-LN(2)/25)*DG51+(1-EXP(-LN(2)/25))/(LN(2)/25)*Calculateur!DB52*Calculateur!DD52*VLOOKUP('Données projet'!$B$13,Paramètres!$A$1:$I$89,3,0)*0.475*44/12</f>
        <v>42.577886602740435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86.786365559158327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67.136506150697869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1.35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4.95</v>
      </c>
      <c r="H53" s="67">
        <f t="shared" si="1"/>
        <v>236.86666666666665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51.998489924038495</v>
      </c>
      <c r="T53" s="59">
        <f t="shared" si="34"/>
        <v>206.32767973856241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23.42632395829941</v>
      </c>
      <c r="AA53" s="21">
        <f>EXP(-LN(2)/25)*AA52+(1-EXP(-LN(2)/25))/(LN(2)/25)*Calculateur!V53*Calculateur!X53*VLOOKUP('Données projet'!$B$9,Paramètres!$A$1:$I$89,3,0)*0.475*44/12</f>
        <v>5.1044734435943937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28.530797401893803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369.94</v>
      </c>
      <c r="AG53" s="12">
        <f>VLOOKUP(A53,'Données projet'!$A$61:$I$81,9,0)</f>
        <v>15.725555555555552</v>
      </c>
      <c r="AH53" s="12">
        <f t="array" ref="AH53">INDEX(AG:AG,MIN(IF(ISNUMBER(AG53:AG249),ROW(AG53:AG249),"")))</f>
        <v>15.725555555555552</v>
      </c>
      <c r="AI53" s="13">
        <f>IF('Données projet'!$A$62&gt;35,AI52+AH53-AQ52,IF(A53&lt;'Données projet'!$A$62,$AF$205^A53,IF(A53='Données projet'!$A$62,'Données projet'!$B$62,AI52+AH53-AQ52)))</f>
        <v>369.94000000000017</v>
      </c>
      <c r="AJ53" s="13">
        <f>AI53*VLOOKUP('Données projet'!$B$10,Paramètres!$A$1:$I$89,3,0)*VLOOKUP('Données projet'!$B$10,Paramètres!$A$1:$I$89,5,0)</f>
        <v>221.22412000000014</v>
      </c>
      <c r="AK53" s="13">
        <f t="shared" si="35"/>
        <v>54.380856173847832</v>
      </c>
      <c r="AL53" s="20">
        <f t="shared" si="4"/>
        <v>480.01200016945177</v>
      </c>
      <c r="AM53" s="59">
        <f t="shared" si="5"/>
        <v>763.02799851574196</v>
      </c>
      <c r="AN53" s="59">
        <f ca="1">AVERAGE(OFFSET($AM$3,0,0,'Données projet'!$E$10+1,1))-AVERAGE(OFFSET($H$3,0,0,'Données projet'!$E$10+1,1))</f>
        <v>356.02637444732096</v>
      </c>
      <c r="AO53" s="59">
        <f t="shared" si="36"/>
        <v>263.30053404008095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0.13500000000000001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29.791998615526225</v>
      </c>
      <c r="AV53" s="21">
        <f>EXP(-LN(2)/25)*AV52+(1-EXP(-LN(2)/25))/(LN(2)/25)*Calculateur!AQ53*Calculateur!AS53*VLOOKUP('Données projet'!$B$10,Paramètres!$A$1:$I$89,3,0)*0.475*44/12</f>
        <v>35.622183841882503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65.414182457408728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8.4224999999999994</v>
      </c>
      <c r="BD53" s="12">
        <f>IF('Données projet'!$A$88&gt;35,BD52+BC53-BL52,IF(A53&lt;'Données projet'!$A$88,$BA$205^A53,IF(A53='Données projet'!$A$88,'Données projet'!$B$88,BD52+BC53-BL52)))</f>
        <v>139.95750000000004</v>
      </c>
      <c r="BE53" s="13">
        <f>BD53*VLOOKUP('Données projet'!$B$11,Paramètres!$A$1:$I$89,3,0)*VLOOKUP('Données projet'!$B$11,Paramètres!$A$1:$I$89,5,0)</f>
        <v>141.91690500000004</v>
      </c>
      <c r="BF53" s="13">
        <f t="shared" si="37"/>
        <v>36.735793341879862</v>
      </c>
      <c r="BG53" s="20">
        <f t="shared" si="7"/>
        <v>311.15344961210752</v>
      </c>
      <c r="BH53" s="59">
        <f t="shared" si="8"/>
        <v>594.16944795839777</v>
      </c>
      <c r="BI53" s="59">
        <f ca="1">AVERAGE(OFFSET($BH$3,0,0,'Données projet'!$E$11+1,1))-AVERAGE(OFFSET($H$3,0,0,'Données projet'!$E$11+1,1))</f>
        <v>478.2340976873212</v>
      </c>
      <c r="BJ53" s="59">
        <f t="shared" si="38"/>
        <v>342.90128902463823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15.838922535506477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15.838922535506477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11.178333333333333</v>
      </c>
      <c r="BY53" s="12">
        <f>IF('Données projet'!$A$114&gt;35,BY52+BX53-CG52,IF(A53&lt;'Données projet'!$A$114,$BV$205^A53,IF(A53='Données projet'!$A$114,'Données projet'!$B$114,BY52+BX53-CG52)))</f>
        <v>182.22833333333347</v>
      </c>
      <c r="BZ53" s="13">
        <f>BY53*VLOOKUP('Données projet'!$B$12,Paramètres!$A$1:$I$89,3,0)*VLOOKUP('Données projet'!$B$12,Paramètres!$A$1:$I$89,5,0)</f>
        <v>164.8801960000001</v>
      </c>
      <c r="CA53" s="13">
        <f t="shared" si="39"/>
        <v>41.94132505916803</v>
      </c>
      <c r="CB53" s="20">
        <f t="shared" si="10"/>
        <v>360.21414917805117</v>
      </c>
      <c r="CC53" s="59">
        <f t="shared" si="11"/>
        <v>643.23014752434142</v>
      </c>
      <c r="CD53" s="59">
        <f ca="1">AVERAGE(OFFSET($CC$3,0,0,'Données projet'!$E$12+1,1))-AVERAGE(OFFSET($H$3,0,0,'Données projet'!$E$12+1,1))</f>
        <v>471.03166569378629</v>
      </c>
      <c r="CE53" s="59">
        <f t="shared" si="40"/>
        <v>259.15709238853287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11.878938070055119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11.878938070055119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16.944285714285709</v>
      </c>
      <c r="CT53" s="12">
        <f>IF('Données projet'!$A$140&gt;35,CT52+CS53-DB52,IF(A53&lt;'Données projet'!$A$140,$CQ$205^A53,IF(A53='Données projet'!$A$140,'Données projet'!$B$140,CT52+CS53-DB52)))</f>
        <v>278.04428571428571</v>
      </c>
      <c r="CU53" s="17">
        <f>CT53*VLOOKUP('Données projet'!$B$13,Paramètres!$A$1:$I$89,3,0)*VLOOKUP('Données projet'!$B$13,Paramètres!$A$1:$I$89,5,0)</f>
        <v>130.12472571428572</v>
      </c>
      <c r="CV53" s="13">
        <f t="shared" si="41"/>
        <v>34.025178174160651</v>
      </c>
      <c r="CW53" s="20">
        <f t="shared" si="13"/>
        <v>285.89441593904411</v>
      </c>
      <c r="CX53" s="59">
        <f t="shared" si="14"/>
        <v>568.91041428533435</v>
      </c>
      <c r="CY53" s="59">
        <f ca="1">AVERAGE(OFFSET($CX$3,0,0,'Données projet'!$E$13+1,1))-AVERAGE(OFFSET($H$3,0,0,'Données projet'!$E$13+1,1))</f>
        <v>364.67256251031029</v>
      </c>
      <c r="CZ53" s="59">
        <f t="shared" si="42"/>
        <v>347.4139588390766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43.341577648592178</v>
      </c>
      <c r="DG53" s="21">
        <f>EXP(-LN(2)/25)*DG52+(1-EXP(-LN(2)/25))/(LN(2)/25)*Calculateur!DB53*Calculateur!DD53*VLOOKUP('Données projet'!$B$13,Paramètres!$A$1:$I$89,3,0)*0.475*44/12</f>
        <v>41.413592054514751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84.75516970310693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67.186181367170065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1.35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4.95</v>
      </c>
      <c r="H54" s="67">
        <f t="shared" si="1"/>
        <v>236.86666666666665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51.998489924038495</v>
      </c>
      <c r="T54" s="59">
        <f t="shared" si="34"/>
        <v>206.32767973856241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22.966948034123885</v>
      </c>
      <c r="AA54" s="21">
        <f>EXP(-LN(2)/25)*AA53+(1-EXP(-LN(2)/25))/(LN(2)/25)*Calculateur!V54*Calculateur!X54*VLOOKUP('Données projet'!$B$9,Paramètres!$A$1:$I$89,3,0)*0.475*44/12</f>
        <v>4.964891348846713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27.931839382970598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14.12</v>
      </c>
      <c r="AI54" s="13">
        <f>IF('Données projet'!$A$62&gt;35,AI53+AH54-AQ53,IF(A54&lt;'Données projet'!$A$62,$AF$205^A54,IF(A54='Données projet'!$A$62,'Données projet'!$B$62,AI53+AH54-AQ53)))</f>
        <v>313.86000000000018</v>
      </c>
      <c r="AJ54" s="13">
        <f>AI54*VLOOKUP('Données projet'!$B$10,Paramètres!$A$1:$I$89,3,0)*VLOOKUP('Données projet'!$B$10,Paramètres!$A$1:$I$89,5,0)</f>
        <v>187.68828000000013</v>
      </c>
      <c r="AK54" s="13">
        <f t="shared" si="35"/>
        <v>47.028500822168901</v>
      </c>
      <c r="AL54" s="20">
        <f t="shared" si="4"/>
        <v>408.79839326527775</v>
      </c>
      <c r="AM54" s="59">
        <f t="shared" si="5"/>
        <v>691.99337430748778</v>
      </c>
      <c r="AN54" s="59">
        <f ca="1">AVERAGE(OFFSET($AM$3,0,0,'Données projet'!$E$10+1,1))-AVERAGE(OFFSET($H$3,0,0,'Données projet'!$E$10+1,1))</f>
        <v>356.02637444732096</v>
      </c>
      <c r="AO54" s="59">
        <f t="shared" si="36"/>
        <v>263.30053404008095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29.207795694000641</v>
      </c>
      <c r="AV54" s="21">
        <f>EXP(-LN(2)/25)*AV53+(1-EXP(-LN(2)/25))/(LN(2)/25)*Calculateur!AQ54*Calculateur!AS54*VLOOKUP('Données projet'!$B$10,Paramètres!$A$1:$I$89,3,0)*0.475*44/12</f>
        <v>34.648093351436991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63.855889045437635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8.4224999999999994</v>
      </c>
      <c r="BD54" s="12">
        <f>IF('Données projet'!$A$88&gt;35,BD53+BC54-BL53,IF(A54&lt;'Données projet'!$A$88,$BA$205^A54,IF(A54='Données projet'!$A$88,'Données projet'!$B$88,BD53+BC54-BL53)))</f>
        <v>148.38000000000005</v>
      </c>
      <c r="BE54" s="13">
        <f>BD54*VLOOKUP('Données projet'!$B$11,Paramètres!$A$1:$I$89,3,0)*VLOOKUP('Données projet'!$B$11,Paramètres!$A$1:$I$89,5,0)</f>
        <v>150.45732000000007</v>
      </c>
      <c r="BF54" s="13">
        <f t="shared" si="37"/>
        <v>38.682494811840996</v>
      </c>
      <c r="BG54" s="20">
        <f t="shared" si="7"/>
        <v>329.41851079728985</v>
      </c>
      <c r="BH54" s="59">
        <f t="shared" si="8"/>
        <v>612.61349183949983</v>
      </c>
      <c r="BI54" s="59">
        <f ca="1">AVERAGE(OFFSET($BH$3,0,0,'Données projet'!$E$11+1,1))-AVERAGE(OFFSET($H$3,0,0,'Données projet'!$E$11+1,1))</f>
        <v>478.2340976873212</v>
      </c>
      <c r="BJ54" s="59">
        <f t="shared" si="38"/>
        <v>342.90128902463823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15.528330925374018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15.528330925374018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11.178333333333333</v>
      </c>
      <c r="BY54" s="12">
        <f>IF('Données projet'!$A$114&gt;35,BY53+BX54-CG53,IF(A54&lt;'Données projet'!$A$114,$BV$205^A54,IF(A54='Données projet'!$A$114,'Données projet'!$B$114,BY53+BX54-CG53)))</f>
        <v>193.40666666666681</v>
      </c>
      <c r="BZ54" s="13">
        <f>BY54*VLOOKUP('Données projet'!$B$12,Paramètres!$A$1:$I$89,3,0)*VLOOKUP('Données projet'!$B$12,Paramètres!$A$1:$I$89,5,0)</f>
        <v>174.99435200000011</v>
      </c>
      <c r="CA54" s="13">
        <f t="shared" si="39"/>
        <v>44.20670031976249</v>
      </c>
      <c r="CB54" s="20">
        <f t="shared" si="10"/>
        <v>381.77516612358653</v>
      </c>
      <c r="CC54" s="59">
        <f t="shared" si="11"/>
        <v>664.97014716579656</v>
      </c>
      <c r="CD54" s="59">
        <f ca="1">AVERAGE(OFFSET($CC$3,0,0,'Données projet'!$E$12+1,1))-AVERAGE(OFFSET($H$3,0,0,'Données projet'!$E$12+1,1))</f>
        <v>471.03166569378629</v>
      </c>
      <c r="CE54" s="59">
        <f t="shared" si="40"/>
        <v>259.15709238853287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11.645999339938133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11.645999339938133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16.944285714285709</v>
      </c>
      <c r="CT54" s="12">
        <f>IF('Données projet'!$A$140&gt;35,CT53+CS54-DB53,IF(A54&lt;'Données projet'!$A$140,$CQ$205^A54,IF(A54='Données projet'!$A$140,'Données projet'!$B$140,CT53+CS54-DB53)))</f>
        <v>294.98857142857139</v>
      </c>
      <c r="CU54" s="17">
        <f>CT54*VLOOKUP('Données projet'!$B$13,Paramètres!$A$1:$I$89,3,0)*VLOOKUP('Données projet'!$B$13,Paramètres!$A$1:$I$89,5,0)</f>
        <v>138.05465142857142</v>
      </c>
      <c r="CV54" s="13">
        <f t="shared" si="41"/>
        <v>35.850991174438484</v>
      </c>
      <c r="CW54" s="20">
        <f t="shared" si="13"/>
        <v>302.88566086690889</v>
      </c>
      <c r="CX54" s="59">
        <f t="shared" si="14"/>
        <v>586.08064190911887</v>
      </c>
      <c r="CY54" s="59">
        <f ca="1">AVERAGE(OFFSET($CX$3,0,0,'Données projet'!$E$13+1,1))-AVERAGE(OFFSET($H$3,0,0,'Données projet'!$E$13+1,1))</f>
        <v>364.67256251031029</v>
      </c>
      <c r="CZ54" s="59">
        <f t="shared" si="42"/>
        <v>347.4139588390766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42.491675746655339</v>
      </c>
      <c r="DG54" s="21">
        <f>EXP(-LN(2)/25)*DG53+(1-EXP(-LN(2)/25))/(LN(2)/25)*Calculateur!DB54*Calculateur!DD54*VLOOKUP('Données projet'!$B$13,Paramètres!$A$1:$I$89,3,0)*0.475*44/12</f>
        <v>40.281135201937893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82.772810948593232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67.234994829693633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1.35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4.95</v>
      </c>
      <c r="H55" s="67">
        <f t="shared" si="1"/>
        <v>236.86666666666665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51.998489924038495</v>
      </c>
      <c r="T55" s="59">
        <f t="shared" si="34"/>
        <v>206.32767973856241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22.516580191629796</v>
      </c>
      <c r="AA55" s="21">
        <f>EXP(-LN(2)/25)*AA54+(1-EXP(-LN(2)/25))/(LN(2)/25)*Calculateur!V55*Calculateur!X55*VLOOKUP('Données projet'!$B$9,Paramètres!$A$1:$I$89,3,0)*0.475*44/12</f>
        <v>4.8291261338202114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27.345706325450006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</v>
      </c>
      <c r="AI55" s="13">
        <f>IF('Données projet'!$A$62&gt;35,AI54+AH55-AQ54,IF(A55&lt;'Données projet'!$A$62,$AF$205^A55,IF(A55='Données projet'!$A$62,'Données projet'!$B$62,AI54+AH55-AQ54)))</f>
        <v>327.98000000000019</v>
      </c>
      <c r="AJ55" s="13">
        <f>AI55*VLOOKUP('Données projet'!$B$10,Paramètres!$A$1:$I$89,3,0)*VLOOKUP('Données projet'!$B$10,Paramètres!$A$1:$I$89,5,0)</f>
        <v>196.13204000000013</v>
      </c>
      <c r="AK55" s="13">
        <f t="shared" si="35"/>
        <v>48.893143423385645</v>
      </c>
      <c r="AL55" s="20">
        <f t="shared" si="4"/>
        <v>426.75219446239686</v>
      </c>
      <c r="AM55" s="59">
        <f t="shared" si="5"/>
        <v>710.12305325089767</v>
      </c>
      <c r="AN55" s="59">
        <f ca="1">AVERAGE(OFFSET($AM$3,0,0,'Données projet'!$E$10+1,1))-AVERAGE(OFFSET($H$3,0,0,'Données projet'!$E$10+1,1))</f>
        <v>356.02637444732096</v>
      </c>
      <c r="AO55" s="59">
        <f t="shared" si="36"/>
        <v>263.30053404008095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28.635048635437578</v>
      </c>
      <c r="AV55" s="21">
        <f>EXP(-LN(2)/25)*AV54+(1-EXP(-LN(2)/25))/(LN(2)/25)*Calculateur!AQ55*Calculateur!AS55*VLOOKUP('Données projet'!$B$10,Paramètres!$A$1:$I$89,3,0)*0.475*44/12</f>
        <v>33.700639416677909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62.335688052115486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8.4224999999999994</v>
      </c>
      <c r="BD55" s="12">
        <f>IF('Données projet'!$A$88&gt;35,BD54+BC55-BL54,IF(A55&lt;'Données projet'!$A$88,$BA$205^A55,IF(A55='Données projet'!$A$88,'Données projet'!$B$88,BD54+BC55-BL54)))</f>
        <v>156.80250000000007</v>
      </c>
      <c r="BE55" s="13">
        <f>BD55*VLOOKUP('Données projet'!$B$11,Paramètres!$A$1:$I$89,3,0)*VLOOKUP('Données projet'!$B$11,Paramètres!$A$1:$I$89,5,0)</f>
        <v>158.99773500000009</v>
      </c>
      <c r="BF55" s="13">
        <f t="shared" si="37"/>
        <v>40.616369128616718</v>
      </c>
      <c r="BG55" s="20">
        <f t="shared" si="7"/>
        <v>347.66123135734097</v>
      </c>
      <c r="BH55" s="59">
        <f t="shared" si="8"/>
        <v>631.03209014584172</v>
      </c>
      <c r="BI55" s="59">
        <f ca="1">AVERAGE(OFFSET($BH$3,0,0,'Données projet'!$E$11+1,1))-AVERAGE(OFFSET($H$3,0,0,'Données projet'!$E$11+1,1))</f>
        <v>478.2340976873212</v>
      </c>
      <c r="BJ55" s="59">
        <f t="shared" si="38"/>
        <v>342.90128902463823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15.223829827274081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15.223829827274081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11.178333333333333</v>
      </c>
      <c r="BY55" s="12">
        <f>IF('Données projet'!$A$114&gt;35,BY54+BX55-CG54,IF(A55&lt;'Données projet'!$A$114,$BV$205^A55,IF(A55='Données projet'!$A$114,'Données projet'!$B$114,BY54+BX55-CG54)))</f>
        <v>204.58500000000015</v>
      </c>
      <c r="BZ55" s="13">
        <f>BY55*VLOOKUP('Données projet'!$B$12,Paramètres!$A$1:$I$89,3,0)*VLOOKUP('Données projet'!$B$12,Paramètres!$A$1:$I$89,5,0)</f>
        <v>185.10850800000011</v>
      </c>
      <c r="CA55" s="13">
        <f t="shared" si="39"/>
        <v>46.456877316431466</v>
      </c>
      <c r="CB55" s="20">
        <f t="shared" si="10"/>
        <v>403.30971275945166</v>
      </c>
      <c r="CC55" s="59">
        <f t="shared" si="11"/>
        <v>686.68057154795247</v>
      </c>
      <c r="CD55" s="59">
        <f ca="1">AVERAGE(OFFSET($CC$3,0,0,'Données projet'!$E$12+1,1))-AVERAGE(OFFSET($H$3,0,0,'Données projet'!$E$12+1,1))</f>
        <v>471.03166569378629</v>
      </c>
      <c r="CE55" s="59">
        <f t="shared" si="40"/>
        <v>259.15709238853287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11.417628396240145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11.417628396240145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16.944285714285709</v>
      </c>
      <c r="CT55" s="12">
        <f>IF('Données projet'!$A$140&gt;35,CT54+CS55-DB54,IF(A55&lt;'Données projet'!$A$140,$CQ$205^A55,IF(A55='Données projet'!$A$140,'Données projet'!$B$140,CT54+CS55-DB54)))</f>
        <v>311.93285714285707</v>
      </c>
      <c r="CU55" s="17">
        <f>CT55*VLOOKUP('Données projet'!$B$13,Paramètres!$A$1:$I$89,3,0)*VLOOKUP('Données projet'!$B$13,Paramètres!$A$1:$I$89,5,0)</f>
        <v>145.98457714285712</v>
      </c>
      <c r="CV55" s="13">
        <f t="shared" si="41"/>
        <v>37.664630310684146</v>
      </c>
      <c r="CW55" s="20">
        <f t="shared" si="13"/>
        <v>319.85570298158433</v>
      </c>
      <c r="CX55" s="59">
        <f t="shared" si="14"/>
        <v>603.22656177008514</v>
      </c>
      <c r="CY55" s="59">
        <f ca="1">AVERAGE(OFFSET($CX$3,0,0,'Données projet'!$E$13+1,1))-AVERAGE(OFFSET($H$3,0,0,'Données projet'!$E$13+1,1))</f>
        <v>364.67256251031029</v>
      </c>
      <c r="CZ55" s="59">
        <f t="shared" si="42"/>
        <v>347.4139588390766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41.658439902626505</v>
      </c>
      <c r="DG55" s="21">
        <f>EXP(-LN(2)/25)*DG54+(1-EXP(-LN(2)/25))/(LN(2)/25)*Calculateur!DB55*Calculateur!DD55*VLOOKUP('Données projet'!$B$13,Paramètres!$A$1:$I$89,3,0)*0.475*44/12</f>
        <v>39.179645441548068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80.838085344174573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67.282961487772951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1.35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4.95</v>
      </c>
      <c r="H56" s="67">
        <f t="shared" si="1"/>
        <v>236.86666666666665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51.998489924038495</v>
      </c>
      <c r="T56" s="59">
        <f t="shared" si="34"/>
        <v>206.32767973856241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22.075043787829756</v>
      </c>
      <c r="AA56" s="21">
        <f>EXP(-LN(2)/25)*AA55+(1-EXP(-LN(2)/25))/(LN(2)/25)*Calculateur!V56*Calculateur!X56*VLOOKUP('Données projet'!$B$9,Paramètres!$A$1:$I$89,3,0)*0.475*44/12</f>
        <v>4.6970734257381919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26.772117213567949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</v>
      </c>
      <c r="AI56" s="13">
        <f>IF('Données projet'!$A$62&gt;35,AI55+AH56-AQ55,IF(A56&lt;'Données projet'!$A$62,$AF$205^A56,IF(A56='Données projet'!$A$62,'Données projet'!$B$62,AI55+AH56-AQ55)))</f>
        <v>342.10000000000019</v>
      </c>
      <c r="AJ56" s="13">
        <f>AI56*VLOOKUP('Données projet'!$B$10,Paramètres!$A$1:$I$89,3,0)*VLOOKUP('Données projet'!$B$10,Paramètres!$A$1:$I$89,5,0)</f>
        <v>204.57580000000013</v>
      </c>
      <c r="AK56" s="13">
        <f t="shared" si="35"/>
        <v>50.748462290021173</v>
      </c>
      <c r="AL56" s="20">
        <f t="shared" si="4"/>
        <v>444.68975682178706</v>
      </c>
      <c r="AM56" s="59">
        <f t="shared" si="5"/>
        <v>728.23344227088432</v>
      </c>
      <c r="AN56" s="59">
        <f ca="1">AVERAGE(OFFSET($AM$3,0,0,'Données projet'!$E$10+1,1))-AVERAGE(OFFSET($H$3,0,0,'Données projet'!$E$10+1,1))</f>
        <v>356.02637444732096</v>
      </c>
      <c r="AO56" s="59">
        <f t="shared" si="36"/>
        <v>263.30053404008095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28.073532797351724</v>
      </c>
      <c r="AV56" s="21">
        <f>EXP(-LN(2)/25)*AV55+(1-EXP(-LN(2)/25))/(LN(2)/25)*Calculateur!AQ56*Calculateur!AS56*VLOOKUP('Données projet'!$B$10,Paramètres!$A$1:$I$89,3,0)*0.475*44/12</f>
        <v>32.77909365958925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60.852626456940975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8.4224999999999994</v>
      </c>
      <c r="BD56" s="12">
        <f>IF('Données projet'!$A$88&gt;35,BD55+BC56-BL55,IF(A56&lt;'Données projet'!$A$88,$BA$205^A56,IF(A56='Données projet'!$A$88,'Données projet'!$B$88,BD55+BC56-BL55)))</f>
        <v>165.22500000000008</v>
      </c>
      <c r="BE56" s="13">
        <f>BD56*VLOOKUP('Données projet'!$B$11,Paramètres!$A$1:$I$89,3,0)*VLOOKUP('Données projet'!$B$11,Paramètres!$A$1:$I$89,5,0)</f>
        <v>167.53815000000009</v>
      </c>
      <c r="BF56" s="13">
        <f t="shared" si="37"/>
        <v>42.538183847999228</v>
      </c>
      <c r="BG56" s="20">
        <f t="shared" si="7"/>
        <v>365.88294811859879</v>
      </c>
      <c r="BH56" s="59">
        <f t="shared" si="8"/>
        <v>649.42663356769617</v>
      </c>
      <c r="BI56" s="59">
        <f ca="1">AVERAGE(OFFSET($BH$3,0,0,'Données projet'!$E$11+1,1))-AVERAGE(OFFSET($H$3,0,0,'Données projet'!$E$11+1,1))</f>
        <v>478.2340976873212</v>
      </c>
      <c r="BJ56" s="59">
        <f t="shared" si="38"/>
        <v>342.90128902463823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14.925299809980551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14.925299809980551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11.178333333333333</v>
      </c>
      <c r="BY56" s="12">
        <f>IF('Données projet'!$A$114&gt;35,BY55+BX56-CG55,IF(A56&lt;'Données projet'!$A$114,$BV$205^A56,IF(A56='Données projet'!$A$114,'Données projet'!$B$114,BY55+BX56-CG55)))</f>
        <v>215.76333333333349</v>
      </c>
      <c r="BZ56" s="13">
        <f>BY56*VLOOKUP('Données projet'!$B$12,Paramètres!$A$1:$I$89,3,0)*VLOOKUP('Données projet'!$B$12,Paramètres!$A$1:$I$89,5,0)</f>
        <v>195.22266400000012</v>
      </c>
      <c r="CA56" s="13">
        <f t="shared" si="39"/>
        <v>48.692781132058059</v>
      </c>
      <c r="CB56" s="20">
        <f t="shared" si="10"/>
        <v>424.81940027166797</v>
      </c>
      <c r="CC56" s="59">
        <f t="shared" si="11"/>
        <v>708.3630857207653</v>
      </c>
      <c r="CD56" s="59">
        <f ca="1">AVERAGE(OFFSET($CC$3,0,0,'Données projet'!$E$12+1,1))-AVERAGE(OFFSET($H$3,0,0,'Données projet'!$E$12+1,1))</f>
        <v>471.03166569378629</v>
      </c>
      <c r="CE56" s="59">
        <f t="shared" si="40"/>
        <v>259.15709238853287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11.193735667455554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11.193735667455554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16.944285714285709</v>
      </c>
      <c r="CT56" s="12">
        <f>IF('Données projet'!$A$140&gt;35,CT55+CS56-DB55,IF(A56&lt;'Données projet'!$A$140,$CQ$205^A56,IF(A56='Données projet'!$A$140,'Données projet'!$B$140,CT55+CS56-DB55)))</f>
        <v>328.87714285714276</v>
      </c>
      <c r="CU56" s="17">
        <f>CT56*VLOOKUP('Données projet'!$B$13,Paramètres!$A$1:$I$89,3,0)*VLOOKUP('Données projet'!$B$13,Paramètres!$A$1:$I$89,5,0)</f>
        <v>153.91450285714282</v>
      </c>
      <c r="CV56" s="13">
        <f t="shared" si="41"/>
        <v>39.46683225936065</v>
      </c>
      <c r="CW56" s="20">
        <f t="shared" si="13"/>
        <v>336.80582532791021</v>
      </c>
      <c r="CX56" s="59">
        <f t="shared" si="14"/>
        <v>620.34951077700748</v>
      </c>
      <c r="CY56" s="59">
        <f ca="1">AVERAGE(OFFSET($CX$3,0,0,'Données projet'!$E$13+1,1))-AVERAGE(OFFSET($H$3,0,0,'Données projet'!$E$13+1,1))</f>
        <v>364.67256251031029</v>
      </c>
      <c r="CZ56" s="59">
        <f t="shared" si="42"/>
        <v>347.4139588390766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40.841543305275394</v>
      </c>
      <c r="DG56" s="21">
        <f>EXP(-LN(2)/25)*DG55+(1-EXP(-LN(2)/25))/(LN(2)/25)*Calculateur!DB56*Calculateur!DD56*VLOOKUP('Données projet'!$B$13,Paramètres!$A$1:$I$89,3,0)*0.475*44/12</f>
        <v>38.108275976580927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78.949819281856321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67.330096031571998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1.35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4.95</v>
      </c>
      <c r="H57" s="67">
        <f t="shared" si="1"/>
        <v>236.86666666666665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51.998489924038495</v>
      </c>
      <c r="T57" s="59">
        <f t="shared" si="34"/>
        <v>206.32767973856241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21.642165643597622</v>
      </c>
      <c r="AA57" s="21">
        <f>EXP(-LN(2)/25)*AA56+(1-EXP(-LN(2)/25))/(LN(2)/25)*Calculateur!V57*Calculateur!X57*VLOOKUP('Données projet'!$B$9,Paramètres!$A$1:$I$89,3,0)*0.475*44/12</f>
        <v>4.5686317059030248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26.210797349500645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</v>
      </c>
      <c r="AI57" s="13">
        <f>IF('Données projet'!$A$62&gt;35,AI56+AH57-AQ56,IF(A57&lt;'Données projet'!$A$62,$AF$205^A57,IF(A57='Données projet'!$A$62,'Données projet'!$B$62,AI56+AH57-AQ56)))</f>
        <v>356.2200000000002</v>
      </c>
      <c r="AJ57" s="13">
        <f>AI57*VLOOKUP('Données projet'!$B$10,Paramètres!$A$1:$I$89,3,0)*VLOOKUP('Données projet'!$B$10,Paramètres!$A$1:$I$89,5,0)</f>
        <v>213.01956000000015</v>
      </c>
      <c r="AK57" s="13">
        <f t="shared" si="35"/>
        <v>52.594886266766075</v>
      </c>
      <c r="AL57" s="20">
        <f t="shared" si="4"/>
        <v>462.61182724795117</v>
      </c>
      <c r="AM57" s="59">
        <f t="shared" si="5"/>
        <v>746.32534120146613</v>
      </c>
      <c r="AN57" s="59">
        <f ca="1">AVERAGE(OFFSET($AM$3,0,0,'Données projet'!$E$10+1,1))-AVERAGE(OFFSET($H$3,0,0,'Données projet'!$E$10+1,1))</f>
        <v>356.02637444732096</v>
      </c>
      <c r="AO57" s="59">
        <f t="shared" si="36"/>
        <v>263.30053404008095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27.523027942359892</v>
      </c>
      <c r="AV57" s="21">
        <f>EXP(-LN(2)/25)*AV56+(1-EXP(-LN(2)/25))/(LN(2)/25)*Calculateur!AQ57*Calculateur!AS57*VLOOKUP('Données projet'!$B$10,Paramètres!$A$1:$I$89,3,0)*0.475*44/12</f>
        <v>31.882747619690164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59.405775562050053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8.4224999999999994</v>
      </c>
      <c r="BD57" s="12">
        <f>IF('Données projet'!$A$88&gt;35,BD56+BC57-BL56,IF(A57&lt;'Données projet'!$A$88,$BA$205^A57,IF(A57='Données projet'!$A$88,'Données projet'!$B$88,BD56+BC57-BL56)))</f>
        <v>173.64750000000009</v>
      </c>
      <c r="BE57" s="13">
        <f>BD57*VLOOKUP('Données projet'!$B$11,Paramètres!$A$1:$I$89,3,0)*VLOOKUP('Données projet'!$B$11,Paramètres!$A$1:$I$89,5,0)</f>
        <v>176.07856500000011</v>
      </c>
      <c r="BF57" s="13">
        <f t="shared" si="37"/>
        <v>44.448623851867417</v>
      </c>
      <c r="BG57" s="20">
        <f t="shared" si="7"/>
        <v>384.08485391700259</v>
      </c>
      <c r="BH57" s="59">
        <f t="shared" si="8"/>
        <v>667.7983678705175</v>
      </c>
      <c r="BI57" s="59">
        <f ca="1">AVERAGE(OFFSET($BH$3,0,0,'Données projet'!$E$11+1,1))-AVERAGE(OFFSET($H$3,0,0,'Données projet'!$E$11+1,1))</f>
        <v>478.2340976873212</v>
      </c>
      <c r="BJ57" s="59">
        <f t="shared" si="38"/>
        <v>342.90128902463823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14.632623784240817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14.632623784240817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11.178333333333333</v>
      </c>
      <c r="BY57" s="12">
        <f>IF('Données projet'!$A$114&gt;35,BY56+BX57-CG56,IF(A57&lt;'Données projet'!$A$114,$BV$205^A57,IF(A57='Données projet'!$A$114,'Données projet'!$B$114,BY56+BX57-CG56)))</f>
        <v>226.94166666666683</v>
      </c>
      <c r="BZ57" s="13">
        <f>BY57*VLOOKUP('Données projet'!$B$12,Paramètres!$A$1:$I$89,3,0)*VLOOKUP('Données projet'!$B$12,Paramètres!$A$1:$I$89,5,0)</f>
        <v>205.33682000000016</v>
      </c>
      <c r="CA57" s="13">
        <f t="shared" si="39"/>
        <v>50.915235581555365</v>
      </c>
      <c r="CB57" s="20">
        <f t="shared" si="10"/>
        <v>446.30566347120913</v>
      </c>
      <c r="CC57" s="59">
        <f t="shared" si="11"/>
        <v>730.01917742472415</v>
      </c>
      <c r="CD57" s="59">
        <f ca="1">AVERAGE(OFFSET($CC$3,0,0,'Données projet'!$E$12+1,1))-AVERAGE(OFFSET($H$3,0,0,'Données projet'!$E$12+1,1))</f>
        <v>471.03166569378629</v>
      </c>
      <c r="CE57" s="59">
        <f t="shared" si="40"/>
        <v>259.15709238853287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10.974233338521348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10.974233338521348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16.944285714285709</v>
      </c>
      <c r="CT57" s="12">
        <f>IF('Données projet'!$A$140&gt;35,CT56+CS57-DB56,IF(A57&lt;'Données projet'!$A$140,$CQ$205^A57,IF(A57='Données projet'!$A$140,'Données projet'!$B$140,CT56+CS57-DB56)))</f>
        <v>345.82142857142844</v>
      </c>
      <c r="CU57" s="17">
        <f>CT57*VLOOKUP('Données projet'!$B$13,Paramètres!$A$1:$I$89,3,0)*VLOOKUP('Données projet'!$B$13,Paramètres!$A$1:$I$89,5,0)</f>
        <v>161.84442857142849</v>
      </c>
      <c r="CV57" s="13">
        <f t="shared" si="41"/>
        <v>41.258253499805392</v>
      </c>
      <c r="CW57" s="20">
        <f t="shared" si="13"/>
        <v>353.7371712740657</v>
      </c>
      <c r="CX57" s="59">
        <f t="shared" si="14"/>
        <v>637.45068522758061</v>
      </c>
      <c r="CY57" s="59">
        <f ca="1">AVERAGE(OFFSET($CX$3,0,0,'Données projet'!$E$13+1,1))-AVERAGE(OFFSET($H$3,0,0,'Données projet'!$E$13+1,1))</f>
        <v>364.67256251031029</v>
      </c>
      <c r="CZ57" s="59">
        <f t="shared" si="42"/>
        <v>347.4139588390766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40.040665551940613</v>
      </c>
      <c r="DG57" s="21">
        <f>EXP(-LN(2)/25)*DG56+(1-EXP(-LN(2)/25))/(LN(2)/25)*Calculateur!DB57*Calculateur!DD57*VLOOKUP('Données projet'!$B$13,Paramètres!$A$1:$I$89,3,0)*0.475*44/12</f>
        <v>37.066203165974187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77.106868717914807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67.376412896413171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1.35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4.95</v>
      </c>
      <c r="H58" s="67">
        <f t="shared" si="1"/>
        <v>236.86666666666665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51.998489924038495</v>
      </c>
      <c r="T58" s="59">
        <f t="shared" si="34"/>
        <v>206.32767973856241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21.217775975744281</v>
      </c>
      <c r="AA58" s="21">
        <f>EXP(-LN(2)/25)*AA57+(1-EXP(-LN(2)/25))/(LN(2)/25)*Calculateur!V58*Calculateur!X58*VLOOKUP('Données projet'!$B$9,Paramètres!$A$1:$I$89,3,0)*0.475*44/12</f>
        <v>4.4437022316512067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25.66147820739549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</v>
      </c>
      <c r="AI58" s="13">
        <f>IF('Données projet'!$A$62&gt;35,AI57+AH58-AQ57,IF(A58&lt;'Données projet'!$A$62,$AF$205^A58,IF(A58='Données projet'!$A$62,'Données projet'!$B$62,AI57+AH58-AQ57)))</f>
        <v>370.3400000000002</v>
      </c>
      <c r="AJ58" s="13">
        <f>AI58*VLOOKUP('Données projet'!$B$10,Paramètres!$A$1:$I$89,3,0)*VLOOKUP('Données projet'!$B$10,Paramètres!$A$1:$I$89,5,0)</f>
        <v>221.46332000000012</v>
      </c>
      <c r="AK58" s="13">
        <f t="shared" si="35"/>
        <v>54.432808276273747</v>
      </c>
      <c r="AL58" s="20">
        <f t="shared" si="4"/>
        <v>480.51909008117696</v>
      </c>
      <c r="AM58" s="59">
        <f t="shared" si="5"/>
        <v>764.39948639423756</v>
      </c>
      <c r="AN58" s="59">
        <f ca="1">AVERAGE(OFFSET($AM$3,0,0,'Données projet'!$E$10+1,1))-AVERAGE(OFFSET($H$3,0,0,'Données projet'!$E$10+1,1))</f>
        <v>356.02637444732096</v>
      </c>
      <c r="AO58" s="59">
        <f t="shared" si="36"/>
        <v>263.30053404008095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26.983318151799644</v>
      </c>
      <c r="AV58" s="21">
        <f>EXP(-LN(2)/25)*AV57+(1-EXP(-LN(2)/25))/(LN(2)/25)*Calculateur!AQ58*Calculateur!AS58*VLOOKUP('Données projet'!$B$10,Paramètres!$A$1:$I$89,3,0)*0.475*44/12</f>
        <v>31.010912209388909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57.994230361188556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182.07</v>
      </c>
      <c r="BB58" s="12">
        <f>VLOOKUP(A58,'Données projet'!$A$87:$I$107,9,0)</f>
        <v>8.4224999999999994</v>
      </c>
      <c r="BC58" s="12">
        <f t="array" ref="BC58">INDEX(BB:BB,MIN(IF(ISNUMBER(BB58:BB254),ROW(BB58:BB254),"")))</f>
        <v>8.4224999999999994</v>
      </c>
      <c r="BD58" s="12">
        <f>IF('Données projet'!$A$88&gt;35,BD57+BC58-BL57,IF(A58&lt;'Données projet'!$A$88,$BA$205^A58,IF(A58='Données projet'!$A$88,'Données projet'!$B$88,BD57+BC58-BL57)))</f>
        <v>182.07000000000011</v>
      </c>
      <c r="BE58" s="13">
        <f>BD58*VLOOKUP('Données projet'!$B$11,Paramètres!$A$1:$I$89,3,0)*VLOOKUP('Données projet'!$B$11,Paramètres!$A$1:$I$89,5,0)</f>
        <v>184.61898000000011</v>
      </c>
      <c r="BF58" s="13">
        <f t="shared" si="37"/>
        <v>46.348303830171318</v>
      </c>
      <c r="BG58" s="20">
        <f t="shared" si="7"/>
        <v>402.26801933754859</v>
      </c>
      <c r="BH58" s="59">
        <f t="shared" si="8"/>
        <v>686.14841565060919</v>
      </c>
      <c r="BI58" s="59">
        <f ca="1">AVERAGE(OFFSET($BH$3,0,0,'Données projet'!$E$11+1,1))-AVERAGE(OFFSET($H$3,0,0,'Données projet'!$E$11+1,1))</f>
        <v>478.2340976873212</v>
      </c>
      <c r="BJ58" s="59">
        <f t="shared" si="38"/>
        <v>342.90128902463823</v>
      </c>
      <c r="BK58" s="15">
        <f>IF(ISNA(VLOOKUP(A58,'Données projet'!$A$87:$I$107,3,0)),0,VLOOKUP(A58,'Données projet'!$A$87:$I$107,3,0))</f>
        <v>3</v>
      </c>
      <c r="BL58" s="15">
        <f>IF(ISNA(VLOOKUP(A58,'Données projet'!$A$87:$I$107,4,0)),0,VLOOKUP(A58,'Données projet'!$A$87:$I$107,4,0))</f>
        <v>50.03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21.580132944864399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21.580132944864399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238.12</v>
      </c>
      <c r="BW58" s="12">
        <f>VLOOKUP(A58,'Données projet'!$A$113:$I$133,9,0)</f>
        <v>11.178333333333333</v>
      </c>
      <c r="BX58" s="12">
        <f t="array" ref="BX58">INDEX(BW:BW,MIN(IF(ISNUMBER(BW58:BW254),ROW(BW58:BW254),"")))</f>
        <v>11.178333333333333</v>
      </c>
      <c r="BY58" s="12">
        <f>IF('Données projet'!$A$114&gt;35,BY57+BX58-CG57,IF(A58&lt;'Données projet'!$A$114,$BV$205^A58,IF(A58='Données projet'!$A$114,'Données projet'!$B$114,BY57+BX58-CG57)))</f>
        <v>238.12000000000018</v>
      </c>
      <c r="BZ58" s="13">
        <f>BY58*VLOOKUP('Données projet'!$B$12,Paramètres!$A$1:$I$89,3,0)*VLOOKUP('Données projet'!$B$12,Paramètres!$A$1:$I$89,5,0)</f>
        <v>215.45097600000014</v>
      </c>
      <c r="CA58" s="13">
        <f t="shared" si="39"/>
        <v>53.124978738665533</v>
      </c>
      <c r="CB58" s="20">
        <f t="shared" si="10"/>
        <v>467.76978783650947</v>
      </c>
      <c r="CC58" s="59">
        <f t="shared" si="11"/>
        <v>751.65018414957012</v>
      </c>
      <c r="CD58" s="59">
        <f ca="1">AVERAGE(OFFSET($CC$3,0,0,'Données projet'!$E$12+1,1))-AVERAGE(OFFSET($H$3,0,0,'Données projet'!$E$12+1,1))</f>
        <v>471.03166569378629</v>
      </c>
      <c r="CE58" s="59">
        <f t="shared" si="40"/>
        <v>259.15709238853287</v>
      </c>
      <c r="CF58" s="15">
        <f>IF(ISNA(VLOOKUP(A58,'Données projet'!$A$113:$I$133,3,0)),0,VLOOKUP(A58,'Données projet'!$A$113:$I$133,3,0))</f>
        <v>5</v>
      </c>
      <c r="CG58" s="15">
        <f>IF(ISNA(VLOOKUP(A58,'Données projet'!$A$113:$I$133,4,0)),0,VLOOKUP(A58,'Données projet'!$A$113:$I$133,4,0))</f>
        <v>45.46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16.624721765328026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16.624721765328026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16.944285714285709</v>
      </c>
      <c r="CT58" s="12">
        <f>IF('Données projet'!$A$140&gt;35,CT57+CS58-DB57,IF(A58&lt;'Données projet'!$A$140,$CQ$205^A58,IF(A58='Données projet'!$A$140,'Données projet'!$B$140,CT57+CS58-DB57)))</f>
        <v>362.76571428571413</v>
      </c>
      <c r="CU58" s="17">
        <f>CT58*VLOOKUP('Données projet'!$B$13,Paramètres!$A$1:$I$89,3,0)*VLOOKUP('Données projet'!$B$13,Paramètres!$A$1:$I$89,5,0)</f>
        <v>169.7743542857142</v>
      </c>
      <c r="CV58" s="13">
        <f t="shared" si="41"/>
        <v>43.039482545615591</v>
      </c>
      <c r="CW58" s="20">
        <f t="shared" si="13"/>
        <v>370.650765814566</v>
      </c>
      <c r="CX58" s="59">
        <f t="shared" si="14"/>
        <v>654.53116212762666</v>
      </c>
      <c r="CY58" s="59">
        <f ca="1">AVERAGE(OFFSET($CX$3,0,0,'Données projet'!$E$13+1,1))-AVERAGE(OFFSET($H$3,0,0,'Données projet'!$E$13+1,1))</f>
        <v>364.67256251031029</v>
      </c>
      <c r="CZ58" s="59">
        <f t="shared" si="42"/>
        <v>347.4139588390766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39.25549252286153</v>
      </c>
      <c r="DG58" s="21">
        <f>EXP(-LN(2)/25)*DG57+(1-EXP(-LN(2)/25))/(LN(2)/25)*Calculateur!DB58*Calculateur!DD58*VLOOKUP('Données projet'!$B$13,Paramètres!$A$1:$I$89,3,0)*0.475*44/12</f>
        <v>36.052625891173712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75.308118414035249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67.421926267198344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1.35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4.95</v>
      </c>
      <c r="H59" s="67">
        <f t="shared" si="1"/>
        <v>236.86666666666665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51.998489924038495</v>
      </c>
      <c r="T59" s="59">
        <f t="shared" si="34"/>
        <v>206.32767973856241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20.801708330425409</v>
      </c>
      <c r="AA59" s="21">
        <f>EXP(-LN(2)/25)*AA58+(1-EXP(-LN(2)/25))/(LN(2)/25)*Calculateur!V59*Calculateur!X59*VLOOKUP('Données projet'!$B$9,Paramètres!$A$1:$I$89,3,0)*0.475*44/12</f>
        <v>4.3221889604425607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25.123897290867969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</v>
      </c>
      <c r="AI59" s="13">
        <f>IF('Données projet'!$A$62&gt;35,AI58+AH59-AQ58,IF(A59&lt;'Données projet'!$A$62,$AF$205^A59,IF(A59='Données projet'!$A$62,'Données projet'!$B$62,AI58+AH59-AQ58)))</f>
        <v>384.46000000000021</v>
      </c>
      <c r="AJ59" s="13">
        <f>AI59*VLOOKUP('Données projet'!$B$10,Paramètres!$A$1:$I$89,3,0)*VLOOKUP('Données projet'!$B$10,Paramètres!$A$1:$I$89,5,0)</f>
        <v>229.90708000000015</v>
      </c>
      <c r="AK59" s="13">
        <f t="shared" si="35"/>
        <v>56.262589582193186</v>
      </c>
      <c r="AL59" s="20">
        <f t="shared" si="4"/>
        <v>498.41217452232013</v>
      </c>
      <c r="AM59" s="59">
        <f t="shared" si="5"/>
        <v>782.4565581590814</v>
      </c>
      <c r="AN59" s="59">
        <f ca="1">AVERAGE(OFFSET($AM$3,0,0,'Données projet'!$E$10+1,1))-AVERAGE(OFFSET($H$3,0,0,'Données projet'!$E$10+1,1))</f>
        <v>356.02637444732096</v>
      </c>
      <c r="AO59" s="59">
        <f t="shared" si="36"/>
        <v>263.30053404008095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26.454191741041814</v>
      </c>
      <c r="AV59" s="21">
        <f>EXP(-LN(2)/25)*AV58+(1-EXP(-LN(2)/25))/(LN(2)/25)*Calculateur!AQ59*Calculateur!AS59*VLOOKUP('Données projet'!$B$10,Paramètres!$A$1:$I$89,3,0)*0.475*44/12</f>
        <v>30.162917184230174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56.617108925271992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7.8874999999999993</v>
      </c>
      <c r="BD59" s="12">
        <f>IF('Données projet'!$A$88&gt;35,BD58+BC59-BL58,IF(A59&lt;'Données projet'!$A$88,$BA$205^A59,IF(A59='Données projet'!$A$88,'Données projet'!$B$88,BD58+BC59-BL58)))</f>
        <v>139.92750000000009</v>
      </c>
      <c r="BE59" s="13">
        <f>BD59*VLOOKUP('Données projet'!$B$11,Paramètres!$A$1:$I$89,3,0)*VLOOKUP('Données projet'!$B$11,Paramètres!$A$1:$I$89,5,0)</f>
        <v>141.88648500000011</v>
      </c>
      <c r="BF59" s="13">
        <f t="shared" si="37"/>
        <v>36.728835482821637</v>
      </c>
      <c r="BG59" s="20">
        <f t="shared" si="7"/>
        <v>311.08834984091453</v>
      </c>
      <c r="BH59" s="59">
        <f t="shared" si="8"/>
        <v>595.13273347767574</v>
      </c>
      <c r="BI59" s="59">
        <f ca="1">AVERAGE(OFFSET($BH$3,0,0,'Données projet'!$E$11+1,1))-AVERAGE(OFFSET($H$3,0,0,'Données projet'!$E$11+1,1))</f>
        <v>478.2340976873212</v>
      </c>
      <c r="BJ59" s="59">
        <f t="shared" si="38"/>
        <v>342.90128902463823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21.156959700397007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21.156959700397007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10.953750000000003</v>
      </c>
      <c r="BY59" s="12">
        <f>IF('Données projet'!$A$114&gt;35,BY58+BX59-CG58,IF(A59&lt;'Données projet'!$A$114,$BV$205^A59,IF(A59='Données projet'!$A$114,'Données projet'!$B$114,BY58+BX59-CG58)))</f>
        <v>203.61375000000018</v>
      </c>
      <c r="BZ59" s="13">
        <f>BY59*VLOOKUP('Données projet'!$B$12,Paramètres!$A$1:$I$89,3,0)*VLOOKUP('Données projet'!$B$12,Paramètres!$A$1:$I$89,5,0)</f>
        <v>184.22972100000015</v>
      </c>
      <c r="CA59" s="13">
        <f t="shared" si="39"/>
        <v>46.261945308473479</v>
      </c>
      <c r="CB59" s="20">
        <f t="shared" si="10"/>
        <v>401.43965215392495</v>
      </c>
      <c r="CC59" s="59">
        <f t="shared" si="11"/>
        <v>685.48403579068622</v>
      </c>
      <c r="CD59" s="59">
        <f ca="1">AVERAGE(OFFSET($CC$3,0,0,'Données projet'!$E$12+1,1))-AVERAGE(OFFSET($H$3,0,0,'Données projet'!$E$12+1,1))</f>
        <v>471.03166569378629</v>
      </c>
      <c r="CE59" s="59">
        <f t="shared" si="40"/>
        <v>259.15709238853287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16.298721111588971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16.298721111588971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379.71</v>
      </c>
      <c r="CR59" s="12">
        <f>VLOOKUP(A59,'Données projet'!$A$139:$I$159,9,0)</f>
        <v>16.944285714285709</v>
      </c>
      <c r="CS59" s="12">
        <f t="array" ref="CS59">INDEX(CR:CR,MIN(IF(ISNUMBER(CR59:CR255),ROW(CR59:CR255),"")))</f>
        <v>16.944285714285709</v>
      </c>
      <c r="CT59" s="12">
        <f>IF('Données projet'!$A$140&gt;35,CT58+CS59-DB58,IF(A59&lt;'Données projet'!$A$140,$CQ$205^A59,IF(A59='Données projet'!$A$140,'Données projet'!$B$140,CT58+CS59-DB58)))</f>
        <v>379.70999999999981</v>
      </c>
      <c r="CU59" s="17">
        <f>CT59*VLOOKUP('Données projet'!$B$13,Paramètres!$A$1:$I$89,3,0)*VLOOKUP('Données projet'!$B$13,Paramètres!$A$1:$I$89,5,0)</f>
        <v>177.70427999999993</v>
      </c>
      <c r="CV59" s="13">
        <f t="shared" si="41"/>
        <v>44.811049826105538</v>
      </c>
      <c r="CW59" s="20">
        <f t="shared" si="13"/>
        <v>387.54753278046701</v>
      </c>
      <c r="CX59" s="59">
        <f t="shared" si="14"/>
        <v>671.59191641722828</v>
      </c>
      <c r="CY59" s="59">
        <f ca="1">AVERAGE(OFFSET($CX$3,0,0,'Données projet'!$E$13+1,1))-AVERAGE(OFFSET($H$3,0,0,'Données projet'!$E$13+1,1))</f>
        <v>364.67256251031029</v>
      </c>
      <c r="CZ59" s="59">
        <f t="shared" si="42"/>
        <v>347.4139588390766</v>
      </c>
      <c r="DA59" s="15">
        <f>IF(ISNA(VLOOKUP(A59,'Données projet'!$A$139:$I$159,3,0)),0,VLOOKUP(A59,'Données projet'!$A$139:$I$159,3,0))</f>
        <v>3</v>
      </c>
      <c r="DB59" s="15">
        <f>IF(ISNA(VLOOKUP(A59,'Données projet'!$A$139:$I$159,4,0)),0,VLOOKUP(A59,'Données projet'!$A$139:$I$159,4,0))</f>
        <v>79.39</v>
      </c>
      <c r="DC59" s="16">
        <f>IF(ISNA(VLOOKUP(A59,'Données projet'!$A$139:$I$159,5,0)),0%,VLOOKUP(A59,'Données projet'!$A$139:$I$159,5,0)*VLOOKUP('Données projet'!$B$13,Paramètres!$A$1:$I$89,7,0))</f>
        <v>0.38500000000000001</v>
      </c>
      <c r="DD59" s="16">
        <f>IF(ISNA(VLOOKUP(A59,'Données projet'!$A$139:$I$159,6,0)),0%,VLOOKUP(A59,'Données projet'!$A$139:$I$159,6,0)*VLOOKUP('Données projet'!$B$13,Paramètres!$A$1:$I$89,7,0))</f>
        <v>0.16500000000000001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57.461544510477665</v>
      </c>
      <c r="DG59" s="21">
        <f>EXP(-LN(2)/25)*DG58+(1-EXP(-LN(2)/25))/(LN(2)/25)*Calculateur!DB59*Calculateur!DD59*VLOOKUP('Données projet'!$B$13,Paramètres!$A$1:$I$89,3,0)*0.475*44/12</f>
        <v>43.16724202010397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100.62878653058164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67.466650082753063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1.35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4.95</v>
      </c>
      <c r="H60" s="67">
        <f t="shared" si="1"/>
        <v>236.86666666666665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51.998489924038495</v>
      </c>
      <c r="T60" s="59">
        <f t="shared" si="34"/>
        <v>206.32767973856241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20.393799517855033</v>
      </c>
      <c r="AA60" s="21">
        <f>EXP(-LN(2)/25)*AA59+(1-EXP(-LN(2)/25))/(LN(2)/25)*Calculateur!V60*Calculateur!X60*VLOOKUP('Données projet'!$B$9,Paramètres!$A$1:$I$89,3,0)*0.475*44/12</f>
        <v>4.2039984760252196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24.597797993880253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</v>
      </c>
      <c r="AI60" s="13">
        <f>IF('Données projet'!$A$62&gt;35,AI59+AH60-AQ59,IF(A60&lt;'Données projet'!$A$62,$AF$205^A60,IF(A60='Données projet'!$A$62,'Données projet'!$B$62,AI59+AH60-AQ59)))</f>
        <v>398.58000000000021</v>
      </c>
      <c r="AJ60" s="13">
        <f>AI60*VLOOKUP('Données projet'!$B$10,Paramètres!$A$1:$I$89,3,0)*VLOOKUP('Données projet'!$B$10,Paramètres!$A$1:$I$89,5,0)</f>
        <v>238.35084000000015</v>
      </c>
      <c r="AK60" s="13">
        <f t="shared" si="35"/>
        <v>58.084563408326787</v>
      </c>
      <c r="AL60" s="20">
        <f t="shared" si="4"/>
        <v>516.29166093616936</v>
      </c>
      <c r="AM60" s="59">
        <f t="shared" si="5"/>
        <v>800.49718708318574</v>
      </c>
      <c r="AN60" s="59">
        <f ca="1">AVERAGE(OFFSET($AM$3,0,0,'Données projet'!$E$10+1,1))-AVERAGE(OFFSET($H$3,0,0,'Données projet'!$E$10+1,1))</f>
        <v>356.02637444732096</v>
      </c>
      <c r="AO60" s="59">
        <f t="shared" si="36"/>
        <v>263.30053404008095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25.935441176463701</v>
      </c>
      <c r="AV60" s="21">
        <f>EXP(-LN(2)/25)*AV59+(1-EXP(-LN(2)/25))/(LN(2)/25)*Calculateur!AQ60*Calculateur!AS60*VLOOKUP('Données projet'!$B$10,Paramètres!$A$1:$I$89,3,0)*0.475*44/12</f>
        <v>29.338110627628524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55.273551804092222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7.8874999999999993</v>
      </c>
      <c r="BD60" s="12">
        <f>IF('Données projet'!$A$88&gt;35,BD59+BC60-BL59,IF(A60&lt;'Données projet'!$A$88,$BA$205^A60,IF(A60='Données projet'!$A$88,'Données projet'!$B$88,BD59+BC60-BL59)))</f>
        <v>147.81500000000008</v>
      </c>
      <c r="BE60" s="13">
        <f>BD60*VLOOKUP('Données projet'!$B$11,Paramètres!$A$1:$I$89,3,0)*VLOOKUP('Données projet'!$B$11,Paramètres!$A$1:$I$89,5,0)</f>
        <v>149.88441000000009</v>
      </c>
      <c r="BF60" s="13">
        <f t="shared" si="37"/>
        <v>38.552316200134442</v>
      </c>
      <c r="BG60" s="20">
        <f t="shared" si="7"/>
        <v>328.19396479856761</v>
      </c>
      <c r="BH60" s="59">
        <f t="shared" si="8"/>
        <v>612.39949094558392</v>
      </c>
      <c r="BI60" s="59">
        <f ca="1">AVERAGE(OFFSET($BH$3,0,0,'Données projet'!$E$11+1,1))-AVERAGE(OFFSET($H$3,0,0,'Données projet'!$E$11+1,1))</f>
        <v>478.2340976873212</v>
      </c>
      <c r="BJ60" s="59">
        <f t="shared" si="38"/>
        <v>342.90128902463823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20.742084625143427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20.742084625143427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10.953750000000003</v>
      </c>
      <c r="BY60" s="12">
        <f>IF('Données projet'!$A$114&gt;35,BY59+BX60-CG59,IF(A60&lt;'Données projet'!$A$114,$BV$205^A60,IF(A60='Données projet'!$A$114,'Données projet'!$B$114,BY59+BX60-CG59)))</f>
        <v>214.56750000000019</v>
      </c>
      <c r="BZ60" s="13">
        <f>BY60*VLOOKUP('Données projet'!$B$12,Paramètres!$A$1:$I$89,3,0)*VLOOKUP('Données projet'!$B$12,Paramètres!$A$1:$I$89,5,0)</f>
        <v>194.14067400000016</v>
      </c>
      <c r="CA60" s="13">
        <f t="shared" si="39"/>
        <v>48.454245284609179</v>
      </c>
      <c r="CB60" s="20">
        <f t="shared" si="10"/>
        <v>422.5194844206946</v>
      </c>
      <c r="CC60" s="59">
        <f t="shared" si="11"/>
        <v>706.72501056771091</v>
      </c>
      <c r="CD60" s="59">
        <f ca="1">AVERAGE(OFFSET($CC$3,0,0,'Données projet'!$E$12+1,1))-AVERAGE(OFFSET($H$3,0,0,'Données projet'!$E$12+1,1))</f>
        <v>471.03166569378629</v>
      </c>
      <c r="CE60" s="59">
        <f t="shared" si="40"/>
        <v>259.15709238853287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15.979113131828974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15.979113131828974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16.595714285714287</v>
      </c>
      <c r="CT60" s="12">
        <f>IF('Données projet'!$A$140&gt;35,CT59+CS60-DB59,IF(A60&lt;'Données projet'!$A$140,$CQ$205^A60,IF(A60='Données projet'!$A$140,'Données projet'!$B$140,CT59+CS60-DB59)))</f>
        <v>316.9157142857141</v>
      </c>
      <c r="CU60" s="17">
        <f>CT60*VLOOKUP('Données projet'!$B$13,Paramètres!$A$1:$I$89,3,0)*VLOOKUP('Données projet'!$B$13,Paramètres!$A$1:$I$89,5,0)</f>
        <v>148.3165542857142</v>
      </c>
      <c r="CV60" s="13">
        <f t="shared" si="41"/>
        <v>38.195765606294593</v>
      </c>
      <c r="CW60" s="20">
        <f t="shared" si="13"/>
        <v>324.84229047858202</v>
      </c>
      <c r="CX60" s="59">
        <f t="shared" si="14"/>
        <v>609.04781662559833</v>
      </c>
      <c r="CY60" s="59">
        <f ca="1">AVERAGE(OFFSET($CX$3,0,0,'Données projet'!$E$13+1,1))-AVERAGE(OFFSET($H$3,0,0,'Données projet'!$E$13+1,1))</f>
        <v>364.67256251031029</v>
      </c>
      <c r="CZ60" s="59">
        <f t="shared" si="42"/>
        <v>347.4139588390766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56.334758670708638</v>
      </c>
      <c r="DG60" s="21">
        <f>EXP(-LN(2)/25)*DG59+(1-EXP(-LN(2)/25))/(LN(2)/25)*Calculateur!DB60*Calculateur!DD60*VLOOKUP('Données projet'!$B$13,Paramètres!$A$1:$I$89,3,0)*0.475*44/12</f>
        <v>41.986831516997626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98.321590187706263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67.51059804009536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1.35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4.95</v>
      </c>
      <c r="H61" s="67">
        <f t="shared" si="1"/>
        <v>236.86666666666665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51.998489924038495</v>
      </c>
      <c r="T61" s="59">
        <f t="shared" si="34"/>
        <v>206.32767973856241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19.993889548299354</v>
      </c>
      <c r="AA61" s="21">
        <f>EXP(-LN(2)/25)*AA60+(1-EXP(-LN(2)/25))/(LN(2)/25)*Calculateur!V61*Calculateur!X61*VLOOKUP('Données projet'!$B$9,Paramètres!$A$1:$I$89,3,0)*0.475*44/12</f>
        <v>4.0890399166196385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24.08292946491899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14.12</v>
      </c>
      <c r="AI61" s="13">
        <f>IF('Données projet'!$A$62&gt;35,AI60+AH61-AQ60,IF(A61&lt;'Données projet'!$A$62,$AF$205^A61,IF(A61='Données projet'!$A$62,'Données projet'!$B$62,AI60+AH61-AQ60)))</f>
        <v>412.70000000000022</v>
      </c>
      <c r="AJ61" s="13">
        <f>AI61*VLOOKUP('Données projet'!$B$10,Paramètres!$A$1:$I$89,3,0)*VLOOKUP('Données projet'!$B$10,Paramètres!$A$1:$I$89,5,0)</f>
        <v>246.79460000000014</v>
      </c>
      <c r="AK61" s="13">
        <f t="shared" si="35"/>
        <v>59.899038030532552</v>
      </c>
      <c r="AL61" s="20">
        <f t="shared" si="4"/>
        <v>534.15808623651117</v>
      </c>
      <c r="AM61" s="59">
        <f t="shared" si="5"/>
        <v>818.52195943149036</v>
      </c>
      <c r="AN61" s="59">
        <f ca="1">AVERAGE(OFFSET($AM$3,0,0,'Données projet'!$E$10+1,1))-AVERAGE(OFFSET($H$3,0,0,'Données projet'!$E$10+1,1))</f>
        <v>356.02637444732096</v>
      </c>
      <c r="AO61" s="59">
        <f t="shared" si="36"/>
        <v>263.30053404008095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25.426862994050364</v>
      </c>
      <c r="AV61" s="21">
        <f>EXP(-LN(2)/25)*AV60+(1-EXP(-LN(2)/25))/(LN(2)/25)*Calculateur!AQ61*Calculateur!AS61*VLOOKUP('Données projet'!$B$10,Paramètres!$A$1:$I$89,3,0)*0.475*44/12</f>
        <v>28.535858449691837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53.962721443742197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7.8874999999999993</v>
      </c>
      <c r="BD61" s="12">
        <f>IF('Données projet'!$A$88&gt;35,BD60+BC61-BL60,IF(A61&lt;'Données projet'!$A$88,$BA$205^A61,IF(A61='Données projet'!$A$88,'Données projet'!$B$88,BD60+BC61-BL60)))</f>
        <v>155.70250000000007</v>
      </c>
      <c r="BE61" s="13">
        <f>BD61*VLOOKUP('Données projet'!$B$11,Paramètres!$A$1:$I$89,3,0)*VLOOKUP('Données projet'!$B$11,Paramètres!$A$1:$I$89,5,0)</f>
        <v>157.88233500000007</v>
      </c>
      <c r="BF61" s="13">
        <f t="shared" si="37"/>
        <v>40.364500399414574</v>
      </c>
      <c r="BG61" s="20">
        <f t="shared" si="7"/>
        <v>345.27990498731378</v>
      </c>
      <c r="BH61" s="59">
        <f t="shared" si="8"/>
        <v>629.64377818229309</v>
      </c>
      <c r="BI61" s="59">
        <f ca="1">AVERAGE(OFFSET($BH$3,0,0,'Données projet'!$E$11+1,1))-AVERAGE(OFFSET($H$3,0,0,'Données projet'!$E$11+1,1))</f>
        <v>478.2340976873212</v>
      </c>
      <c r="BJ61" s="59">
        <f t="shared" si="38"/>
        <v>342.90128902463823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20.335344997066763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20.335344997066763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10.953750000000003</v>
      </c>
      <c r="BY61" s="12">
        <f>IF('Données projet'!$A$114&gt;35,BY60+BX61-CG60,IF(A61&lt;'Données projet'!$A$114,$BV$205^A61,IF(A61='Données projet'!$A$114,'Données projet'!$B$114,BY60+BX61-CG60)))</f>
        <v>225.52125000000021</v>
      </c>
      <c r="BZ61" s="13">
        <f>BY61*VLOOKUP('Données projet'!$B$12,Paramètres!$A$1:$I$89,3,0)*VLOOKUP('Données projet'!$B$12,Paramètres!$A$1:$I$89,5,0)</f>
        <v>204.05162700000017</v>
      </c>
      <c r="CA61" s="13">
        <f t="shared" si="39"/>
        <v>50.633550708111564</v>
      </c>
      <c r="CB61" s="20">
        <f t="shared" si="10"/>
        <v>443.57668450829459</v>
      </c>
      <c r="CC61" s="59">
        <f t="shared" si="11"/>
        <v>727.94055770327384</v>
      </c>
      <c r="CD61" s="59">
        <f ca="1">AVERAGE(OFFSET($CC$3,0,0,'Données projet'!$E$12+1,1))-AVERAGE(OFFSET($H$3,0,0,'Données projet'!$E$12+1,1))</f>
        <v>471.03166569378629</v>
      </c>
      <c r="CE61" s="59">
        <f t="shared" si="40"/>
        <v>259.15709238853287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15.665772469610452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15.665772469610452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16.595714285714287</v>
      </c>
      <c r="CT61" s="12">
        <f>IF('Données projet'!$A$140&gt;35,CT60+CS61-DB60,IF(A61&lt;'Données projet'!$A$140,$CQ$205^A61,IF(A61='Données projet'!$A$140,'Données projet'!$B$140,CT60+CS61-DB60)))</f>
        <v>333.51142857142838</v>
      </c>
      <c r="CU61" s="17">
        <f>CT61*VLOOKUP('Données projet'!$B$13,Paramètres!$A$1:$I$89,3,0)*VLOOKUP('Données projet'!$B$13,Paramètres!$A$1:$I$89,5,0)</f>
        <v>156.08334857142847</v>
      </c>
      <c r="CV61" s="13">
        <f t="shared" si="41"/>
        <v>39.957833547833964</v>
      </c>
      <c r="CW61" s="20">
        <f t="shared" si="13"/>
        <v>341.43839219104871</v>
      </c>
      <c r="CX61" s="59">
        <f t="shared" si="14"/>
        <v>625.80226538602801</v>
      </c>
      <c r="CY61" s="59">
        <f ca="1">AVERAGE(OFFSET($CX$3,0,0,'Données projet'!$E$13+1,1))-AVERAGE(OFFSET($H$3,0,0,'Données projet'!$E$13+1,1))</f>
        <v>364.67256251031029</v>
      </c>
      <c r="CZ61" s="59">
        <f t="shared" si="42"/>
        <v>347.4139588390766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55.230068413985983</v>
      </c>
      <c r="DG61" s="21">
        <f>EXP(-LN(2)/25)*DG60+(1-EXP(-LN(2)/25))/(LN(2)/25)*Calculateur!DB61*Calculateur!DD61*VLOOKUP('Données projet'!$B$13,Paramètres!$A$1:$I$89,3,0)*0.475*44/12</f>
        <v>40.83869940117382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96.068767815159802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67.553783598630702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1.35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4.95</v>
      </c>
      <c r="H62" s="67">
        <f t="shared" si="1"/>
        <v>236.86666666666665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51.998489924038495</v>
      </c>
      <c r="T62" s="59">
        <f t="shared" si="34"/>
        <v>206.32767973856241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19.601821569325665</v>
      </c>
      <c r="AA62" s="21">
        <f>EXP(-LN(2)/25)*AA61+(1-EXP(-LN(2)/25))/(LN(2)/25)*Calculateur!V62*Calculateur!X62*VLOOKUP('Données projet'!$B$9,Paramètres!$A$1:$I$89,3,0)*0.475*44/12</f>
        <v>3.9772249050664108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23.579046474392076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14.12</v>
      </c>
      <c r="AI62" s="13">
        <f>IF('Données projet'!$A$62&gt;35,AI61+AH62-AQ61,IF(A62&lt;'Données projet'!$A$62,$AF$205^A62,IF(A62='Données projet'!$A$62,'Données projet'!$B$62,AI61+AH62-AQ61)))</f>
        <v>426.82000000000022</v>
      </c>
      <c r="AJ62" s="13">
        <f>AI62*VLOOKUP('Données projet'!$B$10,Paramètres!$A$1:$I$89,3,0)*VLOOKUP('Données projet'!$B$10,Paramètres!$A$1:$I$89,5,0)</f>
        <v>255.23836000000014</v>
      </c>
      <c r="AK62" s="13">
        <f t="shared" si="35"/>
        <v>61.706299433596136</v>
      </c>
      <c r="AL62" s="20">
        <f t="shared" si="4"/>
        <v>552.0119485135134</v>
      </c>
      <c r="AM62" s="59">
        <f t="shared" si="5"/>
        <v>836.53142178918438</v>
      </c>
      <c r="AN62" s="59">
        <f ca="1">AVERAGE(OFFSET($AM$3,0,0,'Données projet'!$E$10+1,1))-AVERAGE(OFFSET($H$3,0,0,'Données projet'!$E$10+1,1))</f>
        <v>356.02637444732096</v>
      </c>
      <c r="AO62" s="59">
        <f t="shared" si="36"/>
        <v>263.30053404008095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24.928257719592089</v>
      </c>
      <c r="AV62" s="21">
        <f>EXP(-LN(2)/25)*AV61+(1-EXP(-LN(2)/25))/(LN(2)/25)*Calculateur!AQ62*Calculateur!AS62*VLOOKUP('Données projet'!$B$10,Paramètres!$A$1:$I$89,3,0)*0.475*44/12</f>
        <v>27.755543899749437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52.683801619341523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7.8874999999999993</v>
      </c>
      <c r="BD62" s="12">
        <f>IF('Données projet'!$A$88&gt;35,BD61+BC62-BL61,IF(A62&lt;'Données projet'!$A$88,$BA$205^A62,IF(A62='Données projet'!$A$88,'Données projet'!$B$88,BD61+BC62-BL61)))</f>
        <v>163.59000000000006</v>
      </c>
      <c r="BE62" s="13">
        <f>BD62*VLOOKUP('Données projet'!$B$11,Paramètres!$A$1:$I$89,3,0)*VLOOKUP('Données projet'!$B$11,Paramètres!$A$1:$I$89,5,0)</f>
        <v>165.88026000000008</v>
      </c>
      <c r="BF62" s="13">
        <f t="shared" si="37"/>
        <v>42.166025623200298</v>
      </c>
      <c r="BG62" s="20">
        <f t="shared" si="7"/>
        <v>362.34728079374071</v>
      </c>
      <c r="BH62" s="59">
        <f t="shared" si="8"/>
        <v>646.86675406941163</v>
      </c>
      <c r="BI62" s="59">
        <f ca="1">AVERAGE(OFFSET($BH$3,0,0,'Données projet'!$E$11+1,1))-AVERAGE(OFFSET($H$3,0,0,'Données projet'!$E$11+1,1))</f>
        <v>478.2340976873212</v>
      </c>
      <c r="BJ62" s="59">
        <f t="shared" si="38"/>
        <v>342.90128902463823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19.936581285010003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19.936581285010003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10.953750000000003</v>
      </c>
      <c r="BY62" s="12">
        <f>IF('Données projet'!$A$114&gt;35,BY61+BX62-CG61,IF(A62&lt;'Données projet'!$A$114,$BV$205^A62,IF(A62='Données projet'!$A$114,'Données projet'!$B$114,BY61+BX62-CG61)))</f>
        <v>236.47500000000022</v>
      </c>
      <c r="BZ62" s="13">
        <f>BY62*VLOOKUP('Données projet'!$B$12,Paramètres!$A$1:$I$89,3,0)*VLOOKUP('Données projet'!$B$12,Paramètres!$A$1:$I$89,5,0)</f>
        <v>213.9625800000002</v>
      </c>
      <c r="CA62" s="13">
        <f t="shared" si="39"/>
        <v>52.800564779288216</v>
      </c>
      <c r="CB62" s="20">
        <f t="shared" si="10"/>
        <v>464.61247715726063</v>
      </c>
      <c r="CC62" s="59">
        <f t="shared" si="11"/>
        <v>749.13195043293149</v>
      </c>
      <c r="CD62" s="59">
        <f ca="1">AVERAGE(OFFSET($CC$3,0,0,'Données projet'!$E$12+1,1))-AVERAGE(OFFSET($H$3,0,0,'Données projet'!$E$12+1,1))</f>
        <v>471.03166569378629</v>
      </c>
      <c r="CE62" s="59">
        <f t="shared" si="40"/>
        <v>259.15709238853287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15.358576226659103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15.358576226659103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16.595714285714287</v>
      </c>
      <c r="CT62" s="12">
        <f>IF('Données projet'!$A$140&gt;35,CT61+CS62-DB61,IF(A62&lt;'Données projet'!$A$140,$CQ$205^A62,IF(A62='Données projet'!$A$140,'Données projet'!$B$140,CT61+CS62-DB61)))</f>
        <v>350.10714285714266</v>
      </c>
      <c r="CU62" s="17">
        <f>CT62*VLOOKUP('Données projet'!$B$13,Paramètres!$A$1:$I$89,3,0)*VLOOKUP('Données projet'!$B$13,Paramètres!$A$1:$I$89,5,0)</f>
        <v>163.85014285714277</v>
      </c>
      <c r="CV62" s="13">
        <f t="shared" si="41"/>
        <v>41.709720429643745</v>
      </c>
      <c r="CW62" s="20">
        <f t="shared" si="13"/>
        <v>358.01676189115318</v>
      </c>
      <c r="CX62" s="59">
        <f t="shared" si="14"/>
        <v>642.5362351668241</v>
      </c>
      <c r="CY62" s="59">
        <f ca="1">AVERAGE(OFFSET($CX$3,0,0,'Données projet'!$E$13+1,1))-AVERAGE(OFFSET($H$3,0,0,'Données projet'!$E$13+1,1))</f>
        <v>364.67256251031029</v>
      </c>
      <c r="CZ62" s="59">
        <f t="shared" si="42"/>
        <v>347.4139588390766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54.147040459403136</v>
      </c>
      <c r="DG62" s="21">
        <f>EXP(-LN(2)/25)*DG61+(1-EXP(-LN(2)/25))/(LN(2)/25)*Calculateur!DB62*Calculateur!DD62*VLOOKUP('Données projet'!$B$13,Paramètres!$A$1:$I$89,3,0)*0.475*44/12</f>
        <v>39.721963018434856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93.869003477837992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67.596219984273887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1.35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4.95</v>
      </c>
      <c r="H63" s="67">
        <f t="shared" si="1"/>
        <v>236.86666666666665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51.998489924038495</v>
      </c>
      <c r="T63" s="59">
        <f t="shared" si="34"/>
        <v>206.32767973856241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19.217441804281798</v>
      </c>
      <c r="AA63" s="21">
        <f>EXP(-LN(2)/25)*AA62+(1-EXP(-LN(2)/25))/(LN(2)/25)*Calculateur!V63*Calculateur!X63*VLOOKUP('Données projet'!$B$9,Paramètres!$A$1:$I$89,3,0)*0.475*44/12</f>
        <v>3.8684674808842021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23.085909285166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14.12</v>
      </c>
      <c r="AH63" s="12">
        <f t="array" ref="AH63">INDEX(AG:AG,MIN(IF(ISNUMBER(AG63:AG259),ROW(AG63:AG259),"")))</f>
        <v>14.12</v>
      </c>
      <c r="AI63" s="13">
        <f>IF('Données projet'!$A$62&gt;35,AI62+AH63-AQ62,IF(A63&lt;'Données projet'!$A$62,$AF$205^A63,IF(A63='Données projet'!$A$62,'Données projet'!$B$62,AI62+AH63-AQ62)))</f>
        <v>440.94000000000023</v>
      </c>
      <c r="AJ63" s="13">
        <f>AI63*VLOOKUP('Données projet'!$B$10,Paramètres!$A$1:$I$89,3,0)*VLOOKUP('Données projet'!$B$10,Paramètres!$A$1:$I$89,5,0)</f>
        <v>263.68212000000017</v>
      </c>
      <c r="AK63" s="13">
        <f t="shared" si="35"/>
        <v>63.506613606650063</v>
      </c>
      <c r="AL63" s="20">
        <f t="shared" si="4"/>
        <v>569.85371103158241</v>
      </c>
      <c r="AM63" s="59">
        <f t="shared" si="5"/>
        <v>854.5260850744146</v>
      </c>
      <c r="AN63" s="59">
        <f ca="1">AVERAGE(OFFSET($AM$3,0,0,'Données projet'!$E$10+1,1))-AVERAGE(OFFSET($H$3,0,0,'Données projet'!$E$10+1,1))</f>
        <v>356.02637444732096</v>
      </c>
      <c r="AO63" s="59">
        <f t="shared" si="36"/>
        <v>263.30053404008095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69.849999999999994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41.893893301456316</v>
      </c>
      <c r="AV63" s="21">
        <f>EXP(-LN(2)/25)*AV62+(1-EXP(-LN(2)/25))/(LN(2)/25)*Calculateur!AQ63*Calculateur!AS63*VLOOKUP('Données projet'!$B$10,Paramètres!$A$1:$I$89,3,0)*0.475*44/12</f>
        <v>34.447597936850762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76.341491238307071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7.8874999999999993</v>
      </c>
      <c r="BD63" s="12">
        <f>IF('Données projet'!$A$88&gt;35,BD62+BC63-BL62,IF(A63&lt;'Données projet'!$A$88,$BA$205^A63,IF(A63='Données projet'!$A$88,'Données projet'!$B$88,BD62+BC63-BL62)))</f>
        <v>171.47750000000005</v>
      </c>
      <c r="BE63" s="13">
        <f>BD63*VLOOKUP('Données projet'!$B$11,Paramètres!$A$1:$I$89,3,0)*VLOOKUP('Données projet'!$B$11,Paramètres!$A$1:$I$89,5,0)</f>
        <v>173.87818500000006</v>
      </c>
      <c r="BF63" s="13">
        <f t="shared" si="37"/>
        <v>43.957464462157994</v>
      </c>
      <c r="BG63" s="20">
        <f t="shared" si="7"/>
        <v>379.39708947992523</v>
      </c>
      <c r="BH63" s="59">
        <f t="shared" si="8"/>
        <v>664.06946352275747</v>
      </c>
      <c r="BI63" s="59">
        <f ca="1">AVERAGE(OFFSET($BH$3,0,0,'Données projet'!$E$11+1,1))-AVERAGE(OFFSET($H$3,0,0,'Données projet'!$E$11+1,1))</f>
        <v>478.2340976873212</v>
      </c>
      <c r="BJ63" s="59">
        <f t="shared" si="38"/>
        <v>342.90128902463823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19.545637086124831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19.545637086124831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10.953750000000003</v>
      </c>
      <c r="BY63" s="12">
        <f>IF('Données projet'!$A$114&gt;35,BY62+BX63-CG62,IF(A63&lt;'Données projet'!$A$114,$BV$205^A63,IF(A63='Données projet'!$A$114,'Données projet'!$B$114,BY62+BX63-CG62)))</f>
        <v>247.42875000000024</v>
      </c>
      <c r="BZ63" s="13">
        <f>BY63*VLOOKUP('Données projet'!$B$12,Paramètres!$A$1:$I$89,3,0)*VLOOKUP('Données projet'!$B$12,Paramètres!$A$1:$I$89,5,0)</f>
        <v>223.87353300000021</v>
      </c>
      <c r="CA63" s="13">
        <f t="shared" si="39"/>
        <v>54.95592187074584</v>
      </c>
      <c r="CB63" s="20">
        <f t="shared" si="10"/>
        <v>485.62796723321611</v>
      </c>
      <c r="CC63" s="59">
        <f t="shared" si="11"/>
        <v>770.30034127604836</v>
      </c>
      <c r="CD63" s="59">
        <f ca="1">AVERAGE(OFFSET($CC$3,0,0,'Données projet'!$E$12+1,1))-AVERAGE(OFFSET($H$3,0,0,'Données projet'!$E$12+1,1))</f>
        <v>471.03166569378629</v>
      </c>
      <c r="CE63" s="59">
        <f t="shared" si="40"/>
        <v>259.15709238853287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15.057403914660823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15.057403914660823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16.595714285714287</v>
      </c>
      <c r="CT63" s="12">
        <f>IF('Données projet'!$A$140&gt;35,CT62+CS63-DB62,IF(A63&lt;'Données projet'!$A$140,$CQ$205^A63,IF(A63='Données projet'!$A$140,'Données projet'!$B$140,CT62+CS63-DB62)))</f>
        <v>366.70285714285694</v>
      </c>
      <c r="CU63" s="17">
        <f>CT63*VLOOKUP('Données projet'!$B$13,Paramètres!$A$1:$I$89,3,0)*VLOOKUP('Données projet'!$B$13,Paramètres!$A$1:$I$89,5,0)</f>
        <v>171.61693714285704</v>
      </c>
      <c r="CV63" s="13">
        <f t="shared" si="41"/>
        <v>43.45196395541258</v>
      </c>
      <c r="CW63" s="20">
        <f t="shared" si="13"/>
        <v>374.57833607948623</v>
      </c>
      <c r="CX63" s="59">
        <f t="shared" si="14"/>
        <v>659.25071012231842</v>
      </c>
      <c r="CY63" s="59">
        <f ca="1">AVERAGE(OFFSET($CX$3,0,0,'Données projet'!$E$13+1,1))-AVERAGE(OFFSET($H$3,0,0,'Données projet'!$E$13+1,1))</f>
        <v>364.67256251031029</v>
      </c>
      <c r="CZ63" s="59">
        <f t="shared" si="42"/>
        <v>347.4139588390766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53.085250022427829</v>
      </c>
      <c r="DG63" s="21">
        <f>EXP(-LN(2)/25)*DG62+(1-EXP(-LN(2)/25))/(LN(2)/25)*Calculateur!DB63*Calculateur!DD63*VLOOKUP('Données projet'!$B$13,Paramètres!$A$1:$I$89,3,0)*0.475*44/12</f>
        <v>38.635763850808509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91.72101387323633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67.63792019349971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1.35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4.95</v>
      </c>
      <c r="H64" s="67">
        <f t="shared" si="1"/>
        <v>236.86666666666665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51.998489924038495</v>
      </c>
      <c r="T64" s="59">
        <f t="shared" si="34"/>
        <v>206.32767973856241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18.840599491981934</v>
      </c>
      <c r="AA64" s="21">
        <f>EXP(-LN(2)/25)*AA63+(1-EXP(-LN(2)/25))/(LN(2)/25)*Calculateur!V64*Calculateur!X64*VLOOKUP('Données projet'!$B$9,Paramètres!$A$1:$I$89,3,0)*0.475*44/12</f>
        <v>3.7626840341855603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22.603283526167495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382.98700000000019</v>
      </c>
      <c r="AJ64" s="13">
        <f>AI64*VLOOKUP('Données projet'!$B$10,Paramètres!$A$1:$I$89,3,0)*VLOOKUP('Données projet'!$B$10,Paramètres!$A$1:$I$89,5,0)</f>
        <v>229.02622600000012</v>
      </c>
      <c r="AK64" s="13">
        <f t="shared" si="35"/>
        <v>56.072076861881605</v>
      </c>
      <c r="AL64" s="20">
        <f t="shared" si="4"/>
        <v>496.54621081777736</v>
      </c>
      <c r="AM64" s="59">
        <f t="shared" si="5"/>
        <v>781.36883314129568</v>
      </c>
      <c r="AN64" s="59">
        <f ca="1">AVERAGE(OFFSET($AM$3,0,0,'Données projet'!$E$10+1,1))-AVERAGE(OFFSET($H$3,0,0,'Données projet'!$E$10+1,1))</f>
        <v>356.02637444732096</v>
      </c>
      <c r="AO64" s="59">
        <f t="shared" si="36"/>
        <v>263.30053404008095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41.07237960656655</v>
      </c>
      <c r="AV64" s="21">
        <f>EXP(-LN(2)/25)*AV63+(1-EXP(-LN(2)/25))/(LN(2)/25)*Calculateur!AQ64*Calculateur!AS64*VLOOKUP('Données projet'!$B$10,Paramètres!$A$1:$I$89,3,0)*0.475*44/12</f>
        <v>33.505626559747135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74.578006166313685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7.8874999999999993</v>
      </c>
      <c r="BD64" s="12">
        <f>IF('Données projet'!$A$88&gt;35,BD63+BC64-BL63,IF(A64&lt;'Données projet'!$A$88,$BA$205^A64,IF(A64='Données projet'!$A$88,'Données projet'!$B$88,BD63+BC64-BL63)))</f>
        <v>179.36500000000004</v>
      </c>
      <c r="BE64" s="13">
        <f>BD64*VLOOKUP('Données projet'!$B$11,Paramètres!$A$1:$I$89,3,0)*VLOOKUP('Données projet'!$B$11,Paramètres!$A$1:$I$89,5,0)</f>
        <v>181.87611000000004</v>
      </c>
      <c r="BF64" s="13">
        <f t="shared" si="37"/>
        <v>45.739333854484087</v>
      </c>
      <c r="BG64" s="20">
        <f t="shared" si="7"/>
        <v>396.4302313798932</v>
      </c>
      <c r="BH64" s="59">
        <f t="shared" si="8"/>
        <v>681.25285370341146</v>
      </c>
      <c r="BI64" s="59">
        <f ca="1">AVERAGE(OFFSET($BH$3,0,0,'Données projet'!$E$11+1,1))-AVERAGE(OFFSET($H$3,0,0,'Données projet'!$E$11+1,1))</f>
        <v>478.2340976873212</v>
      </c>
      <c r="BJ64" s="59">
        <f t="shared" si="38"/>
        <v>342.90128902463823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19.162359064527379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19.162359064527379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10.953750000000003</v>
      </c>
      <c r="BY64" s="12">
        <f>IF('Données projet'!$A$114&gt;35,BY63+BX64-CG63,IF(A64&lt;'Données projet'!$A$114,$BV$205^A64,IF(A64='Données projet'!$A$114,'Données projet'!$B$114,BY63+BX64-CG63)))</f>
        <v>258.38250000000022</v>
      </c>
      <c r="BZ64" s="13">
        <f>BY64*VLOOKUP('Données projet'!$B$12,Paramètres!$A$1:$I$89,3,0)*VLOOKUP('Données projet'!$B$12,Paramètres!$A$1:$I$89,5,0)</f>
        <v>233.78448600000019</v>
      </c>
      <c r="CA64" s="13">
        <f t="shared" si="39"/>
        <v>57.100197011611698</v>
      </c>
      <c r="CB64" s="20">
        <f t="shared" si="10"/>
        <v>506.62415624522396</v>
      </c>
      <c r="CC64" s="59">
        <f t="shared" si="11"/>
        <v>791.44677856874227</v>
      </c>
      <c r="CD64" s="59">
        <f ca="1">AVERAGE(OFFSET($CC$3,0,0,'Données projet'!$E$12+1,1))-AVERAGE(OFFSET($H$3,0,0,'Données projet'!$E$12+1,1))</f>
        <v>471.03166569378629</v>
      </c>
      <c r="CE64" s="59">
        <f t="shared" si="40"/>
        <v>259.15709238853287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14.762137408003856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14.762137408003856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16.595714285714287</v>
      </c>
      <c r="CT64" s="12">
        <f>IF('Données projet'!$A$140&gt;35,CT63+CS64-DB63,IF(A64&lt;'Données projet'!$A$140,$CQ$205^A64,IF(A64='Données projet'!$A$140,'Données projet'!$B$140,CT63+CS64-DB63)))</f>
        <v>383.29857142857122</v>
      </c>
      <c r="CU64" s="17">
        <f>CT64*VLOOKUP('Données projet'!$B$13,Paramètres!$A$1:$I$89,3,0)*VLOOKUP('Données projet'!$B$13,Paramètres!$A$1:$I$89,5,0)</f>
        <v>179.38373142857134</v>
      </c>
      <c r="CV64" s="13">
        <f t="shared" si="41"/>
        <v>45.185050408380668</v>
      </c>
      <c r="CW64" s="20">
        <f t="shared" si="13"/>
        <v>391.12396169935806</v>
      </c>
      <c r="CX64" s="59">
        <f t="shared" si="14"/>
        <v>675.94658402287632</v>
      </c>
      <c r="CY64" s="59">
        <f ca="1">AVERAGE(OFFSET($CX$3,0,0,'Données projet'!$E$13+1,1))-AVERAGE(OFFSET($H$3,0,0,'Données projet'!$E$13+1,1))</f>
        <v>364.67256251031029</v>
      </c>
      <c r="CZ64" s="59">
        <f t="shared" si="42"/>
        <v>347.4139588390766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52.044280648293395</v>
      </c>
      <c r="DG64" s="21">
        <f>EXP(-LN(2)/25)*DG63+(1-EXP(-LN(2)/25))/(LN(2)/25)*Calculateur!DB64*Calculateur!DD64*VLOOKUP('Données projet'!$B$13,Paramètres!$A$1:$I$89,3,0)*0.475*44/12</f>
        <v>37.579266856541629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89.623547504835017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67.678896997323164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1.35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4.95</v>
      </c>
      <c r="H65" s="67">
        <f t="shared" si="1"/>
        <v>236.86666666666665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51.998489924038495</v>
      </c>
      <c r="T65" s="59">
        <f t="shared" si="34"/>
        <v>206.32767973856241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18.471146827575154</v>
      </c>
      <c r="AA65" s="21">
        <f>EXP(-LN(2)/25)*AA64+(1-EXP(-LN(2)/25))/(LN(2)/25)*Calculateur!V65*Calculateur!X65*VLOOKUP('Données projet'!$B$9,Paramètres!$A$1:$I$89,3,0)*0.475*44/12</f>
        <v>3.6597932413998024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22.130940068974958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394.88400000000019</v>
      </c>
      <c r="AJ65" s="13">
        <f>AI65*VLOOKUP('Données projet'!$B$10,Paramètres!$A$1:$I$89,3,0)*VLOOKUP('Données projet'!$B$10,Paramètres!$A$1:$I$89,5,0)</f>
        <v>236.14063200000015</v>
      </c>
      <c r="AK65" s="13">
        <f t="shared" si="35"/>
        <v>57.608386833134347</v>
      </c>
      <c r="AL65" s="20">
        <f t="shared" si="4"/>
        <v>511.61287446770933</v>
      </c>
      <c r="AM65" s="59">
        <f t="shared" si="5"/>
        <v>796.58313860014846</v>
      </c>
      <c r="AN65" s="59">
        <f ca="1">AVERAGE(OFFSET($AM$3,0,0,'Données projet'!$E$10+1,1))-AVERAGE(OFFSET($H$3,0,0,'Données projet'!$E$10+1,1))</f>
        <v>356.02637444732096</v>
      </c>
      <c r="AO65" s="59">
        <f t="shared" si="36"/>
        <v>263.30053404008095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40.266975294159693</v>
      </c>
      <c r="AV65" s="21">
        <f>EXP(-LN(2)/25)*AV64+(1-EXP(-LN(2)/25))/(LN(2)/25)*Calculateur!AQ65*Calculateur!AS65*VLOOKUP('Données projet'!$B$10,Paramètres!$A$1:$I$89,3,0)*0.475*44/12</f>
        <v>32.589413439486528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72.856388733646213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7.8874999999999993</v>
      </c>
      <c r="BD65" s="12">
        <f>IF('Données projet'!$A$88&gt;35,BD64+BC65-BL64,IF(A65&lt;'Données projet'!$A$88,$BA$205^A65,IF(A65='Données projet'!$A$88,'Données projet'!$B$88,BD64+BC65-BL64)))</f>
        <v>187.25250000000003</v>
      </c>
      <c r="BE65" s="13">
        <f>BD65*VLOOKUP('Données projet'!$B$11,Paramètres!$A$1:$I$89,3,0)*VLOOKUP('Données projet'!$B$11,Paramètres!$A$1:$I$89,5,0)</f>
        <v>189.87403500000005</v>
      </c>
      <c r="BF65" s="13">
        <f t="shared" si="37"/>
        <v>47.512102703382475</v>
      </c>
      <c r="BG65" s="20">
        <f t="shared" si="7"/>
        <v>413.44752316672458</v>
      </c>
      <c r="BH65" s="59">
        <f t="shared" si="8"/>
        <v>698.41778729916382</v>
      </c>
      <c r="BI65" s="59">
        <f ca="1">AVERAGE(OFFSET($BH$3,0,0,'Données projet'!$E$11+1,1))-AVERAGE(OFFSET($H$3,0,0,'Données projet'!$E$11+1,1))</f>
        <v>478.2340976873212</v>
      </c>
      <c r="BJ65" s="59">
        <f t="shared" si="38"/>
        <v>342.90128902463823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18.786596891156943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18.786596891156943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10.953750000000003</v>
      </c>
      <c r="BY65" s="12">
        <f>IF('Données projet'!$A$114&gt;35,BY64+BX65-CG64,IF(A65&lt;'Données projet'!$A$114,$BV$205^A65,IF(A65='Données projet'!$A$114,'Données projet'!$B$114,BY64+BX65-CG64)))</f>
        <v>269.33625000000023</v>
      </c>
      <c r="BZ65" s="13">
        <f>BY65*VLOOKUP('Données projet'!$B$12,Paramètres!$A$1:$I$89,3,0)*VLOOKUP('Données projet'!$B$12,Paramètres!$A$1:$I$89,5,0)</f>
        <v>243.69543900000022</v>
      </c>
      <c r="CA65" s="13">
        <f t="shared" si="39"/>
        <v>59.23391371813446</v>
      </c>
      <c r="CB65" s="20">
        <f t="shared" si="10"/>
        <v>527.60195598408461</v>
      </c>
      <c r="CC65" s="59">
        <f t="shared" si="11"/>
        <v>812.57222011652379</v>
      </c>
      <c r="CD65" s="59">
        <f ca="1">AVERAGE(OFFSET($CC$3,0,0,'Données projet'!$E$12+1,1))-AVERAGE(OFFSET($H$3,0,0,'Données projet'!$E$12+1,1))</f>
        <v>471.03166569378629</v>
      </c>
      <c r="CE65" s="59">
        <f t="shared" si="40"/>
        <v>259.15709238853287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14.472660897447646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14.472660897447646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16.595714285714287</v>
      </c>
      <c r="CT65" s="12">
        <f>IF('Données projet'!$A$140&gt;35,CT64+CS65-DB64,IF(A65&lt;'Données projet'!$A$140,$CQ$205^A65,IF(A65='Données projet'!$A$140,'Données projet'!$B$140,CT64+CS65-DB64)))</f>
        <v>399.8942857142855</v>
      </c>
      <c r="CU65" s="17">
        <f>CT65*VLOOKUP('Données projet'!$B$13,Paramètres!$A$1:$I$89,3,0)*VLOOKUP('Données projet'!$B$13,Paramètres!$A$1:$I$89,5,0)</f>
        <v>187.15052571428564</v>
      </c>
      <c r="CV65" s="13">
        <f t="shared" si="41"/>
        <v>46.909421581101313</v>
      </c>
      <c r="CW65" s="20">
        <f t="shared" si="13"/>
        <v>407.6544082061323</v>
      </c>
      <c r="CX65" s="59">
        <f t="shared" si="14"/>
        <v>692.62467233857149</v>
      </c>
      <c r="CY65" s="59">
        <f ca="1">AVERAGE(OFFSET($CX$3,0,0,'Données projet'!$E$13+1,1))-AVERAGE(OFFSET($H$3,0,0,'Données projet'!$E$13+1,1))</f>
        <v>364.67256251031029</v>
      </c>
      <c r="CZ65" s="59">
        <f t="shared" si="42"/>
        <v>347.4139588390766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51.023724048657108</v>
      </c>
      <c r="DG65" s="21">
        <f>EXP(-LN(2)/25)*DG64+(1-EXP(-LN(2)/25))/(LN(2)/25)*Calculateur!DB65*Calculateur!DD65*VLOOKUP('Données projet'!$B$13,Paramètres!$A$1:$I$89,3,0)*0.475*44/12</f>
        <v>36.551659828141744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87.575383876798853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67.719162945210684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1.35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4.95</v>
      </c>
      <c r="H66" s="67">
        <f t="shared" si="1"/>
        <v>236.86666666666665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51.998489924038495</v>
      </c>
      <c r="T66" s="59">
        <f t="shared" si="34"/>
        <v>206.32767973856241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18.108938904573517</v>
      </c>
      <c r="AA66" s="21">
        <f>EXP(-LN(2)/25)*AA65+(1-EXP(-LN(2)/25))/(LN(2)/25)*Calculateur!V66*Calculateur!X66*VLOOKUP('Données projet'!$B$9,Paramètres!$A$1:$I$89,3,0)*0.475*44/12</f>
        <v>3.559716002753563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21.668654907327081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406.78100000000018</v>
      </c>
      <c r="AJ66" s="13">
        <f>AI66*VLOOKUP('Données projet'!$B$10,Paramètres!$A$1:$I$89,3,0)*VLOOKUP('Données projet'!$B$10,Paramètres!$A$1:$I$89,5,0)</f>
        <v>243.25503800000013</v>
      </c>
      <c r="AK66" s="13">
        <f t="shared" si="35"/>
        <v>59.139317725784991</v>
      </c>
      <c r="AL66" s="20">
        <f t="shared" si="4"/>
        <v>526.6701695557424</v>
      </c>
      <c r="AM66" s="59">
        <f t="shared" si="5"/>
        <v>811.78551424179545</v>
      </c>
      <c r="AN66" s="59">
        <f ca="1">AVERAGE(OFFSET($AM$3,0,0,'Données projet'!$E$10+1,1))-AVERAGE(OFFSET($H$3,0,0,'Données projet'!$E$10+1,1))</f>
        <v>356.02637444732096</v>
      </c>
      <c r="AO66" s="59">
        <f t="shared" si="36"/>
        <v>263.30053404008095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39.477364469071013</v>
      </c>
      <c r="AV66" s="21">
        <f>EXP(-LN(2)/25)*AV65+(1-EXP(-LN(2)/25))/(LN(2)/25)*Calculateur!AQ66*Calculateur!AS66*VLOOKUP('Données projet'!$B$10,Paramètres!$A$1:$I$89,3,0)*0.475*44/12</f>
        <v>31.698254215180999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71.175618684252015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195.14</v>
      </c>
      <c r="BB66" s="12">
        <f>VLOOKUP(A66,'Données projet'!$A$87:$I$107,9,0)</f>
        <v>7.8874999999999993</v>
      </c>
      <c r="BC66" s="12">
        <f t="array" ref="BC66">INDEX(BB:BB,MIN(IF(ISNUMBER(BB66:BB262),ROW(BB66:BB262),"")))</f>
        <v>7.8874999999999993</v>
      </c>
      <c r="BD66" s="12">
        <f>IF('Données projet'!$A$88&gt;35,BD65+BC66-BL65,IF(A66&lt;'Données projet'!$A$88,$BA$205^A66,IF(A66='Données projet'!$A$88,'Données projet'!$B$88,BD65+BC66-BL65)))</f>
        <v>195.14000000000001</v>
      </c>
      <c r="BE66" s="13">
        <f>BD66*VLOOKUP('Données projet'!$B$11,Paramètres!$A$1:$I$89,3,0)*VLOOKUP('Données projet'!$B$11,Paramètres!$A$1:$I$89,5,0)</f>
        <v>197.87196000000003</v>
      </c>
      <c r="BF66" s="13">
        <f t="shared" si="37"/>
        <v>49.276198174903257</v>
      </c>
      <c r="BG66" s="20">
        <f t="shared" si="7"/>
        <v>430.4497088212899</v>
      </c>
      <c r="BH66" s="59">
        <f t="shared" si="8"/>
        <v>715.5650535073429</v>
      </c>
      <c r="BI66" s="59">
        <f ca="1">AVERAGE(OFFSET($BH$3,0,0,'Données projet'!$E$11+1,1))-AVERAGE(OFFSET($H$3,0,0,'Données projet'!$E$11+1,1))</f>
        <v>478.2340976873212</v>
      </c>
      <c r="BJ66" s="59">
        <f t="shared" si="38"/>
        <v>342.90128902463823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45.14</v>
      </c>
      <c r="BM66" s="16">
        <f>IF(ISNA(VLOOKUP(A66,'Données projet'!$A$87:$I$107,5,0)),0%,VLOOKUP(A66,'Données projet'!$A$87:$I$107,5,0)*VLOOKUP('Données projet'!$B$11,Paramètres!$A$1:$I$89,7,0))</f>
        <v>0.25800000000000001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31.472886051051098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31.472886051051098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280.29000000000002</v>
      </c>
      <c r="BW66" s="12">
        <f>VLOOKUP(A66,'Données projet'!$A$113:$I$133,9,0)</f>
        <v>10.953750000000003</v>
      </c>
      <c r="BX66" s="12">
        <f t="array" ref="BX66">INDEX(BW:BW,MIN(IF(ISNUMBER(BW66:BW262),ROW(BW66:BW262),"")))</f>
        <v>10.953750000000003</v>
      </c>
      <c r="BY66" s="12">
        <f>IF('Données projet'!$A$114&gt;35,BY65+BX66-CG65,IF(A66&lt;'Données projet'!$A$114,$BV$205^A66,IF(A66='Données projet'!$A$114,'Données projet'!$B$114,BY65+BX66-CG65)))</f>
        <v>280.29000000000025</v>
      </c>
      <c r="BZ66" s="13">
        <f>BY66*VLOOKUP('Données projet'!$B$12,Paramètres!$A$1:$I$89,3,0)*VLOOKUP('Données projet'!$B$12,Paramètres!$A$1:$I$89,5,0)</f>
        <v>253.60639200000023</v>
      </c>
      <c r="CA66" s="13">
        <f t="shared" si="39"/>
        <v>61.357550514548954</v>
      </c>
      <c r="CB66" s="20">
        <f t="shared" si="10"/>
        <v>548.56219987950647</v>
      </c>
      <c r="CC66" s="59">
        <f t="shared" si="11"/>
        <v>833.6775445655594</v>
      </c>
      <c r="CD66" s="59">
        <f ca="1">AVERAGE(OFFSET($CC$3,0,0,'Données projet'!$E$12+1,1))-AVERAGE(OFFSET($H$3,0,0,'Données projet'!$E$12+1,1))</f>
        <v>471.03166569378629</v>
      </c>
      <c r="CE66" s="59">
        <f t="shared" si="40"/>
        <v>259.15709238853287</v>
      </c>
      <c r="CF66" s="15">
        <f>IF(ISNA(VLOOKUP(A66,'Données projet'!$A$113:$I$133,3,0)),0,VLOOKUP(A66,'Données projet'!$A$113:$I$133,3,0))</f>
        <v>6</v>
      </c>
      <c r="CG66" s="15">
        <f>IF(ISNA(VLOOKUP(A66,'Données projet'!$A$113:$I$133,4,0)),0,VLOOKUP(A66,'Données projet'!$A$113:$I$133,4,0))</f>
        <v>56.55</v>
      </c>
      <c r="CH66" s="16">
        <f>IF(ISNA(VLOOKUP(A66,'Données projet'!$A$113:$I$133,5,0)),0%,VLOOKUP(A66,'Données projet'!$A$113:$I$133,5,0)*VLOOKUP('Données projet'!$B$12,Paramètres!$A$1:$I$89,7,0))</f>
        <v>0.25800000000000001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28.782110677006884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28.782110677006884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416.49</v>
      </c>
      <c r="CR66" s="12">
        <f>VLOOKUP(A66,'Données projet'!$A$139:$I$159,9,0)</f>
        <v>16.595714285714287</v>
      </c>
      <c r="CS66" s="12">
        <f t="array" ref="CS66">INDEX(CR:CR,MIN(IF(ISNUMBER(CR66:CR262),ROW(CR66:CR262),"")))</f>
        <v>16.595714285714287</v>
      </c>
      <c r="CT66" s="12">
        <f>IF('Données projet'!$A$140&gt;35,CT65+CS66-DB65,IF(A66&lt;'Données projet'!$A$140,$CQ$205^A66,IF(A66='Données projet'!$A$140,'Données projet'!$B$140,CT65+CS66-DB65)))</f>
        <v>416.48999999999978</v>
      </c>
      <c r="CU66" s="17">
        <f>CT66*VLOOKUP('Données projet'!$B$13,Paramètres!$A$1:$I$89,3,0)*VLOOKUP('Données projet'!$B$13,Paramètres!$A$1:$I$89,5,0)</f>
        <v>194.91731999999988</v>
      </c>
      <c r="CV66" s="13">
        <f t="shared" si="41"/>
        <v>48.625480522444235</v>
      </c>
      <c r="CW66" s="20">
        <f t="shared" si="13"/>
        <v>424.17037757659017</v>
      </c>
      <c r="CX66" s="59">
        <f t="shared" si="14"/>
        <v>709.28572226264316</v>
      </c>
      <c r="CY66" s="59">
        <f ca="1">AVERAGE(OFFSET($CX$3,0,0,'Données projet'!$E$13+1,1))-AVERAGE(OFFSET($H$3,0,0,'Données projet'!$E$13+1,1))</f>
        <v>364.67256251031029</v>
      </c>
      <c r="CZ66" s="59">
        <f t="shared" si="42"/>
        <v>347.4139588390766</v>
      </c>
      <c r="DA66" s="15">
        <f>IF(ISNA(VLOOKUP(A66,'Données projet'!$A$139:$I$159,3,0)),0,VLOOKUP(A66,'Données projet'!$A$139:$I$159,3,0))</f>
        <v>4</v>
      </c>
      <c r="DB66" s="15">
        <f>IF(ISNA(VLOOKUP(A66,'Données projet'!$A$139:$I$159,4,0)),0,VLOOKUP(A66,'Données projet'!$A$139:$I$159,4,0))</f>
        <v>79.099999999999994</v>
      </c>
      <c r="DC66" s="16">
        <f>IF(ISNA(VLOOKUP(A66,'Données projet'!$A$139:$I$159,5,0)),0%,VLOOKUP(A66,'Données projet'!$A$139:$I$159,5,0)*VLOOKUP('Données projet'!$B$13,Paramètres!$A$1:$I$89,7,0))</f>
        <v>0.38500000000000001</v>
      </c>
      <c r="DD66" s="16">
        <f>IF(ISNA(VLOOKUP(A66,'Données projet'!$A$139:$I$159,6,0)),0%,VLOOKUP(A66,'Données projet'!$A$139:$I$159,6,0)*VLOOKUP('Données projet'!$B$13,Paramètres!$A$1:$I$89,7,0))</f>
        <v>0.16500000000000001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68.92969228272635</v>
      </c>
      <c r="DG66" s="21">
        <f>EXP(-LN(2)/25)*DG65+(1-EXP(-LN(2)/25))/(LN(2)/25)*Calculateur!DB66*Calculateur!DD66*VLOOKUP('Données projet'!$B$13,Paramètres!$A$1:$I$89,3,0)*0.475*44/12</f>
        <v>43.623039995786321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112.55273227851268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67.758730368923551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1.35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4.95</v>
      </c>
      <c r="H67" s="67">
        <f t="shared" si="1"/>
        <v>236.86666666666665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51.998489924038495</v>
      </c>
      <c r="T67" s="59">
        <f t="shared" si="34"/>
        <v>206.32767973856241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17.753833658016923</v>
      </c>
      <c r="AA67" s="21">
        <f>EXP(-LN(2)/25)*AA66+(1-EXP(-LN(2)/25))/(LN(2)/25)*Calculateur!V67*Calculateur!X67*VLOOKUP('Données projet'!$B$9,Paramètres!$A$1:$I$89,3,0)*0.475*44/12</f>
        <v>3.4623753814609382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21.21620903947786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418.67800000000017</v>
      </c>
      <c r="AJ67" s="13">
        <f>AI67*VLOOKUP('Données projet'!$B$10,Paramètres!$A$1:$I$89,3,0)*VLOOKUP('Données projet'!$B$10,Paramètres!$A$1:$I$89,5,0)</f>
        <v>250.36944400000013</v>
      </c>
      <c r="AK67" s="13">
        <f t="shared" si="35"/>
        <v>60.665044924256527</v>
      </c>
      <c r="AL67" s="20">
        <f t="shared" si="4"/>
        <v>541.71840154308029</v>
      </c>
      <c r="AM67" s="59">
        <f t="shared" si="5"/>
        <v>826.97630995949339</v>
      </c>
      <c r="AN67" s="59">
        <f ca="1">AVERAGE(OFFSET($AM$3,0,0,'Données projet'!$E$10+1,1))-AVERAGE(OFFSET($H$3,0,0,'Données projet'!$E$10+1,1))</f>
        <v>356.02637444732096</v>
      </c>
      <c r="AO67" s="59">
        <f t="shared" si="36"/>
        <v>263.30053404008095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38.70323743064727</v>
      </c>
      <c r="AV67" s="21">
        <f>EXP(-LN(2)/25)*AV66+(1-EXP(-LN(2)/25))/(LN(2)/25)*Calculateur!AQ67*Calculateur!AS67*VLOOKUP('Données projet'!$B$10,Paramètres!$A$1:$I$89,3,0)*0.475*44/12</f>
        <v>30.831463786728133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69.5347012173754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7.2875000000000014</v>
      </c>
      <c r="BD67" s="12">
        <f>IF('Données projet'!$A$88&gt;35,BD66+BC67-BL66,IF(A67&lt;'Données projet'!$A$88,$BA$205^A67,IF(A67='Données projet'!$A$88,'Données projet'!$B$88,BD66+BC67-BL66)))</f>
        <v>157.28750000000002</v>
      </c>
      <c r="BE67" s="13">
        <f>BD67*VLOOKUP('Données projet'!$B$11,Paramètres!$A$1:$I$89,3,0)*VLOOKUP('Données projet'!$B$11,Paramètres!$A$1:$I$89,5,0)</f>
        <v>159.48952500000001</v>
      </c>
      <c r="BF67" s="13">
        <f t="shared" si="37"/>
        <v>40.727354940484389</v>
      </c>
      <c r="BG67" s="20">
        <f t="shared" si="7"/>
        <v>348.71106589634365</v>
      </c>
      <c r="BH67" s="59">
        <f t="shared" si="8"/>
        <v>633.96897431275681</v>
      </c>
      <c r="BI67" s="59">
        <f ca="1">AVERAGE(OFFSET($BH$3,0,0,'Données projet'!$E$11+1,1))-AVERAGE(OFFSET($H$3,0,0,'Données projet'!$E$11+1,1))</f>
        <v>478.2340976873212</v>
      </c>
      <c r="BJ67" s="59">
        <f t="shared" si="38"/>
        <v>342.90128902463823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30.855721952154973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30.855721952154973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10.445</v>
      </c>
      <c r="BY67" s="12">
        <f>IF('Données projet'!$A$114&gt;35,BY66+BX67-CG66,IF(A67&lt;'Données projet'!$A$114,$BV$205^A67,IF(A67='Données projet'!$A$114,'Données projet'!$B$114,BY66+BX67-CG66)))</f>
        <v>234.18500000000023</v>
      </c>
      <c r="BZ67" s="13">
        <f>BY67*VLOOKUP('Données projet'!$B$12,Paramètres!$A$1:$I$89,3,0)*VLOOKUP('Données projet'!$B$12,Paramètres!$A$1:$I$89,5,0)</f>
        <v>211.89058800000021</v>
      </c>
      <c r="CA67" s="13">
        <f t="shared" si="39"/>
        <v>52.34851099399107</v>
      </c>
      <c r="CB67" s="20">
        <f t="shared" si="10"/>
        <v>460.21643074786806</v>
      </c>
      <c r="CC67" s="59">
        <f t="shared" si="11"/>
        <v>745.47433916428122</v>
      </c>
      <c r="CD67" s="59">
        <f ca="1">AVERAGE(OFFSET($CC$3,0,0,'Données projet'!$E$12+1,1))-AVERAGE(OFFSET($H$3,0,0,'Données projet'!$E$12+1,1))</f>
        <v>471.03166569378629</v>
      </c>
      <c r="CE67" s="59">
        <f t="shared" si="40"/>
        <v>259.15709238853287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28.217711041984845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28.217711041984845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16.050000000000004</v>
      </c>
      <c r="CT67" s="12">
        <f>IF('Données projet'!$A$140&gt;35,CT66+CS67-DB66,IF(A67&lt;'Données projet'!$A$140,$CQ$205^A67,IF(A67='Données projet'!$A$140,'Données projet'!$B$140,CT66+CS67-DB66)))</f>
        <v>353.43999999999983</v>
      </c>
      <c r="CU67" s="17">
        <f>CT67*VLOOKUP('Données projet'!$B$13,Paramètres!$A$1:$I$89,3,0)*VLOOKUP('Données projet'!$B$13,Paramètres!$A$1:$I$89,5,0)</f>
        <v>165.40991999999991</v>
      </c>
      <c r="CV67" s="13">
        <f t="shared" si="41"/>
        <v>42.060366422582085</v>
      </c>
      <c r="CW67" s="20">
        <f t="shared" si="13"/>
        <v>361.34408218599697</v>
      </c>
      <c r="CX67" s="59">
        <f t="shared" si="14"/>
        <v>646.60199060241007</v>
      </c>
      <c r="CY67" s="59">
        <f ca="1">AVERAGE(OFFSET($CX$3,0,0,'Données projet'!$E$13+1,1))-AVERAGE(OFFSET($H$3,0,0,'Données projet'!$E$13+1,1))</f>
        <v>364.67256251031029</v>
      </c>
      <c r="CZ67" s="59">
        <f t="shared" si="42"/>
        <v>347.4139588390766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67.578023060022986</v>
      </c>
      <c r="DG67" s="21">
        <f>EXP(-LN(2)/25)*DG66+(1-EXP(-LN(2)/25))/(LN(2)/25)*Calculateur!DB67*Calculateur!DD67*VLOOKUP('Données projet'!$B$13,Paramètres!$A$1:$I$89,3,0)*0.475*44/12</f>
        <v>42.430165673065574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110.00818873308856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67.797611386294491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1.35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4.95</v>
      </c>
      <c r="H68" s="67">
        <f t="shared" ref="H68:H131" si="56">(B68+E68+F68)*44/12+(C68+D68)*0.475*44/12</f>
        <v>236.86666666666665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51.998489924038495</v>
      </c>
      <c r="T68" s="59">
        <f t="shared" si="34"/>
        <v>206.32767973856241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17.40569180875249</v>
      </c>
      <c r="AA68" s="21">
        <f>EXP(-LN(2)/25)*AA67+(1-EXP(-LN(2)/25))/(LN(2)/25)*Calculateur!V68*Calculateur!X68*VLOOKUP('Données projet'!$B$9,Paramètres!$A$1:$I$89,3,0)*0.475*44/12</f>
        <v>3.3676965445764808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20.773388353328972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430.57500000000016</v>
      </c>
      <c r="AJ68" s="13">
        <f>AI68*VLOOKUP('Données projet'!$B$10,Paramètres!$A$1:$I$89,3,0)*VLOOKUP('Données projet'!$B$10,Paramètres!$A$1:$I$89,5,0)</f>
        <v>257.48385000000013</v>
      </c>
      <c r="AK68" s="13">
        <f t="shared" si="35"/>
        <v>62.185733278690435</v>
      </c>
      <c r="AL68" s="20">
        <f t="shared" ref="AL68:AL131" si="58">(AJ68+AK68)*0.475*44/12</f>
        <v>556.7578575437193</v>
      </c>
      <c r="AM68" s="59">
        <f t="shared" ref="AM68:AM131" si="59">AL68+(AD68+AE68)*44/12</f>
        <v>842.15585652849563</v>
      </c>
      <c r="AN68" s="59">
        <f ca="1">AVERAGE(OFFSET($AM$3,0,0,'Données projet'!$E$10+1,1))-AVERAGE(OFFSET($H$3,0,0,'Données projet'!$E$10+1,1))</f>
        <v>356.02637444732096</v>
      </c>
      <c r="AO68" s="59">
        <f t="shared" si="36"/>
        <v>263.30053404008095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37.944290551276147</v>
      </c>
      <c r="AV68" s="21">
        <f>EXP(-LN(2)/25)*AV67+(1-EXP(-LN(2)/25))/(LN(2)/25)*Calculateur!AQ68*Calculateur!AS68*VLOOKUP('Données projet'!$B$10,Paramètres!$A$1:$I$89,3,0)*0.475*44/12</f>
        <v>29.988375788123836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67.932666339399987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7.2875000000000014</v>
      </c>
      <c r="BD68" s="12">
        <f>IF('Données projet'!$A$88&gt;35,BD67+BC68-BL67,IF(A68&lt;'Données projet'!$A$88,$BA$205^A68,IF(A68='Données projet'!$A$88,'Données projet'!$B$88,BD67+BC68-BL67)))</f>
        <v>164.57500000000002</v>
      </c>
      <c r="BE68" s="13">
        <f>BD68*VLOOKUP('Données projet'!$B$11,Paramètres!$A$1:$I$89,3,0)*VLOOKUP('Données projet'!$B$11,Paramètres!$A$1:$I$89,5,0)</f>
        <v>166.87905000000003</v>
      </c>
      <c r="BF68" s="13">
        <f t="shared" si="37"/>
        <v>42.390282607031395</v>
      </c>
      <c r="BG68" s="20">
        <f t="shared" ref="BG68:BG131" si="61">(BE68+BF68)*0.475*44/12</f>
        <v>364.47742095724635</v>
      </c>
      <c r="BH68" s="59">
        <f t="shared" ref="BH68:BH131" si="62">BG68+(AY68+AZ68)*44/12</f>
        <v>649.87541994202263</v>
      </c>
      <c r="BI68" s="59">
        <f ca="1">AVERAGE(OFFSET($BH$3,0,0,'Données projet'!$E$11+1,1))-AVERAGE(OFFSET($H$3,0,0,'Données projet'!$E$11+1,1))</f>
        <v>478.2340976873212</v>
      </c>
      <c r="BJ68" s="59">
        <f t="shared" si="38"/>
        <v>342.90128902463823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30.25066006480527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30.25066006480527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10.445</v>
      </c>
      <c r="BY68" s="12">
        <f>IF('Données projet'!$A$114&gt;35,BY67+BX68-CG67,IF(A68&lt;'Données projet'!$A$114,$BV$205^A68,IF(A68='Données projet'!$A$114,'Données projet'!$B$114,BY67+BX68-CG67)))</f>
        <v>244.63000000000022</v>
      </c>
      <c r="BZ68" s="13">
        <f>BY68*VLOOKUP('Données projet'!$B$12,Paramètres!$A$1:$I$89,3,0)*VLOOKUP('Données projet'!$B$12,Paramètres!$A$1:$I$89,5,0)</f>
        <v>221.34122400000018</v>
      </c>
      <c r="CA68" s="13">
        <f t="shared" si="39"/>
        <v>54.406290932697068</v>
      </c>
      <c r="CB68" s="20">
        <f t="shared" ref="CB68:CB131" si="64">(BZ68+CA68)*0.475*44/12</f>
        <v>480.26025517444765</v>
      </c>
      <c r="CC68" s="59">
        <f t="shared" ref="CC68:CC131" si="65">CB68+(BT68+BU68)*44/12</f>
        <v>765.65825415922393</v>
      </c>
      <c r="CD68" s="59">
        <f ca="1">AVERAGE(OFFSET($CC$3,0,0,'Données projet'!$E$12+1,1))-AVERAGE(OFFSET($H$3,0,0,'Données projet'!$E$12+1,1))</f>
        <v>471.03166569378629</v>
      </c>
      <c r="CE68" s="59">
        <f t="shared" si="40"/>
        <v>259.15709238853287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27.664378939555803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27.664378939555803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16.050000000000004</v>
      </c>
      <c r="CT68" s="12">
        <f>IF('Données projet'!$A$140&gt;35,CT67+CS68-DB67,IF(A68&lt;'Données projet'!$A$140,$CQ$205^A68,IF(A68='Données projet'!$A$140,'Données projet'!$B$140,CT67+CS68-DB67)))</f>
        <v>369.48999999999984</v>
      </c>
      <c r="CU68" s="17">
        <f>CT68*VLOOKUP('Données projet'!$B$13,Paramètres!$A$1:$I$89,3,0)*VLOOKUP('Données projet'!$B$13,Paramètres!$A$1:$I$89,5,0)</f>
        <v>172.92131999999995</v>
      </c>
      <c r="CV68" s="13">
        <f t="shared" si="41"/>
        <v>43.743651873932684</v>
      </c>
      <c r="CW68" s="20">
        <f t="shared" ref="CW68:CW131" si="67">(CU68+CV68)*0.475*44/12</f>
        <v>377.35815934709927</v>
      </c>
      <c r="CX68" s="59">
        <f t="shared" ref="CX68:CX131" si="68">CW68+(CO68+CP68)*44/12</f>
        <v>662.75615833187555</v>
      </c>
      <c r="CY68" s="59">
        <f ca="1">AVERAGE(OFFSET($CX$3,0,0,'Données projet'!$E$13+1,1))-AVERAGE(OFFSET($H$3,0,0,'Données projet'!$E$13+1,1))</f>
        <v>364.67256251031029</v>
      </c>
      <c r="CZ68" s="59">
        <f t="shared" si="42"/>
        <v>347.4139588390766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66.252859246340009</v>
      </c>
      <c r="DG68" s="21">
        <f>EXP(-LN(2)/25)*DG67+(1-EXP(-LN(2)/25))/(LN(2)/25)*Calculateur!DB68*Calculateur!DD68*VLOOKUP('Données projet'!$B$13,Paramètres!$A$1:$I$89,3,0)*0.475*44/12</f>
        <v>41.269910561430159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107.52276980777017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67.835817904938978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1.35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4.95</v>
      </c>
      <c r="H69" s="67">
        <f t="shared" si="56"/>
        <v>236.86666666666665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51.998489924038495</v>
      </c>
      <c r="T69" s="59">
        <f t="shared" ref="T69:T132" si="88">$T$3</f>
        <v>206.32767973856241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17.064376808806571</v>
      </c>
      <c r="AA69" s="21">
        <f>EXP(-LN(2)/25)*AA68+(1-EXP(-LN(2)/25))/(LN(2)/25)*Calculateur!V69*Calculateur!X69*VLOOKUP('Données projet'!$B$9,Paramètres!$A$1:$I$89,3,0)*0.475*44/12</f>
        <v>3.2756067054655729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20.339983514272145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442.47200000000015</v>
      </c>
      <c r="AJ69" s="13">
        <f>AI69*VLOOKUP('Données projet'!$B$10,Paramètres!$A$1:$I$89,3,0)*VLOOKUP('Données projet'!$B$10,Paramètres!$A$1:$I$89,5,0)</f>
        <v>264.59825600000011</v>
      </c>
      <c r="AK69" s="13">
        <f t="shared" ref="AK69:AK132" si="89">EXP(-1.0587+0.8836*LN(AJ69)+0.284)</f>
        <v>63.701538011039567</v>
      </c>
      <c r="AL69" s="20">
        <f t="shared" si="58"/>
        <v>571.78880790256073</v>
      </c>
      <c r="AM69" s="59">
        <f t="shared" si="59"/>
        <v>857.32446719753466</v>
      </c>
      <c r="AN69" s="59">
        <f ca="1">AVERAGE(OFFSET($AM$3,0,0,'Données projet'!$E$10+1,1))-AVERAGE(OFFSET($H$3,0,0,'Données projet'!$E$10+1,1))</f>
        <v>356.02637444732096</v>
      </c>
      <c r="AO69" s="59">
        <f t="shared" ref="AO69:AO132" si="90">$AO$3</f>
        <v>263.30053404008095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37.200226157297607</v>
      </c>
      <c r="AV69" s="21">
        <f>EXP(-LN(2)/25)*AV68+(1-EXP(-LN(2)/25))/(LN(2)/25)*Calculateur!AQ69*Calculateur!AS69*VLOOKUP('Données projet'!$B$10,Paramètres!$A$1:$I$89,3,0)*0.475*44/12</f>
        <v>29.168342075177446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66.368568232475056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7.2875000000000014</v>
      </c>
      <c r="BD69" s="12">
        <f>IF('Données projet'!$A$88&gt;35,BD68+BC69-BL68,IF(A69&lt;'Données projet'!$A$88,$BA$205^A69,IF(A69='Données projet'!$A$88,'Données projet'!$B$88,BD68+BC69-BL68)))</f>
        <v>171.86250000000001</v>
      </c>
      <c r="BE69" s="13">
        <f>BD69*VLOOKUP('Données projet'!$B$11,Paramètres!$A$1:$I$89,3,0)*VLOOKUP('Données projet'!$B$11,Paramètres!$A$1:$I$89,5,0)</f>
        <v>174.26857500000003</v>
      </c>
      <c r="BF69" s="13">
        <f t="shared" ref="BF69:BF132" si="91">EXP(-1.0587+0.8836*LN(BE69)+0.284)</f>
        <v>44.044658185132228</v>
      </c>
      <c r="BG69" s="20">
        <f t="shared" si="61"/>
        <v>380.22888113077198</v>
      </c>
      <c r="BH69" s="59">
        <f t="shared" si="62"/>
        <v>665.76454042574585</v>
      </c>
      <c r="BI69" s="59">
        <f ca="1">AVERAGE(OFFSET($BH$3,0,0,'Données projet'!$E$11+1,1))-AVERAGE(OFFSET($H$3,0,0,'Données projet'!$E$11+1,1))</f>
        <v>478.2340976873212</v>
      </c>
      <c r="BJ69" s="59">
        <f t="shared" ref="BJ69:BJ132" si="92">$BJ$3</f>
        <v>342.90128902463823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29.657463072015187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29.657463072015187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10.445</v>
      </c>
      <c r="BY69" s="12">
        <f>IF('Données projet'!$A$114&gt;35,BY68+BX69-CG68,IF(A69&lt;'Données projet'!$A$114,$BV$205^A69,IF(A69='Données projet'!$A$114,'Données projet'!$B$114,BY68+BX69-CG68)))</f>
        <v>255.07500000000022</v>
      </c>
      <c r="BZ69" s="13">
        <f>BY69*VLOOKUP('Données projet'!$B$12,Paramètres!$A$1:$I$89,3,0)*VLOOKUP('Données projet'!$B$12,Paramètres!$A$1:$I$89,5,0)</f>
        <v>230.79186000000018</v>
      </c>
      <c r="CA69" s="13">
        <f t="shared" ref="CA69:CA132" si="93">EXP(-1.0587+0.8836*LN(BZ69)+0.284)</f>
        <v>56.453865912769018</v>
      </c>
      <c r="CB69" s="20">
        <f t="shared" si="64"/>
        <v>500.28630596473977</v>
      </c>
      <c r="CC69" s="59">
        <f t="shared" si="65"/>
        <v>785.82196525971358</v>
      </c>
      <c r="CD69" s="59">
        <f ca="1">AVERAGE(OFFSET($CC$3,0,0,'Données projet'!$E$12+1,1))-AVERAGE(OFFSET($H$3,0,0,'Données projet'!$E$12+1,1))</f>
        <v>471.03166569378629</v>
      </c>
      <c r="CE69" s="59">
        <f t="shared" ref="CE69:CE132" si="94">$CE$3</f>
        <v>259.15709238853287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27.121897342156135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27.121897342156135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16.050000000000004</v>
      </c>
      <c r="CT69" s="12">
        <f>IF('Données projet'!$A$140&gt;35,CT68+CS69-DB68,IF(A69&lt;'Données projet'!$A$140,$CQ$205^A69,IF(A69='Données projet'!$A$140,'Données projet'!$B$140,CT68+CS69-DB68)))</f>
        <v>385.53999999999985</v>
      </c>
      <c r="CU69" s="17">
        <f>CT69*VLOOKUP('Données projet'!$B$13,Paramètres!$A$1:$I$89,3,0)*VLOOKUP('Données projet'!$B$13,Paramètres!$A$1:$I$89,5,0)</f>
        <v>180.43271999999993</v>
      </c>
      <c r="CV69" s="13">
        <f t="shared" ref="CV69:CV132" si="95">EXP(-1.0587+0.8836*LN(CU69)+0.284)</f>
        <v>45.418444936488953</v>
      </c>
      <c r="CW69" s="20">
        <f t="shared" si="67"/>
        <v>393.35744559771814</v>
      </c>
      <c r="CX69" s="59">
        <f t="shared" si="68"/>
        <v>678.89310489269201</v>
      </c>
      <c r="CY69" s="59">
        <f ca="1">AVERAGE(OFFSET($CX$3,0,0,'Données projet'!$E$13+1,1))-AVERAGE(OFFSET($H$3,0,0,'Données projet'!$E$13+1,1))</f>
        <v>364.67256251031029</v>
      </c>
      <c r="CZ69" s="59">
        <f t="shared" ref="CZ69:CZ132" si="96">$CZ$3</f>
        <v>347.4139588390766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64.953681086773244</v>
      </c>
      <c r="DG69" s="21">
        <f>EXP(-LN(2)/25)*DG68+(1-EXP(-LN(2)/25))/(LN(2)/25)*Calculateur!DB69*Calculateur!DD69*VLOOKUP('Données projet'!$B$13,Paramètres!$A$1:$I$89,3,0)*0.475*44/12</f>
        <v>40.141382686837581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105.09506377361083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67.873361625901964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1.35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4.95</v>
      </c>
      <c r="H70" s="67">
        <f t="shared" si="56"/>
        <v>236.86666666666665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51.998489924038495</v>
      </c>
      <c r="T70" s="59">
        <f t="shared" si="88"/>
        <v>206.32767973856241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16.729754787828</v>
      </c>
      <c r="AA70" s="21">
        <f>EXP(-LN(2)/25)*AA69+(1-EXP(-LN(2)/25))/(LN(2)/25)*Calculateur!V70*Calculateur!X70*VLOOKUP('Données projet'!$B$9,Paramètres!$A$1:$I$89,3,0)*0.475*44/12</f>
        <v>3.1860350678479468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19.915789855675946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454.36900000000014</v>
      </c>
      <c r="AJ70" s="13">
        <f>AI70*VLOOKUP('Données projet'!$B$10,Paramètres!$A$1:$I$89,3,0)*VLOOKUP('Données projet'!$B$10,Paramètres!$A$1:$I$89,5,0)</f>
        <v>271.71266200000014</v>
      </c>
      <c r="AK70" s="13">
        <f t="shared" si="89"/>
        <v>65.212605520968935</v>
      </c>
      <c r="AL70" s="20">
        <f t="shared" si="58"/>
        <v>586.81150759902118</v>
      </c>
      <c r="AM70" s="59">
        <f t="shared" si="59"/>
        <v>872.48243910557312</v>
      </c>
      <c r="AN70" s="59">
        <f ca="1">AVERAGE(OFFSET($AM$3,0,0,'Données projet'!$E$10+1,1))-AVERAGE(OFFSET($H$3,0,0,'Données projet'!$E$10+1,1))</f>
        <v>356.02637444732096</v>
      </c>
      <c r="AO70" s="59">
        <f t="shared" si="90"/>
        <v>263.30053404008095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36.470752412250512</v>
      </c>
      <c r="AV70" s="21">
        <f>EXP(-LN(2)/25)*AV69+(1-EXP(-LN(2)/25))/(LN(2)/25)*Calculateur!AQ70*Calculateur!AS70*VLOOKUP('Données projet'!$B$10,Paramètres!$A$1:$I$89,3,0)*0.475*44/12</f>
        <v>28.370732227235273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64.841484639485785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7.2875000000000014</v>
      </c>
      <c r="BD70" s="12">
        <f>IF('Données projet'!$A$88&gt;35,BD69+BC70-BL69,IF(A70&lt;'Données projet'!$A$88,$BA$205^A70,IF(A70='Données projet'!$A$88,'Données projet'!$B$88,BD69+BC70-BL69)))</f>
        <v>179.15</v>
      </c>
      <c r="BE70" s="13">
        <f>BD70*VLOOKUP('Données projet'!$B$11,Paramètres!$A$1:$I$89,3,0)*VLOOKUP('Données projet'!$B$11,Paramètres!$A$1:$I$89,5,0)</f>
        <v>181.65810000000002</v>
      </c>
      <c r="BF70" s="13">
        <f t="shared" si="91"/>
        <v>45.690885770026036</v>
      </c>
      <c r="BG70" s="20">
        <f t="shared" si="61"/>
        <v>395.96615021612865</v>
      </c>
      <c r="BH70" s="59">
        <f t="shared" si="62"/>
        <v>681.63708172268048</v>
      </c>
      <c r="BI70" s="59">
        <f ca="1">AVERAGE(OFFSET($BH$3,0,0,'Données projet'!$E$11+1,1))-AVERAGE(OFFSET($H$3,0,0,'Données projet'!$E$11+1,1))</f>
        <v>478.2340976873212</v>
      </c>
      <c r="BJ70" s="59">
        <f t="shared" si="92"/>
        <v>342.90128902463823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29.075898310439275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29.075898310439275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10.445</v>
      </c>
      <c r="BY70" s="12">
        <f>IF('Données projet'!$A$114&gt;35,BY69+BX70-CG69,IF(A70&lt;'Données projet'!$A$114,$BV$205^A70,IF(A70='Données projet'!$A$114,'Données projet'!$B$114,BY69+BX70-CG69)))</f>
        <v>265.52000000000021</v>
      </c>
      <c r="BZ70" s="13">
        <f>BY70*VLOOKUP('Données projet'!$B$12,Paramètres!$A$1:$I$89,3,0)*VLOOKUP('Données projet'!$B$12,Paramètres!$A$1:$I$89,5,0)</f>
        <v>240.24249600000019</v>
      </c>
      <c r="CA70" s="13">
        <f t="shared" si="93"/>
        <v>58.491701610942471</v>
      </c>
      <c r="CB70" s="20">
        <f t="shared" si="64"/>
        <v>520.29539417239175</v>
      </c>
      <c r="CC70" s="59">
        <f t="shared" si="65"/>
        <v>805.96632567894358</v>
      </c>
      <c r="CD70" s="59">
        <f ca="1">AVERAGE(OFFSET($CC$3,0,0,'Données projet'!$E$12+1,1))-AVERAGE(OFFSET($H$3,0,0,'Données projet'!$E$12+1,1))</f>
        <v>471.03166569378629</v>
      </c>
      <c r="CE70" s="59">
        <f t="shared" si="94"/>
        <v>259.15709238853287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26.590053478000375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26.590053478000375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16.050000000000004</v>
      </c>
      <c r="CT70" s="12">
        <f>IF('Données projet'!$A$140&gt;35,CT69+CS70-DB69,IF(A70&lt;'Données projet'!$A$140,$CQ$205^A70,IF(A70='Données projet'!$A$140,'Données projet'!$B$140,CT69+CS70-DB69)))</f>
        <v>401.58999999999986</v>
      </c>
      <c r="CU70" s="17">
        <f>CT70*VLOOKUP('Données projet'!$B$13,Paramètres!$A$1:$I$89,3,0)*VLOOKUP('Données projet'!$B$13,Paramètres!$A$1:$I$89,5,0)</f>
        <v>187.94411999999991</v>
      </c>
      <c r="CV70" s="13">
        <f t="shared" si="95"/>
        <v>47.085139576843218</v>
      </c>
      <c r="CW70" s="20">
        <f t="shared" si="67"/>
        <v>409.34262709633504</v>
      </c>
      <c r="CX70" s="59">
        <f t="shared" si="68"/>
        <v>695.01355860288686</v>
      </c>
      <c r="CY70" s="59">
        <f ca="1">AVERAGE(OFFSET($CX$3,0,0,'Données projet'!$E$13+1,1))-AVERAGE(OFFSET($H$3,0,0,'Données projet'!$E$13+1,1))</f>
        <v>364.67256251031029</v>
      </c>
      <c r="CZ70" s="59">
        <f t="shared" si="96"/>
        <v>347.4139588390766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63.679979018495146</v>
      </c>
      <c r="DG70" s="21">
        <f>EXP(-LN(2)/25)*DG69+(1-EXP(-LN(2)/25))/(LN(2)/25)*Calculateur!DB70*Calculateur!DD70*VLOOKUP('Données projet'!$B$13,Paramètres!$A$1:$I$89,3,0)*0.475*44/12</f>
        <v>39.043714466322434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102.72369348481757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67.910254047241423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1.35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4.95</v>
      </c>
      <c r="H71" s="67">
        <f t="shared" si="56"/>
        <v>236.86666666666665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51.998489924038495</v>
      </c>
      <c r="T71" s="59">
        <f t="shared" si="88"/>
        <v>206.32767973856241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16.401694500581538</v>
      </c>
      <c r="AA71" s="21">
        <f>EXP(-LN(2)/25)*AA70+(1-EXP(-LN(2)/25))/(LN(2)/25)*Calculateur!V71*Calculateur!X71*VLOOKUP('Données projet'!$B$9,Paramètres!$A$1:$I$89,3,0)*0.475*44/12</f>
        <v>3.0989127713713422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19.50060727195288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466.26600000000013</v>
      </c>
      <c r="AJ71" s="13">
        <f>AI71*VLOOKUP('Données projet'!$B$10,Paramètres!$A$1:$I$89,3,0)*VLOOKUP('Données projet'!$B$10,Paramètres!$A$1:$I$89,5,0)</f>
        <v>278.82706800000011</v>
      </c>
      <c r="AK71" s="13">
        <f t="shared" si="89"/>
        <v>66.719074104976841</v>
      </c>
      <c r="AL71" s="20">
        <f t="shared" si="58"/>
        <v>601.82619749950163</v>
      </c>
      <c r="AM71" s="59">
        <f t="shared" si="59"/>
        <v>887.63005454718405</v>
      </c>
      <c r="AN71" s="59">
        <f ca="1">AVERAGE(OFFSET($AM$3,0,0,'Données projet'!$E$10+1,1))-AVERAGE(OFFSET($H$3,0,0,'Données projet'!$E$10+1,1))</f>
        <v>356.02637444732096</v>
      </c>
      <c r="AO71" s="59">
        <f t="shared" si="90"/>
        <v>263.30053404008095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35.755583202408744</v>
      </c>
      <c r="AV71" s="21">
        <f>EXP(-LN(2)/25)*AV70+(1-EXP(-LN(2)/25))/(LN(2)/25)*Calculateur!AQ71*Calculateur!AS71*VLOOKUP('Données projet'!$B$10,Paramètres!$A$1:$I$89,3,0)*0.475*44/12</f>
        <v>27.594933062529559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63.350516264938307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7.2875000000000014</v>
      </c>
      <c r="BD71" s="12">
        <f>IF('Données projet'!$A$88&gt;35,BD70+BC71-BL70,IF(A71&lt;'Données projet'!$A$88,$BA$205^A71,IF(A71='Données projet'!$A$88,'Données projet'!$B$88,BD70+BC71-BL70)))</f>
        <v>186.4375</v>
      </c>
      <c r="BE71" s="13">
        <f>BD71*VLOOKUP('Données projet'!$B$11,Paramètres!$A$1:$I$89,3,0)*VLOOKUP('Données projet'!$B$11,Paramètres!$A$1:$I$89,5,0)</f>
        <v>189.04762500000001</v>
      </c>
      <c r="BF71" s="13">
        <f t="shared" si="91"/>
        <v>47.329334720722045</v>
      </c>
      <c r="BG71" s="20">
        <f t="shared" si="61"/>
        <v>411.68987151359096</v>
      </c>
      <c r="BH71" s="59">
        <f t="shared" si="62"/>
        <v>697.49372856127343</v>
      </c>
      <c r="BI71" s="59">
        <f ca="1">AVERAGE(OFFSET($BH$3,0,0,'Données projet'!$E$11+1,1))-AVERAGE(OFFSET($H$3,0,0,'Données projet'!$E$11+1,1))</f>
        <v>478.2340976873212</v>
      </c>
      <c r="BJ71" s="59">
        <f t="shared" si="92"/>
        <v>342.90128902463823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28.50573767911839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28.50573767911839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10.445</v>
      </c>
      <c r="BY71" s="12">
        <f>IF('Données projet'!$A$114&gt;35,BY70+BX71-CG70,IF(A71&lt;'Données projet'!$A$114,$BV$205^A71,IF(A71='Données projet'!$A$114,'Données projet'!$B$114,BY70+BX71-CG70)))</f>
        <v>275.9650000000002</v>
      </c>
      <c r="BZ71" s="13">
        <f>BY71*VLOOKUP('Données projet'!$B$12,Paramètres!$A$1:$I$89,3,0)*VLOOKUP('Données projet'!$B$12,Paramètres!$A$1:$I$89,5,0)</f>
        <v>249.69313200000016</v>
      </c>
      <c r="CA71" s="13">
        <f t="shared" si="93"/>
        <v>60.520224992231128</v>
      </c>
      <c r="CB71" s="20">
        <f t="shared" si="64"/>
        <v>540.28826342813613</v>
      </c>
      <c r="CC71" s="59">
        <f t="shared" si="65"/>
        <v>826.09212047581855</v>
      </c>
      <c r="CD71" s="59">
        <f ca="1">AVERAGE(OFFSET($CC$3,0,0,'Données projet'!$E$12+1,1))-AVERAGE(OFFSET($H$3,0,0,'Données projet'!$E$12+1,1))</f>
        <v>471.03166569378629</v>
      </c>
      <c r="CE71" s="59">
        <f t="shared" si="94"/>
        <v>259.15709238853287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26.068638747627983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26.068638747627983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16.050000000000004</v>
      </c>
      <c r="CT71" s="12">
        <f>IF('Données projet'!$A$140&gt;35,CT70+CS71-DB70,IF(A71&lt;'Données projet'!$A$140,$CQ$205^A71,IF(A71='Données projet'!$A$140,'Données projet'!$B$140,CT70+CS71-DB70)))</f>
        <v>417.63999999999987</v>
      </c>
      <c r="CU71" s="17">
        <f>CT71*VLOOKUP('Données projet'!$B$13,Paramètres!$A$1:$I$89,3,0)*VLOOKUP('Données projet'!$B$13,Paramètres!$A$1:$I$89,5,0)</f>
        <v>195.45551999999995</v>
      </c>
      <c r="CV71" s="13">
        <f t="shared" si="95"/>
        <v>48.744096488454666</v>
      </c>
      <c r="CW71" s="20">
        <f t="shared" si="67"/>
        <v>425.31433205072511</v>
      </c>
      <c r="CX71" s="59">
        <f t="shared" si="68"/>
        <v>711.11818909840758</v>
      </c>
      <c r="CY71" s="59">
        <f ca="1">AVERAGE(OFFSET($CX$3,0,0,'Données projet'!$E$13+1,1))-AVERAGE(OFFSET($H$3,0,0,'Données projet'!$E$13+1,1))</f>
        <v>364.67256251031029</v>
      </c>
      <c r="CZ71" s="59">
        <f t="shared" si="96"/>
        <v>347.4139588390766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62.431253470894433</v>
      </c>
      <c r="DG71" s="21">
        <f>EXP(-LN(2)/25)*DG70+(1-EXP(-LN(2)/25))/(LN(2)/25)*Calculateur!DB71*Calculateur!DD71*VLOOKUP('Données projet'!$B$13,Paramètres!$A$1:$I$89,3,0)*0.475*44/12</f>
        <v>37.976062041021137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100.40731551191557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67.946506467549753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1.35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4.95</v>
      </c>
      <c r="H72" s="67">
        <f t="shared" si="56"/>
        <v>236.86666666666665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51.998489924038495</v>
      </c>
      <c r="T72" s="59">
        <f t="shared" si="88"/>
        <v>206.32767973856241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16.080067275470963</v>
      </c>
      <c r="AA72" s="21">
        <f>EXP(-LN(2)/25)*AA71+(1-EXP(-LN(2)/25))/(LN(2)/25)*Calculateur!V72*Calculateur!X72*VLOOKUP('Données projet'!$B$9,Paramètres!$A$1:$I$89,3,0)*0.475*44/12</f>
        <v>3.0141728386734528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19.094240114144416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478.16300000000012</v>
      </c>
      <c r="AJ72" s="13">
        <f>AI72*VLOOKUP('Données projet'!$B$10,Paramètres!$A$1:$I$89,3,0)*VLOOKUP('Données projet'!$B$10,Paramètres!$A$1:$I$89,5,0)</f>
        <v>285.94147400000008</v>
      </c>
      <c r="AK72" s="13">
        <f t="shared" si="89"/>
        <v>68.221074600056156</v>
      </c>
      <c r="AL72" s="20">
        <f t="shared" si="58"/>
        <v>616.83310547843132</v>
      </c>
      <c r="AM72" s="59">
        <f t="shared" si="59"/>
        <v>902.76758210628259</v>
      </c>
      <c r="AN72" s="59">
        <f ca="1">AVERAGE(OFFSET($AM$3,0,0,'Données projet'!$E$10+1,1))-AVERAGE(OFFSET($H$3,0,0,'Données projet'!$E$10+1,1))</f>
        <v>356.02637444732096</v>
      </c>
      <c r="AO72" s="59">
        <f t="shared" si="90"/>
        <v>263.30053404008095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35.054438024561826</v>
      </c>
      <c r="AV72" s="21">
        <f>EXP(-LN(2)/25)*AV71+(1-EXP(-LN(2)/25))/(LN(2)/25)*Calculateur!AQ72*Calculateur!AS72*VLOOKUP('Données projet'!$B$10,Paramètres!$A$1:$I$89,3,0)*0.475*44/12</f>
        <v>26.840348166780228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61.89478619134205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7.2875000000000014</v>
      </c>
      <c r="BD72" s="12">
        <f>IF('Données projet'!$A$88&gt;35,BD71+BC72-BL71,IF(A72&lt;'Données projet'!$A$88,$BA$205^A72,IF(A72='Données projet'!$A$88,'Données projet'!$B$88,BD71+BC72-BL71)))</f>
        <v>193.72499999999999</v>
      </c>
      <c r="BE72" s="13">
        <f>BD72*VLOOKUP('Données projet'!$B$11,Paramètres!$A$1:$I$89,3,0)*VLOOKUP('Données projet'!$B$11,Paramètres!$A$1:$I$89,5,0)</f>
        <v>196.43715</v>
      </c>
      <c r="BF72" s="13">
        <f t="shared" si="91"/>
        <v>48.960343886201223</v>
      </c>
      <c r="BG72" s="20">
        <f t="shared" si="61"/>
        <v>427.40063518513381</v>
      </c>
      <c r="BH72" s="59">
        <f t="shared" si="62"/>
        <v>713.33511181298513</v>
      </c>
      <c r="BI72" s="59">
        <f ca="1">AVERAGE(OFFSET($BH$3,0,0,'Données projet'!$E$11+1,1))-AVERAGE(OFFSET($H$3,0,0,'Données projet'!$E$11+1,1))</f>
        <v>478.2340976873212</v>
      </c>
      <c r="BJ72" s="59">
        <f t="shared" si="92"/>
        <v>342.90128902463823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27.946757550014059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27.946757550014059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10.445</v>
      </c>
      <c r="BY72" s="12">
        <f>IF('Données projet'!$A$114&gt;35,BY71+BX72-CG71,IF(A72&lt;'Données projet'!$A$114,$BV$205^A72,IF(A72='Données projet'!$A$114,'Données projet'!$B$114,BY71+BX72-CG71)))</f>
        <v>286.4100000000002</v>
      </c>
      <c r="BZ72" s="13">
        <f>BY72*VLOOKUP('Données projet'!$B$12,Paramètres!$A$1:$I$89,3,0)*VLOOKUP('Données projet'!$B$12,Paramètres!$A$1:$I$89,5,0)</f>
        <v>259.14376800000019</v>
      </c>
      <c r="CA72" s="13">
        <f t="shared" si="93"/>
        <v>62.539828870517688</v>
      </c>
      <c r="CB72" s="20">
        <f t="shared" si="64"/>
        <v>560.2655978828185</v>
      </c>
      <c r="CC72" s="59">
        <f t="shared" si="65"/>
        <v>846.20007451066977</v>
      </c>
      <c r="CD72" s="59">
        <f ca="1">AVERAGE(OFFSET($CC$3,0,0,'Données projet'!$E$12+1,1))-AVERAGE(OFFSET($H$3,0,0,'Données projet'!$E$12+1,1))</f>
        <v>471.03166569378629</v>
      </c>
      <c r="CE72" s="59">
        <f t="shared" si="94"/>
        <v>259.15709238853287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25.557448642086609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25.557448642086609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16.050000000000004</v>
      </c>
      <c r="CT72" s="12">
        <f>IF('Données projet'!$A$140&gt;35,CT71+CS72-DB71,IF(A72&lt;'Données projet'!$A$140,$CQ$205^A72,IF(A72='Données projet'!$A$140,'Données projet'!$B$140,CT71+CS72-DB71)))</f>
        <v>433.68999999999988</v>
      </c>
      <c r="CU72" s="17">
        <f>CT72*VLOOKUP('Données projet'!$B$13,Paramètres!$A$1:$I$89,3,0)*VLOOKUP('Données projet'!$B$13,Paramètres!$A$1:$I$89,5,0)</f>
        <v>202.96691999999993</v>
      </c>
      <c r="CV72" s="13">
        <f t="shared" si="95"/>
        <v>50.395647071710499</v>
      </c>
      <c r="CW72" s="20">
        <f t="shared" si="67"/>
        <v>441.27313764989566</v>
      </c>
      <c r="CX72" s="59">
        <f t="shared" si="68"/>
        <v>727.20761427774698</v>
      </c>
      <c r="CY72" s="59">
        <f ca="1">AVERAGE(OFFSET($CX$3,0,0,'Données projet'!$E$13+1,1))-AVERAGE(OFFSET($H$3,0,0,'Données projet'!$E$13+1,1))</f>
        <v>364.67256251031029</v>
      </c>
      <c r="CZ72" s="59">
        <f t="shared" si="96"/>
        <v>347.4139588390766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61.207014669634788</v>
      </c>
      <c r="DG72" s="21">
        <f>EXP(-LN(2)/25)*DG71+(1-EXP(-LN(2)/25))/(LN(2)/25)*Calculateur!DB72*Calculateur!DD72*VLOOKUP('Données projet'!$B$13,Paramètres!$A$1:$I$89,3,0)*0.475*44/12</f>
        <v>36.937604627435107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98.144619297069895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67.982129989413991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1.35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4.95</v>
      </c>
      <c r="H73" s="67">
        <f t="shared" si="56"/>
        <v>236.86666666666665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51.998489924038495</v>
      </c>
      <c r="T73" s="59">
        <f t="shared" si="88"/>
        <v>206.32767973856241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15.764746964071568</v>
      </c>
      <c r="AA73" s="21">
        <f>EXP(-LN(2)/25)*AA72+(1-EXP(-LN(2)/25))/(LN(2)/25)*Calculateur!V73*Calculateur!X73*VLOOKUP('Données projet'!$B$9,Paramètres!$A$1:$I$89,3,0)*0.475*44/12</f>
        <v>2.9317501238914665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18.696497087963035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490.06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490.06000000000012</v>
      </c>
      <c r="AJ73" s="13">
        <f>AI73*VLOOKUP('Données projet'!$B$10,Paramètres!$A$1:$I$89,3,0)*VLOOKUP('Données projet'!$B$10,Paramètres!$A$1:$I$89,5,0)</f>
        <v>293.05588000000012</v>
      </c>
      <c r="AK73" s="13">
        <f t="shared" si="89"/>
        <v>69.718730961493122</v>
      </c>
      <c r="AL73" s="20">
        <f t="shared" si="58"/>
        <v>631.83244742460067</v>
      </c>
      <c r="AM73" s="59">
        <f t="shared" si="59"/>
        <v>917.89527767492655</v>
      </c>
      <c r="AN73" s="59">
        <f ca="1">AVERAGE(OFFSET($AM$3,0,0,'Données projet'!$E$10+1,1))-AVERAGE(OFFSET($H$3,0,0,'Données projet'!$E$10+1,1))</f>
        <v>356.02637444732096</v>
      </c>
      <c r="AO73" s="59">
        <f t="shared" si="90"/>
        <v>263.30053404008095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51.329232042457562</v>
      </c>
      <c r="AV73" s="21">
        <f>EXP(-LN(2)/25)*AV72+(1-EXP(-LN(2)/25))/(LN(2)/25)*Calculateur!AQ73*Calculateur!AS73*VLOOKUP('Données projet'!$B$10,Paramètres!$A$1:$I$89,3,0)*0.475*44/12</f>
        <v>33.347284674976294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84.676516717433856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7.2875000000000014</v>
      </c>
      <c r="BD73" s="12">
        <f>IF('Données projet'!$A$88&gt;35,BD72+BC73-BL72,IF(A73&lt;'Données projet'!$A$88,$BA$205^A73,IF(A73='Données projet'!$A$88,'Données projet'!$B$88,BD72+BC73-BL72)))</f>
        <v>201.01249999999999</v>
      </c>
      <c r="BE73" s="13">
        <f>BD73*VLOOKUP('Données projet'!$B$11,Paramètres!$A$1:$I$89,3,0)*VLOOKUP('Données projet'!$B$11,Paramètres!$A$1:$I$89,5,0)</f>
        <v>203.82667499999999</v>
      </c>
      <c r="BF73" s="13">
        <f t="shared" si="91"/>
        <v>50.584225177816862</v>
      </c>
      <c r="BG73" s="20">
        <f t="shared" si="61"/>
        <v>443.09898447636436</v>
      </c>
      <c r="BH73" s="59">
        <f t="shared" si="62"/>
        <v>729.1618147266903</v>
      </c>
      <c r="BI73" s="59">
        <f ca="1">AVERAGE(OFFSET($BH$3,0,0,'Données projet'!$E$11+1,1))-AVERAGE(OFFSET($H$3,0,0,'Données projet'!$E$11+1,1))</f>
        <v>478.2340976873212</v>
      </c>
      <c r="BJ73" s="59">
        <f t="shared" si="92"/>
        <v>342.90128902463823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27.398738680297253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27.398738680297253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10.445</v>
      </c>
      <c r="BY73" s="12">
        <f>IF('Données projet'!$A$114&gt;35,BY72+BX73-CG72,IF(A73&lt;'Données projet'!$A$114,$BV$205^A73,IF(A73='Données projet'!$A$114,'Données projet'!$B$114,BY72+BX73-CG72)))</f>
        <v>296.85500000000019</v>
      </c>
      <c r="BZ73" s="13">
        <f>BY73*VLOOKUP('Données projet'!$B$12,Paramètres!$A$1:$I$89,3,0)*VLOOKUP('Données projet'!$B$12,Paramètres!$A$1:$I$89,5,0)</f>
        <v>268.59440400000017</v>
      </c>
      <c r="CA73" s="13">
        <f t="shared" si="93"/>
        <v>64.550875785170035</v>
      </c>
      <c r="CB73" s="20">
        <f t="shared" si="64"/>
        <v>580.22802895917141</v>
      </c>
      <c r="CC73" s="59">
        <f t="shared" si="65"/>
        <v>866.29085920949728</v>
      </c>
      <c r="CD73" s="59">
        <f ca="1">AVERAGE(OFFSET($CC$3,0,0,'Données projet'!$E$12+1,1))-AVERAGE(OFFSET($H$3,0,0,'Données projet'!$E$12+1,1))</f>
        <v>471.03166569378629</v>
      </c>
      <c r="CE73" s="59">
        <f t="shared" si="94"/>
        <v>259.15709238853287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25.056282662719724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25.056282662719724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16.050000000000004</v>
      </c>
      <c r="CT73" s="12">
        <f>IF('Données projet'!$A$140&gt;35,CT72+CS73-DB72,IF(A73&lt;'Données projet'!$A$140,$CQ$205^A73,IF(A73='Données projet'!$A$140,'Données projet'!$B$140,CT72+CS73-DB72)))</f>
        <v>449.7399999999999</v>
      </c>
      <c r="CU73" s="17">
        <f>CT73*VLOOKUP('Données projet'!$B$13,Paramètres!$A$1:$I$89,3,0)*VLOOKUP('Données projet'!$B$13,Paramètres!$A$1:$I$89,5,0)</f>
        <v>210.47831999999997</v>
      </c>
      <c r="CV73" s="13">
        <f t="shared" si="95"/>
        <v>52.040096808248755</v>
      </c>
      <c r="CW73" s="20">
        <f t="shared" si="67"/>
        <v>457.21957594103316</v>
      </c>
      <c r="CX73" s="59">
        <f t="shared" si="68"/>
        <v>743.28240619135909</v>
      </c>
      <c r="CY73" s="59">
        <f ca="1">AVERAGE(OFFSET($CX$3,0,0,'Données projet'!$E$13+1,1))-AVERAGE(OFFSET($H$3,0,0,'Données projet'!$E$13+1,1))</f>
        <v>364.67256251031029</v>
      </c>
      <c r="CZ73" s="59">
        <f t="shared" si="96"/>
        <v>347.4139588390766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60.00678244455591</v>
      </c>
      <c r="DG73" s="21">
        <f>EXP(-LN(2)/25)*DG72+(1-EXP(-LN(2)/25))/(LN(2)/25)*Calculateur!DB73*Calculateur!DD73*VLOOKUP('Données projet'!$B$13,Paramètres!$A$1:$I$89,3,0)*0.475*44/12</f>
        <v>35.927543886433689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95.934326330989592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68.017135522816162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1.35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4.95</v>
      </c>
      <c r="H74" s="67">
        <f t="shared" si="56"/>
        <v>236.86666666666665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51.998489924038495</v>
      </c>
      <c r="T74" s="59">
        <f t="shared" si="88"/>
        <v>206.32767973856241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15.455609891652317</v>
      </c>
      <c r="AA74" s="21">
        <f>EXP(-LN(2)/25)*AA73+(1-EXP(-LN(2)/25))/(LN(2)/25)*Calculateur!V74*Calculateur!X74*VLOOKUP('Données projet'!$B$9,Paramètres!$A$1:$I$89,3,0)*0.475*44/12</f>
        <v>2.8515812625796157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18.307191154231933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9.782</v>
      </c>
      <c r="AI74" s="13">
        <f>IF('Données projet'!$A$62&gt;35,AI73+AH74-AQ73,IF(A74&lt;'Données projet'!$A$62,$AF$205^A74,IF(A74='Données projet'!$A$62,'Données projet'!$B$62,AI73+AH74-AQ73)))</f>
        <v>431.9620000000001</v>
      </c>
      <c r="AJ74" s="13">
        <f>AI74*VLOOKUP('Données projet'!$B$10,Paramètres!$A$1:$I$89,3,0)*VLOOKUP('Données projet'!$B$10,Paramètres!$A$1:$I$89,5,0)</f>
        <v>258.31327600000009</v>
      </c>
      <c r="AK74" s="13">
        <f t="shared" si="89"/>
        <v>62.362700481716175</v>
      </c>
      <c r="AL74" s="20">
        <f t="shared" si="58"/>
        <v>558.51065903898916</v>
      </c>
      <c r="AM74" s="59">
        <f t="shared" si="59"/>
        <v>844.69961626339546</v>
      </c>
      <c r="AN74" s="59">
        <f ca="1">AVERAGE(OFFSET($AM$3,0,0,'Données projet'!$E$10+1,1))-AVERAGE(OFFSET($H$3,0,0,'Données projet'!$E$10+1,1))</f>
        <v>356.02637444732096</v>
      </c>
      <c r="AO74" s="59">
        <f t="shared" si="90"/>
        <v>263.30053404008095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50.32269710984513</v>
      </c>
      <c r="AV74" s="21">
        <f>EXP(-LN(2)/25)*AV73+(1-EXP(-LN(2)/25))/(LN(2)/25)*Calculateur!AQ74*Calculateur!AS74*VLOOKUP('Données projet'!$B$10,Paramètres!$A$1:$I$89,3,0)*0.475*44/12</f>
        <v>32.435401421881579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82.758098531726716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208.3</v>
      </c>
      <c r="BB74" s="12">
        <f>VLOOKUP(A74,'Données projet'!$A$87:$I$107,9,0)</f>
        <v>7.2875000000000014</v>
      </c>
      <c r="BC74" s="12">
        <f t="array" ref="BC74">INDEX(BB:BB,MIN(IF(ISNUMBER(BB74:BB270),ROW(BB74:BB270),"")))</f>
        <v>7.2875000000000014</v>
      </c>
      <c r="BD74" s="12">
        <f>IF('Données projet'!$A$88&gt;35,BD73+BC74-BL73,IF(A74&lt;'Données projet'!$A$88,$BA$205^A74,IF(A74='Données projet'!$A$88,'Données projet'!$B$88,BD73+BC74-BL73)))</f>
        <v>208.29999999999998</v>
      </c>
      <c r="BE74" s="13">
        <f>BD74*VLOOKUP('Données projet'!$B$11,Paramètres!$A$1:$I$89,3,0)*VLOOKUP('Données projet'!$B$11,Paramètres!$A$1:$I$89,5,0)</f>
        <v>211.21619999999999</v>
      </c>
      <c r="BF74" s="13">
        <f t="shared" si="91"/>
        <v>52.201266609080037</v>
      </c>
      <c r="BG74" s="20">
        <f t="shared" si="61"/>
        <v>458.78542101081433</v>
      </c>
      <c r="BH74" s="59">
        <f t="shared" si="62"/>
        <v>744.97437823522068</v>
      </c>
      <c r="BI74" s="59">
        <f ca="1">AVERAGE(OFFSET($BH$3,0,0,'Données projet'!$E$11+1,1))-AVERAGE(OFFSET($H$3,0,0,'Données projet'!$E$11+1,1))</f>
        <v>478.2340976873212</v>
      </c>
      <c r="BJ74" s="59">
        <f t="shared" si="92"/>
        <v>342.90128902463823</v>
      </c>
      <c r="BK74" s="15">
        <f>IF(ISNA(VLOOKUP(A74,'Données projet'!$A$87:$I$107,3,0)),0,VLOOKUP(A74,'Données projet'!$A$87:$I$107,3,0))</f>
        <v>5</v>
      </c>
      <c r="BL74" s="15">
        <f>IF(ISNA(VLOOKUP(A74,'Données projet'!$A$87:$I$107,4,0)),0,VLOOKUP(A74,'Données projet'!$A$87:$I$107,4,0))</f>
        <v>41.9</v>
      </c>
      <c r="BM74" s="16">
        <f>IF(ISNA(VLOOKUP(A74,'Données projet'!$A$87:$I$107,5,0)),0%,VLOOKUP(A74,'Données projet'!$A$87:$I$107,5,0)*VLOOKUP('Données projet'!$B$11,Paramètres!$A$1:$I$89,7,0))</f>
        <v>0.25800000000000001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38.979127005739763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38.979127005739763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307.3</v>
      </c>
      <c r="BW74" s="12">
        <f>VLOOKUP(A74,'Données projet'!$A$113:$I$133,9,0)</f>
        <v>10.445</v>
      </c>
      <c r="BX74" s="12">
        <f t="array" ref="BX74">INDEX(BW:BW,MIN(IF(ISNUMBER(BW74:BW270),ROW(BW74:BW270),"")))</f>
        <v>10.445</v>
      </c>
      <c r="BY74" s="12">
        <f>IF('Données projet'!$A$114&gt;35,BY73+BX74-CG73,IF(A74&lt;'Données projet'!$A$114,$BV$205^A74,IF(A74='Données projet'!$A$114,'Données projet'!$B$114,BY73+BX74-CG73)))</f>
        <v>307.30000000000018</v>
      </c>
      <c r="BZ74" s="13">
        <f>BY74*VLOOKUP('Données projet'!$B$12,Paramètres!$A$1:$I$89,3,0)*VLOOKUP('Données projet'!$B$12,Paramètres!$A$1:$I$89,5,0)</f>
        <v>278.04504000000014</v>
      </c>
      <c r="CA74" s="13">
        <f t="shared" si="93"/>
        <v>66.553701316724712</v>
      </c>
      <c r="CB74" s="20">
        <f t="shared" si="64"/>
        <v>600.17614112662898</v>
      </c>
      <c r="CC74" s="59">
        <f t="shared" si="65"/>
        <v>886.36509835103527</v>
      </c>
      <c r="CD74" s="59">
        <f ca="1">AVERAGE(OFFSET($CC$3,0,0,'Données projet'!$E$12+1,1))-AVERAGE(OFFSET($H$3,0,0,'Données projet'!$E$12+1,1))</f>
        <v>471.03166569378629</v>
      </c>
      <c r="CE74" s="59">
        <f t="shared" si="94"/>
        <v>259.15709238853287</v>
      </c>
      <c r="CF74" s="15">
        <f>IF(ISNA(VLOOKUP(A74,'Données projet'!$A$113:$I$133,3,0)),0,VLOOKUP(A74,'Données projet'!$A$113:$I$133,3,0))</f>
        <v>7</v>
      </c>
      <c r="CG74" s="15">
        <f>IF(ISNA(VLOOKUP(A74,'Données projet'!$A$113:$I$133,4,0)),0,VLOOKUP(A74,'Données projet'!$A$113:$I$133,4,0))</f>
        <v>54.57</v>
      </c>
      <c r="CH74" s="16">
        <f>IF(ISNA(VLOOKUP(A74,'Données projet'!$A$113:$I$133,5,0)),0%,VLOOKUP(A74,'Données projet'!$A$113:$I$133,5,0)*VLOOKUP('Données projet'!$B$12,Paramètres!$A$1:$I$89,7,0))</f>
        <v>0.25800000000000001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38.64723678627562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38.64723678627562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465.79</v>
      </c>
      <c r="CR74" s="12">
        <f>VLOOKUP(A74,'Données projet'!$A$139:$I$159,9,0)</f>
        <v>16.050000000000004</v>
      </c>
      <c r="CS74" s="12">
        <f t="array" ref="CS74">INDEX(CR:CR,MIN(IF(ISNUMBER(CR74:CR270),ROW(CR74:CR270),"")))</f>
        <v>16.050000000000004</v>
      </c>
      <c r="CT74" s="12">
        <f>IF('Données projet'!$A$140&gt;35,CT73+CS74-DB73,IF(A74&lt;'Données projet'!$A$140,$CQ$205^A74,IF(A74='Données projet'!$A$140,'Données projet'!$B$140,CT73+CS74-DB73)))</f>
        <v>465.78999999999991</v>
      </c>
      <c r="CU74" s="17">
        <f>CT74*VLOOKUP('Données projet'!$B$13,Paramètres!$A$1:$I$89,3,0)*VLOOKUP('Données projet'!$B$13,Paramètres!$A$1:$I$89,5,0)</f>
        <v>217.98971999999995</v>
      </c>
      <c r="CV74" s="13">
        <f t="shared" si="95"/>
        <v>53.677728140063088</v>
      </c>
      <c r="CW74" s="20">
        <f t="shared" si="67"/>
        <v>473.15413884394314</v>
      </c>
      <c r="CX74" s="59">
        <f t="shared" si="68"/>
        <v>759.3430960683495</v>
      </c>
      <c r="CY74" s="59">
        <f ca="1">AVERAGE(OFFSET($CX$3,0,0,'Données projet'!$E$13+1,1))-AVERAGE(OFFSET($H$3,0,0,'Données projet'!$E$13+1,1))</f>
        <v>364.67256251031029</v>
      </c>
      <c r="CZ74" s="59">
        <f t="shared" si="96"/>
        <v>347.4139588390766</v>
      </c>
      <c r="DA74" s="15">
        <f>IF(ISNA(VLOOKUP(A74,'Données projet'!$A$139:$I$159,3,0)),0,VLOOKUP(A74,'Données projet'!$A$139:$I$159,3,0))</f>
        <v>5</v>
      </c>
      <c r="DB74" s="15">
        <f>IF(ISNA(VLOOKUP(A74,'Données projet'!$A$139:$I$159,4,0)),0,VLOOKUP(A74,'Données projet'!$A$139:$I$159,4,0))</f>
        <v>90.8</v>
      </c>
      <c r="DC74" s="16">
        <f>IF(ISNA(VLOOKUP(A74,'Données projet'!$A$139:$I$159,5,0)),0%,VLOOKUP(A74,'Données projet'!$A$139:$I$159,5,0)*VLOOKUP('Données projet'!$B$13,Paramètres!$A$1:$I$89,7,0))</f>
        <v>0.38500000000000001</v>
      </c>
      <c r="DD74" s="16">
        <f>IF(ISNA(VLOOKUP(A74,'Données projet'!$A$139:$I$159,6,0)),0%,VLOOKUP(A74,'Données projet'!$A$139:$I$159,6,0)*VLOOKUP('Données projet'!$B$13,Paramètres!$A$1:$I$89,7,0))</f>
        <v>0.16500000000000001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80.533136870505004</v>
      </c>
      <c r="DG74" s="21">
        <f>EXP(-LN(2)/25)*DG73+(1-EXP(-LN(2)/25))/(LN(2)/25)*Calculateur!DB74*Calculateur!DD74*VLOOKUP('Données projet'!$B$13,Paramètres!$A$1:$I$89,3,0)*0.475*44/12</f>
        <v>44.20978801602822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124.74292488653322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68.051533788474444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1.35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4.95</v>
      </c>
      <c r="H75" s="67">
        <f t="shared" si="56"/>
        <v>236.86666666666665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51.998489924038495</v>
      </c>
      <c r="T75" s="59">
        <f t="shared" si="88"/>
        <v>206.32767973856241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15.152534808668211</v>
      </c>
      <c r="AA75" s="21">
        <f>EXP(-LN(2)/25)*AA74+(1-EXP(-LN(2)/25))/(LN(2)/25)*Calculateur!V75*Calculateur!X75*VLOOKUP('Données projet'!$B$9,Paramètres!$A$1:$I$89,3,0)*0.475*44/12</f>
        <v>2.7736046229962348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17.926139431664446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9.782</v>
      </c>
      <c r="AI75" s="13">
        <f>IF('Données projet'!$A$62&gt;35,AI74+AH75-AQ74,IF(A75&lt;'Données projet'!$A$62,$AF$205^A75,IF(A75='Données projet'!$A$62,'Données projet'!$B$62,AI74+AH75-AQ74)))</f>
        <v>441.74400000000009</v>
      </c>
      <c r="AJ75" s="13">
        <f>AI75*VLOOKUP('Données projet'!$B$10,Paramètres!$A$1:$I$89,3,0)*VLOOKUP('Données projet'!$B$10,Paramètres!$A$1:$I$89,5,0)</f>
        <v>264.16291200000006</v>
      </c>
      <c r="AK75" s="13">
        <f t="shared" si="89"/>
        <v>63.608920560680907</v>
      </c>
      <c r="AL75" s="20">
        <f t="shared" si="58"/>
        <v>570.86927504318601</v>
      </c>
      <c r="AM75" s="59">
        <f t="shared" si="59"/>
        <v>857.18217122064993</v>
      </c>
      <c r="AN75" s="59">
        <f ca="1">AVERAGE(OFFSET($AM$3,0,0,'Données projet'!$E$10+1,1))-AVERAGE(OFFSET($H$3,0,0,'Données projet'!$E$10+1,1))</f>
        <v>356.02637444732096</v>
      </c>
      <c r="AO75" s="59">
        <f t="shared" si="90"/>
        <v>263.30053404008095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49.335899713335543</v>
      </c>
      <c r="AV75" s="21">
        <f>EXP(-LN(2)/25)*AV74+(1-EXP(-LN(2)/25))/(LN(2)/25)*Calculateur!AQ75*Calculateur!AS75*VLOOKUP('Données projet'!$B$10,Paramètres!$A$1:$I$89,3,0)*0.475*44/12</f>
        <v>31.548453664296598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80.884353377632138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6.8674999999999997</v>
      </c>
      <c r="BD75" s="12">
        <f>IF('Données projet'!$A$88&gt;35,BD74+BC75-BL74,IF(A75&lt;'Données projet'!$A$88,$BA$205^A75,IF(A75='Données projet'!$A$88,'Données projet'!$B$88,BD74+BC75-BL74)))</f>
        <v>173.26749999999998</v>
      </c>
      <c r="BE75" s="13">
        <f>BD75*VLOOKUP('Données projet'!$B$11,Paramètres!$A$1:$I$89,3,0)*VLOOKUP('Données projet'!$B$11,Paramètres!$A$1:$I$89,5,0)</f>
        <v>175.69324499999999</v>
      </c>
      <c r="BF75" s="13">
        <f t="shared" si="91"/>
        <v>44.362666219998701</v>
      </c>
      <c r="BG75" s="20">
        <f t="shared" si="61"/>
        <v>383.26404537483103</v>
      </c>
      <c r="BH75" s="59">
        <f t="shared" si="62"/>
        <v>669.57694155229501</v>
      </c>
      <c r="BI75" s="59">
        <f ca="1">AVERAGE(OFFSET($BH$3,0,0,'Données projet'!$E$11+1,1))-AVERAGE(OFFSET($H$3,0,0,'Données projet'!$E$11+1,1))</f>
        <v>478.2340976873212</v>
      </c>
      <c r="BJ75" s="59">
        <f t="shared" si="92"/>
        <v>342.90128902463823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38.214770100077104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38.214770100077104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10.009999999999998</v>
      </c>
      <c r="BY75" s="12">
        <f>IF('Données projet'!$A$114&gt;35,BY74+BX75-CG74,IF(A75&lt;'Données projet'!$A$114,$BV$205^A75,IF(A75='Données projet'!$A$114,'Données projet'!$B$114,BY74+BX75-CG74)))</f>
        <v>262.74000000000018</v>
      </c>
      <c r="BZ75" s="13">
        <f>BY75*VLOOKUP('Données projet'!$B$12,Paramètres!$A$1:$I$89,3,0)*VLOOKUP('Données projet'!$B$12,Paramètres!$A$1:$I$89,5,0)</f>
        <v>237.72715200000016</v>
      </c>
      <c r="CA75" s="13">
        <f t="shared" si="93"/>
        <v>57.95024568053897</v>
      </c>
      <c r="CB75" s="20">
        <f t="shared" si="64"/>
        <v>514.97146762693899</v>
      </c>
      <c r="CC75" s="59">
        <f t="shared" si="65"/>
        <v>801.28436380440303</v>
      </c>
      <c r="CD75" s="59">
        <f ca="1">AVERAGE(OFFSET($CC$3,0,0,'Données projet'!$E$12+1,1))-AVERAGE(OFFSET($H$3,0,0,'Données projet'!$E$12+1,1))</f>
        <v>471.03166569378629</v>
      </c>
      <c r="CE75" s="59">
        <f t="shared" si="94"/>
        <v>259.15709238853287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37.889388045383605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37.889388045383605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15.115000000000002</v>
      </c>
      <c r="CT75" s="12">
        <f>IF('Données projet'!$A$140&gt;35,CT74+CS75-DB74,IF(A75&lt;'Données projet'!$A$140,$CQ$205^A75,IF(A75='Données projet'!$A$140,'Données projet'!$B$140,CT74+CS75-DB74)))</f>
        <v>390.1049999999999</v>
      </c>
      <c r="CU75" s="17">
        <f>CT75*VLOOKUP('Données projet'!$B$13,Paramètres!$A$1:$I$89,3,0)*VLOOKUP('Données projet'!$B$13,Paramètres!$A$1:$I$89,5,0)</f>
        <v>182.56913999999995</v>
      </c>
      <c r="CV75" s="13">
        <f t="shared" si="95"/>
        <v>45.893300175788823</v>
      </c>
      <c r="CW75" s="20">
        <f t="shared" si="67"/>
        <v>397.90541663949875</v>
      </c>
      <c r="CX75" s="59">
        <f t="shared" si="68"/>
        <v>684.21831281696268</v>
      </c>
      <c r="CY75" s="59">
        <f ca="1">AVERAGE(OFFSET($CX$3,0,0,'Données projet'!$E$13+1,1))-AVERAGE(OFFSET($H$3,0,0,'Données projet'!$E$13+1,1))</f>
        <v>364.67256251031029</v>
      </c>
      <c r="CZ75" s="59">
        <f t="shared" si="96"/>
        <v>347.4139588390766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78.953931176837656</v>
      </c>
      <c r="DG75" s="21">
        <f>EXP(-LN(2)/25)*DG74+(1-EXP(-LN(2)/25))/(LN(2)/25)*Calculateur!DB75*Calculateur!DD75*VLOOKUP('Données projet'!$B$13,Paramètres!$A$1:$I$89,3,0)*0.475*44/12</f>
        <v>43.000869037838221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121.95480021467588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68.08533532112655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1.35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4.95</v>
      </c>
      <c r="H76" s="67">
        <f t="shared" si="56"/>
        <v>236.86666666666665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51.998489924038495</v>
      </c>
      <c r="T76" s="59">
        <f t="shared" si="88"/>
        <v>206.32767973856241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14.855402843203876</v>
      </c>
      <c r="AA76" s="21">
        <f>EXP(-LN(2)/25)*AA75+(1-EXP(-LN(2)/25))/(LN(2)/25)*Calculateur!V76*Calculateur!X76*VLOOKUP('Données projet'!$B$9,Paramètres!$A$1:$I$89,3,0)*0.475*44/12</f>
        <v>2.6977602587228748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17.553163101926749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9.782</v>
      </c>
      <c r="AI76" s="13">
        <f>IF('Données projet'!$A$62&gt;35,AI75+AH76-AQ75,IF(A76&lt;'Données projet'!$A$62,$AF$205^A76,IF(A76='Données projet'!$A$62,'Données projet'!$B$62,AI75+AH76-AQ75)))</f>
        <v>451.52600000000007</v>
      </c>
      <c r="AJ76" s="13">
        <f>AI76*VLOOKUP('Données projet'!$B$10,Paramètres!$A$1:$I$89,3,0)*VLOOKUP('Données projet'!$B$10,Paramètres!$A$1:$I$89,5,0)</f>
        <v>270.01254800000004</v>
      </c>
      <c r="AK76" s="13">
        <f t="shared" si="89"/>
        <v>64.851932282926271</v>
      </c>
      <c r="AL76" s="20">
        <f t="shared" si="58"/>
        <v>583.22230315943</v>
      </c>
      <c r="AM76" s="59">
        <f t="shared" si="59"/>
        <v>869.6569882262022</v>
      </c>
      <c r="AN76" s="59">
        <f ca="1">AVERAGE(OFFSET($AM$3,0,0,'Données projet'!$E$10+1,1))-AVERAGE(OFFSET($H$3,0,0,'Données projet'!$E$10+1,1))</f>
        <v>356.02637444732096</v>
      </c>
      <c r="AO76" s="59">
        <f t="shared" si="90"/>
        <v>263.30053404008095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48.368452811884524</v>
      </c>
      <c r="AV76" s="21">
        <f>EXP(-LN(2)/25)*AV75+(1-EXP(-LN(2)/25))/(LN(2)/25)*Calculateur!AQ76*Calculateur!AS76*VLOOKUP('Données projet'!$B$10,Paramètres!$A$1:$I$89,3,0)*0.475*44/12</f>
        <v>30.685759539785334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79.054212351669861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6.8674999999999997</v>
      </c>
      <c r="BD76" s="12">
        <f>IF('Données projet'!$A$88&gt;35,BD75+BC76-BL75,IF(A76&lt;'Données projet'!$A$88,$BA$205^A76,IF(A76='Données projet'!$A$88,'Données projet'!$B$88,BD75+BC76-BL75)))</f>
        <v>180.13499999999999</v>
      </c>
      <c r="BE76" s="13">
        <f>BD76*VLOOKUP('Données projet'!$B$11,Paramètres!$A$1:$I$89,3,0)*VLOOKUP('Données projet'!$B$11,Paramètres!$A$1:$I$89,5,0)</f>
        <v>182.65689</v>
      </c>
      <c r="BF76" s="13">
        <f t="shared" si="91"/>
        <v>45.912790210148032</v>
      </c>
      <c r="BG76" s="20">
        <f t="shared" si="61"/>
        <v>398.09219303267446</v>
      </c>
      <c r="BH76" s="59">
        <f t="shared" si="62"/>
        <v>684.52687809944666</v>
      </c>
      <c r="BI76" s="59">
        <f ca="1">AVERAGE(OFFSET($BH$3,0,0,'Données projet'!$E$11+1,1))-AVERAGE(OFFSET($H$3,0,0,'Données projet'!$E$11+1,1))</f>
        <v>478.2340976873212</v>
      </c>
      <c r="BJ76" s="59">
        <f t="shared" si="92"/>
        <v>342.90128902463823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37.465401767122806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37.465401767122806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10.009999999999998</v>
      </c>
      <c r="BY76" s="12">
        <f>IF('Données projet'!$A$114&gt;35,BY75+BX76-CG75,IF(A76&lt;'Données projet'!$A$114,$BV$205^A76,IF(A76='Données projet'!$A$114,'Données projet'!$B$114,BY75+BX76-CG75)))</f>
        <v>272.75000000000017</v>
      </c>
      <c r="BZ76" s="13">
        <f>BY76*VLOOKUP('Données projet'!$B$12,Paramètres!$A$1:$I$89,3,0)*VLOOKUP('Données projet'!$B$12,Paramètres!$A$1:$I$89,5,0)</f>
        <v>246.78420000000014</v>
      </c>
      <c r="CA76" s="13">
        <f t="shared" si="93"/>
        <v>59.896807673928095</v>
      </c>
      <c r="CB76" s="20">
        <f t="shared" si="64"/>
        <v>534.13608836542494</v>
      </c>
      <c r="CC76" s="59">
        <f t="shared" si="65"/>
        <v>820.57077343219714</v>
      </c>
      <c r="CD76" s="59">
        <f ca="1">AVERAGE(OFFSET($CC$3,0,0,'Données projet'!$E$12+1,1))-AVERAGE(OFFSET($H$3,0,0,'Données projet'!$E$12+1,1))</f>
        <v>471.03166569378629</v>
      </c>
      <c r="CE76" s="59">
        <f t="shared" si="94"/>
        <v>259.15709238853287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37.146400256058392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37.146400256058392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15.115000000000002</v>
      </c>
      <c r="CT76" s="12">
        <f>IF('Données projet'!$A$140&gt;35,CT75+CS76-DB75,IF(A76&lt;'Données projet'!$A$140,$CQ$205^A76,IF(A76='Données projet'!$A$140,'Données projet'!$B$140,CT75+CS76-DB75)))</f>
        <v>405.21999999999991</v>
      </c>
      <c r="CU76" s="17">
        <f>CT76*VLOOKUP('Données projet'!$B$13,Paramètres!$A$1:$I$89,3,0)*VLOOKUP('Données projet'!$B$13,Paramètres!$A$1:$I$89,5,0)</f>
        <v>189.64295999999996</v>
      </c>
      <c r="CV76" s="13">
        <f t="shared" si="95"/>
        <v>47.461007737470666</v>
      </c>
      <c r="CW76" s="20">
        <f t="shared" si="67"/>
        <v>412.95607714276122</v>
      </c>
      <c r="CX76" s="59">
        <f t="shared" si="68"/>
        <v>699.39076220953348</v>
      </c>
      <c r="CY76" s="59">
        <f ca="1">AVERAGE(OFFSET($CX$3,0,0,'Données projet'!$E$13+1,1))-AVERAGE(OFFSET($H$3,0,0,'Données projet'!$E$13+1,1))</f>
        <v>364.67256251031029</v>
      </c>
      <c r="CZ76" s="59">
        <f t="shared" si="96"/>
        <v>347.4139588390766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77.405692743602771</v>
      </c>
      <c r="DG76" s="21">
        <f>EXP(-LN(2)/25)*DG75+(1-EXP(-LN(2)/25))/(LN(2)/25)*Calculateur!DB76*Calculateur!DD76*VLOOKUP('Données projet'!$B$13,Paramètres!$A$1:$I$89,3,0)*0.475*44/12</f>
        <v>41.82500801268111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119.23070075628388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68.118550472756056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1.35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4.95</v>
      </c>
      <c r="H77" s="67">
        <f t="shared" si="56"/>
        <v>236.86666666666665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51.998489924038495</v>
      </c>
      <c r="T77" s="59">
        <f t="shared" si="88"/>
        <v>206.32767973856241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14.564097454349692</v>
      </c>
      <c r="AA77" s="21">
        <f>EXP(-LN(2)/25)*AA76+(1-EXP(-LN(2)/25))/(LN(2)/25)*Calculateur!V77*Calculateur!X77*VLOOKUP('Données projet'!$B$9,Paramètres!$A$1:$I$89,3,0)*0.475*44/12</f>
        <v>2.6239898625790516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17.188087316928744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9.782</v>
      </c>
      <c r="AI77" s="13">
        <f>IF('Données projet'!$A$62&gt;35,AI76+AH77-AQ76,IF(A77&lt;'Données projet'!$A$62,$AF$205^A77,IF(A77='Données projet'!$A$62,'Données projet'!$B$62,AI76+AH77-AQ76)))</f>
        <v>461.30800000000005</v>
      </c>
      <c r="AJ77" s="13">
        <f>AI77*VLOOKUP('Données projet'!$B$10,Paramètres!$A$1:$I$89,3,0)*VLOOKUP('Données projet'!$B$10,Paramètres!$A$1:$I$89,5,0)</f>
        <v>275.86218400000007</v>
      </c>
      <c r="AK77" s="13">
        <f t="shared" si="89"/>
        <v>66.091813160377626</v>
      </c>
      <c r="AL77" s="20">
        <f t="shared" si="58"/>
        <v>595.5698783876577</v>
      </c>
      <c r="AM77" s="59">
        <f t="shared" si="59"/>
        <v>882.12423957878775</v>
      </c>
      <c r="AN77" s="59">
        <f ca="1">AVERAGE(OFFSET($AM$3,0,0,'Données projet'!$E$10+1,1))-AVERAGE(OFFSET($H$3,0,0,'Données projet'!$E$10+1,1))</f>
        <v>356.02637444732096</v>
      </c>
      <c r="AO77" s="59">
        <f t="shared" si="90"/>
        <v>263.30053404008095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47.419976954086621</v>
      </c>
      <c r="AV77" s="21">
        <f>EXP(-LN(2)/25)*AV76+(1-EXP(-LN(2)/25))/(LN(2)/25)*Calculateur!AQ77*Calculateur!AS77*VLOOKUP('Données projet'!$B$10,Paramètres!$A$1:$I$89,3,0)*0.475*44/12</f>
        <v>29.846655831475942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77.266632785562564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6.8674999999999997</v>
      </c>
      <c r="BD77" s="12">
        <f>IF('Données projet'!$A$88&gt;35,BD76+BC77-BL76,IF(A77&lt;'Données projet'!$A$88,$BA$205^A77,IF(A77='Données projet'!$A$88,'Données projet'!$B$88,BD76+BC77-BL76)))</f>
        <v>187.0025</v>
      </c>
      <c r="BE77" s="13">
        <f>BD77*VLOOKUP('Données projet'!$B$11,Paramètres!$A$1:$I$89,3,0)*VLOOKUP('Données projet'!$B$11,Paramètres!$A$1:$I$89,5,0)</f>
        <v>189.62053500000002</v>
      </c>
      <c r="BF77" s="13">
        <f t="shared" si="91"/>
        <v>47.456048768647321</v>
      </c>
      <c r="BG77" s="20">
        <f t="shared" si="61"/>
        <v>412.90838339706079</v>
      </c>
      <c r="BH77" s="59">
        <f t="shared" si="62"/>
        <v>699.46274458819084</v>
      </c>
      <c r="BI77" s="59">
        <f ca="1">AVERAGE(OFFSET($BH$3,0,0,'Données projet'!$E$11+1,1))-AVERAGE(OFFSET($H$3,0,0,'Données projet'!$E$11+1,1))</f>
        <v>478.2340976873212</v>
      </c>
      <c r="BJ77" s="59">
        <f t="shared" si="92"/>
        <v>342.90128902463823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36.730728090108194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36.730728090108194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10.009999999999998</v>
      </c>
      <c r="BY77" s="12">
        <f>IF('Données projet'!$A$114&gt;35,BY76+BX77-CG76,IF(A77&lt;'Données projet'!$A$114,$BV$205^A77,IF(A77='Données projet'!$A$114,'Données projet'!$B$114,BY76+BX77-CG76)))</f>
        <v>282.76000000000016</v>
      </c>
      <c r="BZ77" s="13">
        <f>BY77*VLOOKUP('Données projet'!$B$12,Paramètres!$A$1:$I$89,3,0)*VLOOKUP('Données projet'!$B$12,Paramètres!$A$1:$I$89,5,0)</f>
        <v>255.84124800000015</v>
      </c>
      <c r="CA77" s="13">
        <f t="shared" si="93"/>
        <v>61.835069894084413</v>
      </c>
      <c r="CB77" s="20">
        <f t="shared" si="64"/>
        <v>553.28625366553058</v>
      </c>
      <c r="CC77" s="59">
        <f t="shared" si="65"/>
        <v>839.84061485666064</v>
      </c>
      <c r="CD77" s="59">
        <f ca="1">AVERAGE(OFFSET($CC$3,0,0,'Données projet'!$E$12+1,1))-AVERAGE(OFFSET($H$3,0,0,'Données projet'!$E$12+1,1))</f>
        <v>471.03166569378629</v>
      </c>
      <c r="CE77" s="59">
        <f t="shared" si="94"/>
        <v>259.15709238853287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36.417982004104047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36.417982004104047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15.115000000000002</v>
      </c>
      <c r="CT77" s="12">
        <f>IF('Données projet'!$A$140&gt;35,CT76+CS77-DB76,IF(A77&lt;'Données projet'!$A$140,$CQ$205^A77,IF(A77='Données projet'!$A$140,'Données projet'!$B$140,CT76+CS77-DB76)))</f>
        <v>420.33499999999992</v>
      </c>
      <c r="CU77" s="17">
        <f>CT77*VLOOKUP('Données projet'!$B$13,Paramètres!$A$1:$I$89,3,0)*VLOOKUP('Données projet'!$B$13,Paramètres!$A$1:$I$89,5,0)</f>
        <v>196.71677999999994</v>
      </c>
      <c r="CV77" s="13">
        <f t="shared" si="95"/>
        <v>49.021921710754086</v>
      </c>
      <c r="CW77" s="20">
        <f t="shared" si="67"/>
        <v>427.99490547956322</v>
      </c>
      <c r="CX77" s="59">
        <f t="shared" si="68"/>
        <v>714.54926667069321</v>
      </c>
      <c r="CY77" s="59">
        <f ca="1">AVERAGE(OFFSET($CX$3,0,0,'Données projet'!$E$13+1,1))-AVERAGE(OFFSET($H$3,0,0,'Données projet'!$E$13+1,1))</f>
        <v>364.67256251031029</v>
      </c>
      <c r="CZ77" s="59">
        <f t="shared" si="96"/>
        <v>347.4139588390766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75.887814321711417</v>
      </c>
      <c r="DG77" s="21">
        <f>EXP(-LN(2)/25)*DG76+(1-EXP(-LN(2)/25))/(LN(2)/25)*Calculateur!DB77*Calculateur!DD77*VLOOKUP('Données projet'!$B$13,Paramètres!$A$1:$I$89,3,0)*0.475*44/12</f>
        <v>40.681300969092767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116.56911529080418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68.151189415762744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1.35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4.95</v>
      </c>
      <c r="H78" s="67">
        <f t="shared" si="56"/>
        <v>236.86666666666665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51.998489924038495</v>
      </c>
      <c r="T78" s="59">
        <f t="shared" si="88"/>
        <v>206.32767973856241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14.278504386492196</v>
      </c>
      <c r="AA78" s="21">
        <f>EXP(-LN(2)/25)*AA77+(1-EXP(-LN(2)/25))/(LN(2)/25)*Calculateur!V78*Calculateur!X78*VLOOKUP('Données projet'!$B$9,Paramètres!$A$1:$I$89,3,0)*0.475*44/12</f>
        <v>2.5522367217971977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16.830741108289395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9.782</v>
      </c>
      <c r="AI78" s="13">
        <f>IF('Données projet'!$A$62&gt;35,AI77+AH78-AQ77,IF(A78&lt;'Données projet'!$A$62,$AF$205^A78,IF(A78='Données projet'!$A$62,'Données projet'!$B$62,AI77+AH78-AQ77)))</f>
        <v>471.09000000000003</v>
      </c>
      <c r="AJ78" s="13">
        <f>AI78*VLOOKUP('Données projet'!$B$10,Paramètres!$A$1:$I$89,3,0)*VLOOKUP('Données projet'!$B$10,Paramètres!$A$1:$I$89,5,0)</f>
        <v>281.71182000000005</v>
      </c>
      <c r="AK78" s="13">
        <f t="shared" si="89"/>
        <v>67.328637229880215</v>
      </c>
      <c r="AL78" s="20">
        <f t="shared" si="58"/>
        <v>607.91212967537479</v>
      </c>
      <c r="AM78" s="59">
        <f t="shared" si="59"/>
        <v>894.58409087766086</v>
      </c>
      <c r="AN78" s="59">
        <f ca="1">AVERAGE(OFFSET($AM$3,0,0,'Données projet'!$E$10+1,1))-AVERAGE(OFFSET($H$3,0,0,'Données projet'!$E$10+1,1))</f>
        <v>356.02637444732096</v>
      </c>
      <c r="AO78" s="59">
        <f t="shared" si="90"/>
        <v>263.30053404008095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46.490100129346985</v>
      </c>
      <c r="AV78" s="21">
        <f>EXP(-LN(2)/25)*AV77+(1-EXP(-LN(2)/25))/(LN(2)/25)*Calculateur!AQ78*Calculateur!AS78*VLOOKUP('Données projet'!$B$10,Paramètres!$A$1:$I$89,3,0)*0.475*44/12</f>
        <v>29.03049745819682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75.520597587543804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6.8674999999999997</v>
      </c>
      <c r="BD78" s="12">
        <f>IF('Données projet'!$A$88&gt;35,BD77+BC78-BL77,IF(A78&lt;'Données projet'!$A$88,$BA$205^A78,IF(A78='Données projet'!$A$88,'Données projet'!$B$88,BD77+BC78-BL77)))</f>
        <v>193.87</v>
      </c>
      <c r="BE78" s="13">
        <f>BD78*VLOOKUP('Données projet'!$B$11,Paramètres!$A$1:$I$89,3,0)*VLOOKUP('Données projet'!$B$11,Paramètres!$A$1:$I$89,5,0)</f>
        <v>196.58418</v>
      </c>
      <c r="BF78" s="13">
        <f t="shared" si="91"/>
        <v>48.992722897671591</v>
      </c>
      <c r="BG78" s="20">
        <f t="shared" si="61"/>
        <v>427.7131058801113</v>
      </c>
      <c r="BH78" s="59">
        <f t="shared" si="62"/>
        <v>714.38506708239731</v>
      </c>
      <c r="BI78" s="59">
        <f ca="1">AVERAGE(OFFSET($BH$3,0,0,'Données projet'!$E$11+1,1))-AVERAGE(OFFSET($H$3,0,0,'Données projet'!$E$11+1,1))</f>
        <v>478.2340976873212</v>
      </c>
      <c r="BJ78" s="59">
        <f t="shared" si="92"/>
        <v>342.90128902463823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36.010460915793139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36.010460915793139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10.009999999999998</v>
      </c>
      <c r="BY78" s="12">
        <f>IF('Données projet'!$A$114&gt;35,BY77+BX78-CG77,IF(A78&lt;'Données projet'!$A$114,$BV$205^A78,IF(A78='Données projet'!$A$114,'Données projet'!$B$114,BY77+BX78-CG77)))</f>
        <v>292.77000000000015</v>
      </c>
      <c r="BZ78" s="13">
        <f>BY78*VLOOKUP('Données projet'!$B$12,Paramètres!$A$1:$I$89,3,0)*VLOOKUP('Données projet'!$B$12,Paramètres!$A$1:$I$89,5,0)</f>
        <v>264.89829600000013</v>
      </c>
      <c r="CA78" s="13">
        <f t="shared" si="93"/>
        <v>63.76535982656268</v>
      </c>
      <c r="CB78" s="20">
        <f t="shared" si="64"/>
        <v>572.42253389793029</v>
      </c>
      <c r="CC78" s="59">
        <f t="shared" si="65"/>
        <v>859.09449510021636</v>
      </c>
      <c r="CD78" s="59">
        <f ca="1">AVERAGE(OFFSET($CC$3,0,0,'Données projet'!$E$12+1,1))-AVERAGE(OFFSET($H$3,0,0,'Données projet'!$E$12+1,1))</f>
        <v>471.03166569378629</v>
      </c>
      <c r="CE78" s="59">
        <f t="shared" si="94"/>
        <v>259.15709238853287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35.703847589779258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35.703847589779258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15.115000000000002</v>
      </c>
      <c r="CT78" s="12">
        <f>IF('Données projet'!$A$140&gt;35,CT77+CS78-DB77,IF(A78&lt;'Données projet'!$A$140,$CQ$205^A78,IF(A78='Données projet'!$A$140,'Données projet'!$B$140,CT77+CS78-DB77)))</f>
        <v>435.44999999999993</v>
      </c>
      <c r="CU78" s="17">
        <f>CT78*VLOOKUP('Données projet'!$B$13,Paramètres!$A$1:$I$89,3,0)*VLOOKUP('Données projet'!$B$13,Paramètres!$A$1:$I$89,5,0)</f>
        <v>203.79059999999998</v>
      </c>
      <c r="CV78" s="13">
        <f t="shared" si="95"/>
        <v>50.57631437420887</v>
      </c>
      <c r="CW78" s="20">
        <f t="shared" si="67"/>
        <v>443.02237586841375</v>
      </c>
      <c r="CX78" s="59">
        <f t="shared" si="68"/>
        <v>729.6943370706997</v>
      </c>
      <c r="CY78" s="59">
        <f ca="1">AVERAGE(OFFSET($CX$3,0,0,'Données projet'!$E$13+1,1))-AVERAGE(OFFSET($H$3,0,0,'Données projet'!$E$13+1,1))</f>
        <v>364.67256251031029</v>
      </c>
      <c r="CZ78" s="59">
        <f t="shared" si="96"/>
        <v>347.4139588390766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74.399700569858936</v>
      </c>
      <c r="DG78" s="21">
        <f>EXP(-LN(2)/25)*DG77+(1-EXP(-LN(2)/25))/(LN(2)/25)*Calculateur!DB78*Calculateur!DD78*VLOOKUP('Données projet'!$B$13,Paramètres!$A$1:$I$89,3,0)*0.475*44/12</f>
        <v>39.568868654756287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113.96856922461522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68.183262146078008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1.35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4.95</v>
      </c>
      <c r="H79" s="67">
        <f t="shared" si="56"/>
        <v>236.86666666666665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51.998489924038495</v>
      </c>
      <c r="T79" s="59">
        <f t="shared" si="88"/>
        <v>206.32767973856241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13.998511624500814</v>
      </c>
      <c r="AA79" s="21">
        <f>EXP(-LN(2)/25)*AA78+(1-EXP(-LN(2)/25))/(LN(2)/25)*Calculateur!V79*Calculateur!X79*VLOOKUP('Données projet'!$B$9,Paramètres!$A$1:$I$89,3,0)*0.475*44/12</f>
        <v>2.4824456744233574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16.480957298924171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9.782</v>
      </c>
      <c r="AI79" s="13">
        <f>IF('Données projet'!$A$62&gt;35,AI78+AH79-AQ78,IF(A79&lt;'Données projet'!$A$62,$AF$205^A79,IF(A79='Données projet'!$A$62,'Données projet'!$B$62,AI78+AH79-AQ78)))</f>
        <v>480.87200000000001</v>
      </c>
      <c r="AJ79" s="13">
        <f>AI79*VLOOKUP('Données projet'!$B$10,Paramètres!$A$1:$I$89,3,0)*VLOOKUP('Données projet'!$B$10,Paramètres!$A$1:$I$89,5,0)</f>
        <v>287.56145600000002</v>
      </c>
      <c r="AK79" s="13">
        <f t="shared" si="89"/>
        <v>68.562475277867222</v>
      </c>
      <c r="AL79" s="20">
        <f t="shared" si="58"/>
        <v>620.24918030895208</v>
      </c>
      <c r="AM79" s="59">
        <f t="shared" si="59"/>
        <v>907.03670142511487</v>
      </c>
      <c r="AN79" s="59">
        <f ca="1">AVERAGE(OFFSET($AM$3,0,0,'Données projet'!$E$10+1,1))-AVERAGE(OFFSET($H$3,0,0,'Données projet'!$E$10+1,1))</f>
        <v>356.02637444732096</v>
      </c>
      <c r="AO79" s="59">
        <f t="shared" si="90"/>
        <v>263.30053404008095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45.57845762197163</v>
      </c>
      <c r="AV79" s="21">
        <f>EXP(-LN(2)/25)*AV78+(1-EXP(-LN(2)/25))/(LN(2)/25)*Calculateur!AQ79*Calculateur!AS79*VLOOKUP('Données projet'!$B$10,Paramètres!$A$1:$I$89,3,0)*0.475*44/12</f>
        <v>28.236656978554915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73.815114600526542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6.8674999999999997</v>
      </c>
      <c r="BD79" s="12">
        <f>IF('Données projet'!$A$88&gt;35,BD78+BC79-BL78,IF(A79&lt;'Données projet'!$A$88,$BA$205^A79,IF(A79='Données projet'!$A$88,'Données projet'!$B$88,BD78+BC79-BL78)))</f>
        <v>200.73750000000001</v>
      </c>
      <c r="BE79" s="13">
        <f>BD79*VLOOKUP('Données projet'!$B$11,Paramètres!$A$1:$I$89,3,0)*VLOOKUP('Données projet'!$B$11,Paramètres!$A$1:$I$89,5,0)</f>
        <v>203.54782500000002</v>
      </c>
      <c r="BF79" s="13">
        <f t="shared" si="91"/>
        <v>50.523072562709814</v>
      </c>
      <c r="BG79" s="20">
        <f t="shared" si="61"/>
        <v>442.50681325505298</v>
      </c>
      <c r="BH79" s="59">
        <f t="shared" si="62"/>
        <v>729.29433437121565</v>
      </c>
      <c r="BI79" s="59">
        <f ca="1">AVERAGE(OFFSET($BH$3,0,0,'Données projet'!$E$11+1,1))-AVERAGE(OFFSET($H$3,0,0,'Données projet'!$E$11+1,1))</f>
        <v>478.2340976873212</v>
      </c>
      <c r="BJ79" s="59">
        <f t="shared" si="92"/>
        <v>342.90128902463823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35.304317741446809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35.304317741446809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10.009999999999998</v>
      </c>
      <c r="BY79" s="12">
        <f>IF('Données projet'!$A$114&gt;35,BY78+BX79-CG78,IF(A79&lt;'Données projet'!$A$114,$BV$205^A79,IF(A79='Données projet'!$A$114,'Données projet'!$B$114,BY78+BX79-CG78)))</f>
        <v>302.78000000000014</v>
      </c>
      <c r="BZ79" s="13">
        <f>BY79*VLOOKUP('Données projet'!$B$12,Paramètres!$A$1:$I$89,3,0)*VLOOKUP('Données projet'!$B$12,Paramètres!$A$1:$I$89,5,0)</f>
        <v>273.95534400000014</v>
      </c>
      <c r="CA79" s="13">
        <f t="shared" si="93"/>
        <v>65.687981292757314</v>
      </c>
      <c r="CB79" s="20">
        <f t="shared" si="64"/>
        <v>591.54545821821921</v>
      </c>
      <c r="CC79" s="59">
        <f t="shared" si="65"/>
        <v>878.33297933438189</v>
      </c>
      <c r="CD79" s="59">
        <f ca="1">AVERAGE(OFFSET($CC$3,0,0,'Données projet'!$E$12+1,1))-AVERAGE(OFFSET($H$3,0,0,'Données projet'!$E$12+1,1))</f>
        <v>471.03166569378629</v>
      </c>
      <c r="CE79" s="59">
        <f t="shared" si="94"/>
        <v>259.15709238853287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35.003716915740398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35.003716915740398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15.115000000000002</v>
      </c>
      <c r="CT79" s="12">
        <f>IF('Données projet'!$A$140&gt;35,CT78+CS79-DB78,IF(A79&lt;'Données projet'!$A$140,$CQ$205^A79,IF(A79='Données projet'!$A$140,'Données projet'!$B$140,CT78+CS79-DB78)))</f>
        <v>450.56499999999994</v>
      </c>
      <c r="CU79" s="17">
        <f>CT79*VLOOKUP('Données projet'!$B$13,Paramètres!$A$1:$I$89,3,0)*VLOOKUP('Données projet'!$B$13,Paramètres!$A$1:$I$89,5,0)</f>
        <v>210.86441999999997</v>
      </c>
      <c r="CV79" s="13">
        <f t="shared" si="95"/>
        <v>52.12443803219238</v>
      </c>
      <c r="CW79" s="20">
        <f t="shared" si="67"/>
        <v>458.03892773940169</v>
      </c>
      <c r="CX79" s="59">
        <f t="shared" si="68"/>
        <v>744.82644885556442</v>
      </c>
      <c r="CY79" s="59">
        <f ca="1">AVERAGE(OFFSET($CX$3,0,0,'Données projet'!$E$13+1,1))-AVERAGE(OFFSET($H$3,0,0,'Données projet'!$E$13+1,1))</f>
        <v>364.67256251031029</v>
      </c>
      <c r="CZ79" s="59">
        <f t="shared" si="96"/>
        <v>347.4139588390766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72.940767821020515</v>
      </c>
      <c r="DG79" s="21">
        <f>EXP(-LN(2)/25)*DG78+(1-EXP(-LN(2)/25))/(LN(2)/25)*Calculateur!DB79*Calculateur!DD79*VLOOKUP('Données projet'!$B$13,Paramètres!$A$1:$I$89,3,0)*0.475*44/12</f>
        <v>38.486855860555607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111.42762368157612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68.214778486226194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1.35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4.95</v>
      </c>
      <c r="H80" s="67">
        <f t="shared" si="56"/>
        <v>236.86666666666665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51.998489924038495</v>
      </c>
      <c r="T80" s="59">
        <f t="shared" si="88"/>
        <v>206.32767973856241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13.724009349793363</v>
      </c>
      <c r="AA80" s="21">
        <f>EXP(-LN(2)/25)*AA79+(1-EXP(-LN(2)/25))/(LN(2)/25)*Calculateur!V80*Calculateur!X80*VLOOKUP('Données projet'!$B$9,Paramètres!$A$1:$I$89,3,0)*0.475*44/12</f>
        <v>2.4145630669101066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16.138572416703468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9.782</v>
      </c>
      <c r="AI80" s="13">
        <f>IF('Données projet'!$A$62&gt;35,AI79+AH80-AQ79,IF(A80&lt;'Données projet'!$A$62,$AF$205^A80,IF(A80='Données projet'!$A$62,'Données projet'!$B$62,AI79+AH80-AQ79)))</f>
        <v>490.654</v>
      </c>
      <c r="AJ80" s="13">
        <f>AI80*VLOOKUP('Données projet'!$B$10,Paramètres!$A$1:$I$89,3,0)*VLOOKUP('Données projet'!$B$10,Paramètres!$A$1:$I$89,5,0)</f>
        <v>293.411092</v>
      </c>
      <c r="AK80" s="13">
        <f t="shared" si="89"/>
        <v>69.79339504623151</v>
      </c>
      <c r="AL80" s="20">
        <f t="shared" si="58"/>
        <v>632.58114827218651</v>
      </c>
      <c r="AM80" s="59">
        <f t="shared" si="59"/>
        <v>919.48222459607337</v>
      </c>
      <c r="AN80" s="59">
        <f ca="1">AVERAGE(OFFSET($AM$3,0,0,'Données projet'!$E$10+1,1))-AVERAGE(OFFSET($H$3,0,0,'Données projet'!$E$10+1,1))</f>
        <v>356.02637444732096</v>
      </c>
      <c r="AO80" s="59">
        <f t="shared" si="90"/>
        <v>263.30053404008095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44.684691868118882</v>
      </c>
      <c r="AV80" s="21">
        <f>EXP(-LN(2)/25)*AV79+(1-EXP(-LN(2)/25))/(LN(2)/25)*Calculateur!AQ80*Calculateur!AS80*VLOOKUP('Données projet'!$B$10,Paramètres!$A$1:$I$89,3,0)*0.475*44/12</f>
        <v>27.464524108575077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72.149215976693966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6.8674999999999997</v>
      </c>
      <c r="BD80" s="12">
        <f>IF('Données projet'!$A$88&gt;35,BD79+BC80-BL79,IF(A80&lt;'Données projet'!$A$88,$BA$205^A80,IF(A80='Données projet'!$A$88,'Données projet'!$B$88,BD79+BC80-BL79)))</f>
        <v>207.60500000000002</v>
      </c>
      <c r="BE80" s="13">
        <f>BD80*VLOOKUP('Données projet'!$B$11,Paramètres!$A$1:$I$89,3,0)*VLOOKUP('Données projet'!$B$11,Paramètres!$A$1:$I$89,5,0)</f>
        <v>210.51147</v>
      </c>
      <c r="BF80" s="13">
        <f t="shared" si="91"/>
        <v>52.047338932746364</v>
      </c>
      <c r="BG80" s="20">
        <f t="shared" si="61"/>
        <v>457.28992555786658</v>
      </c>
      <c r="BH80" s="59">
        <f t="shared" si="62"/>
        <v>744.19100188175344</v>
      </c>
      <c r="BI80" s="59">
        <f ca="1">AVERAGE(OFFSET($BH$3,0,0,'Données projet'!$E$11+1,1))-AVERAGE(OFFSET($H$3,0,0,'Données projet'!$E$11+1,1))</f>
        <v>478.2340976873212</v>
      </c>
      <c r="BJ80" s="59">
        <f t="shared" si="92"/>
        <v>342.90128902463823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34.6120216040446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34.6120216040446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10.009999999999998</v>
      </c>
      <c r="BY80" s="12">
        <f>IF('Données projet'!$A$114&gt;35,BY79+BX80-CG79,IF(A80&lt;'Données projet'!$A$114,$BV$205^A80,IF(A80='Données projet'!$A$114,'Données projet'!$B$114,BY79+BX80-CG79)))</f>
        <v>312.79000000000013</v>
      </c>
      <c r="BZ80" s="13">
        <f>BY80*VLOOKUP('Données projet'!$B$12,Paramètres!$A$1:$I$89,3,0)*VLOOKUP('Données projet'!$B$12,Paramètres!$A$1:$I$89,5,0)</f>
        <v>283.01239200000009</v>
      </c>
      <c r="CA80" s="13">
        <f t="shared" si="93"/>
        <v>67.603216885128148</v>
      </c>
      <c r="CB80" s="20">
        <f t="shared" si="64"/>
        <v>610.65551880826501</v>
      </c>
      <c r="CC80" s="59">
        <f t="shared" si="65"/>
        <v>897.55659513215187</v>
      </c>
      <c r="CD80" s="59">
        <f ca="1">AVERAGE(OFFSET($CC$3,0,0,'Données projet'!$E$12+1,1))-AVERAGE(OFFSET($H$3,0,0,'Données projet'!$E$12+1,1))</f>
        <v>471.03166569378629</v>
      </c>
      <c r="CE80" s="59">
        <f t="shared" si="94"/>
        <v>259.15709238853287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34.317315377181892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34.317315377181892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15.115000000000002</v>
      </c>
      <c r="CT80" s="12">
        <f>IF('Données projet'!$A$140&gt;35,CT79+CS80-DB79,IF(A80&lt;'Données projet'!$A$140,$CQ$205^A80,IF(A80='Données projet'!$A$140,'Données projet'!$B$140,CT79+CS80-DB79)))</f>
        <v>465.67999999999995</v>
      </c>
      <c r="CU80" s="17">
        <f>CT80*VLOOKUP('Données projet'!$B$13,Paramètres!$A$1:$I$89,3,0)*VLOOKUP('Données projet'!$B$13,Paramètres!$A$1:$I$89,5,0)</f>
        <v>217.93823999999998</v>
      </c>
      <c r="CV80" s="13">
        <f t="shared" si="95"/>
        <v>53.666527100584652</v>
      </c>
      <c r="CW80" s="20">
        <f t="shared" si="67"/>
        <v>473.0449693668516</v>
      </c>
      <c r="CX80" s="59">
        <f t="shared" si="68"/>
        <v>759.94604569073852</v>
      </c>
      <c r="CY80" s="59">
        <f ca="1">AVERAGE(OFFSET($CX$3,0,0,'Données projet'!$E$13+1,1))-AVERAGE(OFFSET($H$3,0,0,'Données projet'!$E$13+1,1))</f>
        <v>364.67256251031029</v>
      </c>
      <c r="CZ80" s="59">
        <f t="shared" si="96"/>
        <v>347.4139588390766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71.5104438535257</v>
      </c>
      <c r="DG80" s="21">
        <f>EXP(-LN(2)/25)*DG79+(1-EXP(-LN(2)/25))/(LN(2)/25)*Calculateur!DB80*Calculateur!DD80*VLOOKUP('Données projet'!$B$13,Paramètres!$A$1:$I$89,3,0)*0.475*44/12</f>
        <v>37.434430763112928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108.94487461663863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68.245748088332789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1.35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4.95</v>
      </c>
      <c r="H81" s="67">
        <f t="shared" si="56"/>
        <v>236.86666666666665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51.998489924038495</v>
      </c>
      <c r="T81" s="59">
        <f t="shared" si="88"/>
        <v>206.32767973856241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13.454889897263069</v>
      </c>
      <c r="AA81" s="21">
        <f>EXP(-LN(2)/25)*AA80+(1-EXP(-LN(2)/25))/(LN(2)/25)*Calculateur!V81*Calculateur!X81*VLOOKUP('Données projet'!$B$9,Paramètres!$A$1:$I$89,3,0)*0.475*44/12</f>
        <v>2.3485367128690964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15.803426610132165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9.782</v>
      </c>
      <c r="AI81" s="13">
        <f>IF('Données projet'!$A$62&gt;35,AI80+AH81-AQ80,IF(A81&lt;'Données projet'!$A$62,$AF$205^A81,IF(A81='Données projet'!$A$62,'Données projet'!$B$62,AI80+AH81-AQ80)))</f>
        <v>500.43599999999998</v>
      </c>
      <c r="AJ81" s="13">
        <f>AI81*VLOOKUP('Données projet'!$B$10,Paramètres!$A$1:$I$89,3,0)*VLOOKUP('Données projet'!$B$10,Paramètres!$A$1:$I$89,5,0)</f>
        <v>299.26072800000003</v>
      </c>
      <c r="AK81" s="13">
        <f t="shared" si="89"/>
        <v>71.021461421315166</v>
      </c>
      <c r="AL81" s="20">
        <f t="shared" si="58"/>
        <v>644.90814657545729</v>
      </c>
      <c r="AM81" s="59">
        <f t="shared" si="59"/>
        <v>931.92080817808574</v>
      </c>
      <c r="AN81" s="59">
        <f ca="1">AVERAGE(OFFSET($AM$3,0,0,'Données projet'!$E$10+1,1))-AVERAGE(OFFSET($H$3,0,0,'Données projet'!$E$10+1,1))</f>
        <v>356.02637444732096</v>
      </c>
      <c r="AO81" s="59">
        <f t="shared" si="90"/>
        <v>263.30053404008095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43.808452315555904</v>
      </c>
      <c r="AV81" s="21">
        <f>EXP(-LN(2)/25)*AV80+(1-EXP(-LN(2)/25))/(LN(2)/25)*Calculateur!AQ81*Calculateur!AS81*VLOOKUP('Données projet'!$B$10,Paramètres!$A$1:$I$89,3,0)*0.475*44/12</f>
        <v>26.71350525252954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70.52195756808544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6.8674999999999997</v>
      </c>
      <c r="BD81" s="12">
        <f>IF('Données projet'!$A$88&gt;35,BD80+BC81-BL80,IF(A81&lt;'Données projet'!$A$88,$BA$205^A81,IF(A81='Données projet'!$A$88,'Données projet'!$B$88,BD80+BC81-BL80)))</f>
        <v>214.47250000000003</v>
      </c>
      <c r="BE81" s="13">
        <f>BD81*VLOOKUP('Données projet'!$B$11,Paramètres!$A$1:$I$89,3,0)*VLOOKUP('Données projet'!$B$11,Paramètres!$A$1:$I$89,5,0)</f>
        <v>217.47511500000002</v>
      </c>
      <c r="BF81" s="13">
        <f t="shared" si="91"/>
        <v>53.565746315698377</v>
      </c>
      <c r="BG81" s="20">
        <f t="shared" si="61"/>
        <v>472.06283345817474</v>
      </c>
      <c r="BH81" s="59">
        <f t="shared" si="62"/>
        <v>759.07549506080318</v>
      </c>
      <c r="BI81" s="59">
        <f ca="1">AVERAGE(OFFSET($BH$3,0,0,'Données projet'!$E$11+1,1))-AVERAGE(OFFSET($H$3,0,0,'Données projet'!$E$11+1,1))</f>
        <v>478.2340976873212</v>
      </c>
      <c r="BJ81" s="59">
        <f t="shared" si="92"/>
        <v>342.90128902463823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33.933300971637898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33.933300971637898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10.009999999999998</v>
      </c>
      <c r="BY81" s="12">
        <f>IF('Données projet'!$A$114&gt;35,BY80+BX81-CG80,IF(A81&lt;'Données projet'!$A$114,$BV$205^A81,IF(A81='Données projet'!$A$114,'Données projet'!$B$114,BY80+BX81-CG80)))</f>
        <v>322.80000000000013</v>
      </c>
      <c r="BZ81" s="13">
        <f>BY81*VLOOKUP('Données projet'!$B$12,Paramètres!$A$1:$I$89,3,0)*VLOOKUP('Données projet'!$B$12,Paramètres!$A$1:$I$89,5,0)</f>
        <v>292.0694400000001</v>
      </c>
      <c r="CA81" s="13">
        <f t="shared" si="93"/>
        <v>69.5113300819378</v>
      </c>
      <c r="CB81" s="20">
        <f t="shared" si="64"/>
        <v>629.75317455937511</v>
      </c>
      <c r="CC81" s="59">
        <f t="shared" si="65"/>
        <v>916.76583616200355</v>
      </c>
      <c r="CD81" s="59">
        <f ca="1">AVERAGE(OFFSET($CC$3,0,0,'Données projet'!$E$12+1,1))-AVERAGE(OFFSET($H$3,0,0,'Données projet'!$E$12+1,1))</f>
        <v>471.03166569378629</v>
      </c>
      <c r="CE81" s="59">
        <f t="shared" si="94"/>
        <v>259.15709238853287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33.644373754130925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33.644373754130925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15.115000000000002</v>
      </c>
      <c r="CT81" s="12">
        <f>IF('Données projet'!$A$140&gt;35,CT80+CS81-DB80,IF(A81&lt;'Données projet'!$A$140,$CQ$205^A81,IF(A81='Données projet'!$A$140,'Données projet'!$B$140,CT80+CS81-DB80)))</f>
        <v>480.79499999999996</v>
      </c>
      <c r="CU81" s="17">
        <f>CT81*VLOOKUP('Données projet'!$B$13,Paramètres!$A$1:$I$89,3,0)*VLOOKUP('Données projet'!$B$13,Paramètres!$A$1:$I$89,5,0)</f>
        <v>225.01205999999999</v>
      </c>
      <c r="CV81" s="13">
        <f t="shared" si="95"/>
        <v>55.202799914121982</v>
      </c>
      <c r="CW81" s="20">
        <f t="shared" si="67"/>
        <v>488.04088101709573</v>
      </c>
      <c r="CX81" s="59">
        <f t="shared" si="68"/>
        <v>775.05354261972411</v>
      </c>
      <c r="CY81" s="59">
        <f ca="1">AVERAGE(OFFSET($CX$3,0,0,'Données projet'!$E$13+1,1))-AVERAGE(OFFSET($H$3,0,0,'Données projet'!$E$13+1,1))</f>
        <v>364.67256251031029</v>
      </c>
      <c r="CZ81" s="59">
        <f t="shared" si="96"/>
        <v>347.4139588390766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70.108167666621981</v>
      </c>
      <c r="DG81" s="21">
        <f>EXP(-LN(2)/25)*DG80+(1-EXP(-LN(2)/25))/(LN(2)/25)*Calculateur!DB81*Calculateur!DD81*VLOOKUP('Données projet'!$B$13,Paramètres!$A$1:$I$89,3,0)*0.475*44/12</f>
        <v>36.410784285304452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106.51895195192643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68.276180437080484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1.35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4.95</v>
      </c>
      <c r="H82" s="67">
        <f t="shared" si="56"/>
        <v>236.86666666666665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51.998489924038495</v>
      </c>
      <c r="T82" s="59">
        <f t="shared" si="88"/>
        <v>206.32767973856241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13.191047713050235</v>
      </c>
      <c r="AA82" s="21">
        <f>EXP(-LN(2)/25)*AA81+(1-EXP(-LN(2)/25))/(LN(2)/25)*Calculateur!V82*Calculateur!X82*VLOOKUP('Données projet'!$B$9,Paramètres!$A$1:$I$89,3,0)*0.475*44/12</f>
        <v>2.2843158529515128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15.475363566001748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9.782</v>
      </c>
      <c r="AI82" s="13">
        <f>IF('Données projet'!$A$62&gt;35,AI81+AH82-AQ81,IF(A82&lt;'Données projet'!$A$62,$AF$205^A82,IF(A82='Données projet'!$A$62,'Données projet'!$B$62,AI81+AH82-AQ81)))</f>
        <v>510.21799999999996</v>
      </c>
      <c r="AJ82" s="13">
        <f>AI82*VLOOKUP('Données projet'!$B$10,Paramètres!$A$1:$I$89,3,0)*VLOOKUP('Données projet'!$B$10,Paramètres!$A$1:$I$89,5,0)</f>
        <v>305.110364</v>
      </c>
      <c r="AK82" s="13">
        <f t="shared" si="89"/>
        <v>72.246736607705117</v>
      </c>
      <c r="AL82" s="20">
        <f t="shared" si="58"/>
        <v>657.23028355841973</v>
      </c>
      <c r="AM82" s="59">
        <f t="shared" si="59"/>
        <v>944.35259468467075</v>
      </c>
      <c r="AN82" s="59">
        <f ca="1">AVERAGE(OFFSET($AM$3,0,0,'Données projet'!$E$10+1,1))-AVERAGE(OFFSET($H$3,0,0,'Données projet'!$E$10+1,1))</f>
        <v>356.02637444732096</v>
      </c>
      <c r="AO82" s="59">
        <f t="shared" si="90"/>
        <v>263.30053404008095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42.949395286165334</v>
      </c>
      <c r="AV82" s="21">
        <f>EXP(-LN(2)/25)*AV81+(1-EXP(-LN(2)/25))/(LN(2)/25)*Calculateur!AQ82*Calculateur!AS82*VLOOKUP('Données projet'!$B$10,Paramètres!$A$1:$I$89,3,0)*0.475*44/12</f>
        <v>25.983023046596934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68.932418332762268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221.34</v>
      </c>
      <c r="BB82" s="12">
        <f>VLOOKUP(A82,'Données projet'!$A$87:$I$107,9,0)</f>
        <v>6.8674999999999997</v>
      </c>
      <c r="BC82" s="12">
        <f t="array" ref="BC82">INDEX(BB:BB,MIN(IF(ISNUMBER(BB82:BB278),ROW(BB82:BB278),"")))</f>
        <v>6.8674999999999997</v>
      </c>
      <c r="BD82" s="12">
        <f>IF('Données projet'!$A$88&gt;35,BD81+BC82-BL81,IF(A82&lt;'Données projet'!$A$88,$BA$205^A82,IF(A82='Données projet'!$A$88,'Données projet'!$B$88,BD81+BC82-BL81)))</f>
        <v>221.34000000000003</v>
      </c>
      <c r="BE82" s="13">
        <f>BD82*VLOOKUP('Données projet'!$B$11,Paramètres!$A$1:$I$89,3,0)*VLOOKUP('Données projet'!$B$11,Paramètres!$A$1:$I$89,5,0)</f>
        <v>224.43876000000006</v>
      </c>
      <c r="BF82" s="13">
        <f t="shared" si="91"/>
        <v>55.078503838994571</v>
      </c>
      <c r="BG82" s="20">
        <f t="shared" si="61"/>
        <v>486.82590118624893</v>
      </c>
      <c r="BH82" s="59">
        <f t="shared" si="62"/>
        <v>773.9482123125</v>
      </c>
      <c r="BI82" s="59">
        <f ca="1">AVERAGE(OFFSET($BH$3,0,0,'Données projet'!$E$11+1,1))-AVERAGE(OFFSET($H$3,0,0,'Données projet'!$E$11+1,1))</f>
        <v>478.2340976873212</v>
      </c>
      <c r="BJ82" s="59">
        <f t="shared" si="92"/>
        <v>342.90128902463823</v>
      </c>
      <c r="BK82" s="15">
        <f>IF(ISNA(VLOOKUP(A82,'Données projet'!$A$87:$I$107,3,0)),0,VLOOKUP(A82,'Données projet'!$A$87:$I$107,3,0))</f>
        <v>6</v>
      </c>
      <c r="BL82" s="15">
        <f>IF(ISNA(VLOOKUP(A82,'Données projet'!$A$87:$I$107,4,0)),0,VLOOKUP(A82,'Données projet'!$A$87:$I$107,4,0))</f>
        <v>39.520000000000003</v>
      </c>
      <c r="BM82" s="16">
        <f>IF(ISNA(VLOOKUP(A82,'Données projet'!$A$87:$I$107,5,0)),0%,VLOOKUP(A82,'Données projet'!$A$87:$I$107,5,0)*VLOOKUP('Données projet'!$B$11,Paramètres!$A$1:$I$89,7,0))</f>
        <v>0.25800000000000001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44.697244241942379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44.697244241942379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10.009999999999998</v>
      </c>
      <c r="BY82" s="12">
        <f>IF('Données projet'!$A$114&gt;35,BY81+BX82-CG81,IF(A82&lt;'Données projet'!$A$114,$BV$205^A82,IF(A82='Données projet'!$A$114,'Données projet'!$B$114,BY81+BX82-CG81)))</f>
        <v>332.81000000000012</v>
      </c>
      <c r="BZ82" s="13">
        <f>BY82*VLOOKUP('Données projet'!$B$12,Paramètres!$A$1:$I$89,3,0)*VLOOKUP('Données projet'!$B$12,Paramètres!$A$1:$I$89,5,0)</f>
        <v>301.12648800000011</v>
      </c>
      <c r="CA82" s="13">
        <f t="shared" si="93"/>
        <v>71.412567092308777</v>
      </c>
      <c r="CB82" s="20">
        <f t="shared" si="64"/>
        <v>648.83885428577139</v>
      </c>
      <c r="CC82" s="59">
        <f t="shared" si="65"/>
        <v>935.96116541202241</v>
      </c>
      <c r="CD82" s="59">
        <f ca="1">AVERAGE(OFFSET($CC$3,0,0,'Données projet'!$E$12+1,1))-AVERAGE(OFFSET($H$3,0,0,'Données projet'!$E$12+1,1))</f>
        <v>471.03166569378629</v>
      </c>
      <c r="CE82" s="59">
        <f t="shared" si="94"/>
        <v>259.15709238853287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32.984628105854121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32.984628105854121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>
        <f>VLOOKUP(A82,'Données projet'!$A$139:$I$159,2,0)</f>
        <v>495.91</v>
      </c>
      <c r="CR82" s="12">
        <f>VLOOKUP(A82,'Données projet'!$A$139:$I$159,9,0)</f>
        <v>15.115000000000002</v>
      </c>
      <c r="CS82" s="12">
        <f t="array" ref="CS82">INDEX(CR:CR,MIN(IF(ISNUMBER(CR82:CR278),ROW(CR82:CR278),"")))</f>
        <v>15.115000000000002</v>
      </c>
      <c r="CT82" s="12">
        <f>IF('Données projet'!$A$140&gt;35,CT81+CS82-DB81,IF(A82&lt;'Données projet'!$A$140,$CQ$205^A82,IF(A82='Données projet'!$A$140,'Données projet'!$B$140,CT81+CS82-DB81)))</f>
        <v>495.90999999999997</v>
      </c>
      <c r="CU82" s="17">
        <f>CT82*VLOOKUP('Données projet'!$B$13,Paramètres!$A$1:$I$89,3,0)*VLOOKUP('Données projet'!$B$13,Paramètres!$A$1:$I$89,5,0)</f>
        <v>232.08587999999997</v>
      </c>
      <c r="CV82" s="13">
        <f t="shared" si="95"/>
        <v>56.733460300074178</v>
      </c>
      <c r="CW82" s="20">
        <f t="shared" si="67"/>
        <v>503.02701768929575</v>
      </c>
      <c r="CX82" s="59">
        <f t="shared" si="68"/>
        <v>790.14932881554682</v>
      </c>
      <c r="CY82" s="59">
        <f ca="1">AVERAGE(OFFSET($CX$3,0,0,'Données projet'!$E$13+1,1))-AVERAGE(OFFSET($H$3,0,0,'Données projet'!$E$13+1,1))</f>
        <v>364.67256251031029</v>
      </c>
      <c r="CZ82" s="59">
        <f t="shared" si="96"/>
        <v>347.4139588390766</v>
      </c>
      <c r="DA82" s="15">
        <f>IF(ISNA(VLOOKUP(A82,'Données projet'!$A$139:$I$159,3,0)),0,VLOOKUP(A82,'Données projet'!$A$139:$I$159,3,0))</f>
        <v>6</v>
      </c>
      <c r="DB82" s="15">
        <f>IF(ISNA(VLOOKUP(A82,'Données projet'!$A$139:$I$159,4,0)),0,VLOOKUP(A82,'Données projet'!$A$139:$I$159,4,0))</f>
        <v>87.99</v>
      </c>
      <c r="DC82" s="16">
        <f>IF(ISNA(VLOOKUP(A82,'Données projet'!$A$139:$I$159,5,0)),0%,VLOOKUP(A82,'Données projet'!$A$139:$I$159,5,0)*VLOOKUP('Données projet'!$B$13,Paramètres!$A$1:$I$89,7,0))</f>
        <v>0.38500000000000001</v>
      </c>
      <c r="DD82" s="16">
        <f>IF(ISNA(VLOOKUP(A82,'Données projet'!$A$139:$I$159,6,0)),0%,VLOOKUP(A82,'Données projet'!$A$139:$I$159,6,0)*VLOOKUP('Données projet'!$B$13,Paramètres!$A$1:$I$89,7,0))</f>
        <v>0.16500000000000001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89.764792811740094</v>
      </c>
      <c r="DG82" s="21">
        <f>EXP(-LN(2)/25)*DG81+(1-EXP(-LN(2)/25))/(LN(2)/25)*Calculateur!DB82*Calculateur!DD82*VLOOKUP('Données projet'!$B$13,Paramètres!$A$1:$I$89,3,0)*0.475*44/12</f>
        <v>44.393098717945527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134.15789152968563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68.306084852613935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1.35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4.95</v>
      </c>
      <c r="H83" s="67">
        <f t="shared" si="56"/>
        <v>236.86666666666665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51.998489924038495</v>
      </c>
      <c r="T83" s="59">
        <f t="shared" si="88"/>
        <v>206.32767973856241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12.932379313141974</v>
      </c>
      <c r="AA83" s="21">
        <f>EXP(-LN(2)/25)*AA82+(1-EXP(-LN(2)/25))/(LN(2)/25)*Calculateur!V83*Calculateur!X83*VLOOKUP('Données projet'!$B$9,Paramètres!$A$1:$I$89,3,0)*0.475*44/12</f>
        <v>2.2218511158256038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15.154230428967578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</v>
      </c>
      <c r="AG83" s="12">
        <f>VLOOKUP(A83,'Données projet'!$A$61:$I$81,9,0)</f>
        <v>9.782</v>
      </c>
      <c r="AH83" s="12">
        <f t="array" ref="AH83">INDEX(AG:AG,MIN(IF(ISNUMBER(AG83:AG279),ROW(AG83:AG279),"")))</f>
        <v>9.782</v>
      </c>
      <c r="AI83" s="13">
        <f>IF('Données projet'!$A$62&gt;35,AI82+AH83-AQ82,IF(A83&lt;'Données projet'!$A$62,$AF$205^A83,IF(A83='Données projet'!$A$62,'Données projet'!$B$62,AI82+AH83-AQ82)))</f>
        <v>520</v>
      </c>
      <c r="AJ83" s="13">
        <f>AI83*VLOOKUP('Données projet'!$B$10,Paramètres!$A$1:$I$89,3,0)*VLOOKUP('Données projet'!$B$10,Paramètres!$A$1:$I$89,5,0)</f>
        <v>310.96000000000004</v>
      </c>
      <c r="AK83" s="13">
        <f t="shared" si="89"/>
        <v>73.469280288324128</v>
      </c>
      <c r="AL83" s="20">
        <f t="shared" si="58"/>
        <v>669.54766316883126</v>
      </c>
      <c r="AM83" s="59">
        <f t="shared" si="59"/>
        <v>956.77772164460976</v>
      </c>
      <c r="AN83" s="59">
        <f ca="1">AVERAGE(OFFSET($AM$3,0,0,'Données projet'!$E$10+1,1))-AVERAGE(OFFSET($H$3,0,0,'Données projet'!$E$10+1,1))</f>
        <v>356.02637444732096</v>
      </c>
      <c r="AO83" s="59">
        <f t="shared" si="90"/>
        <v>263.30053404008095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172.04735600614413</v>
      </c>
      <c r="AV83" s="21">
        <f>EXP(-LN(2)/25)*AV82+(1-EXP(-LN(2)/25))/(LN(2)/25)*Calculateur!AQ83*Calculateur!AS83*VLOOKUP('Données projet'!$B$10,Paramètres!$A$1:$I$89,3,0)*0.475*44/12</f>
        <v>80.741893713326476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252.7892497194706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6.6044444444444439</v>
      </c>
      <c r="BD83" s="12">
        <f>IF('Données projet'!$A$88&gt;35,BD82+BC83-BL82,IF(A83&lt;'Données projet'!$A$88,$BA$205^A83,IF(A83='Données projet'!$A$88,'Données projet'!$B$88,BD82+BC83-BL82)))</f>
        <v>188.42444444444448</v>
      </c>
      <c r="BE83" s="13">
        <f>BD83*VLOOKUP('Données projet'!$B$11,Paramètres!$A$1:$I$89,3,0)*VLOOKUP('Données projet'!$B$11,Paramètres!$A$1:$I$89,5,0)</f>
        <v>191.06238666666673</v>
      </c>
      <c r="BF83" s="13">
        <f t="shared" si="91"/>
        <v>47.774755182250658</v>
      </c>
      <c r="BG83" s="20">
        <f t="shared" si="61"/>
        <v>415.97468872019778</v>
      </c>
      <c r="BH83" s="59">
        <f t="shared" si="62"/>
        <v>703.20474719597632</v>
      </c>
      <c r="BI83" s="59">
        <f ca="1">AVERAGE(OFFSET($BH$3,0,0,'Données projet'!$E$11+1,1))-AVERAGE(OFFSET($H$3,0,0,'Données projet'!$E$11+1,1))</f>
        <v>478.2340976873212</v>
      </c>
      <c r="BJ83" s="59">
        <f t="shared" si="92"/>
        <v>342.90128902463823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43.820758544984912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43.820758544984912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342.82</v>
      </c>
      <c r="BW83" s="12">
        <f>VLOOKUP(A83,'Données projet'!$A$113:$I$133,9,0)</f>
        <v>10.009999999999998</v>
      </c>
      <c r="BX83" s="12">
        <f t="array" ref="BX83">INDEX(BW:BW,MIN(IF(ISNUMBER(BW83:BW279),ROW(BW83:BW279),"")))</f>
        <v>10.009999999999998</v>
      </c>
      <c r="BY83" s="12">
        <f>IF('Données projet'!$A$114&gt;35,BY82+BX83-CG82,IF(A83&lt;'Données projet'!$A$114,$BV$205^A83,IF(A83='Données projet'!$A$114,'Données projet'!$B$114,BY82+BX83-CG82)))</f>
        <v>342.82000000000011</v>
      </c>
      <c r="BZ83" s="13">
        <f>BY83*VLOOKUP('Données projet'!$B$12,Paramètres!$A$1:$I$89,3,0)*VLOOKUP('Données projet'!$B$12,Paramètres!$A$1:$I$89,5,0)</f>
        <v>310.18353600000012</v>
      </c>
      <c r="CA83" s="13">
        <f t="shared" si="93"/>
        <v>73.30715847306638</v>
      </c>
      <c r="CB83" s="20">
        <f t="shared" si="64"/>
        <v>667.9129595405908</v>
      </c>
      <c r="CC83" s="59">
        <f t="shared" si="65"/>
        <v>955.1430180163693</v>
      </c>
      <c r="CD83" s="59">
        <f ca="1">AVERAGE(OFFSET($CC$3,0,0,'Données projet'!$E$12+1,1))-AVERAGE(OFFSET($H$3,0,0,'Données projet'!$E$12+1,1))</f>
        <v>471.03166569378629</v>
      </c>
      <c r="CE83" s="59">
        <f t="shared" si="94"/>
        <v>259.15709238853287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59.22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47.62008766148525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47.62008766148525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14.212499999999999</v>
      </c>
      <c r="CT83" s="12">
        <f>IF('Données projet'!$A$140&gt;35,CT82+CS83-DB82,IF(A83&lt;'Données projet'!$A$140,$CQ$205^A83,IF(A83='Données projet'!$A$140,'Données projet'!$B$140,CT82+CS83-DB82)))</f>
        <v>422.13249999999994</v>
      </c>
      <c r="CU83" s="17">
        <f>CT83*VLOOKUP('Données projet'!$B$13,Paramètres!$A$1:$I$89,3,0)*VLOOKUP('Données projet'!$B$13,Paramètres!$A$1:$I$89,5,0)</f>
        <v>197.55800999999997</v>
      </c>
      <c r="CV83" s="13">
        <f t="shared" si="95"/>
        <v>49.207109119088621</v>
      </c>
      <c r="CW83" s="20">
        <f t="shared" si="67"/>
        <v>429.78258246574592</v>
      </c>
      <c r="CX83" s="59">
        <f t="shared" si="68"/>
        <v>717.01264094152452</v>
      </c>
      <c r="CY83" s="59">
        <f ca="1">AVERAGE(OFFSET($CX$3,0,0,'Données projet'!$E$13+1,1))-AVERAGE(OFFSET($H$3,0,0,'Données projet'!$E$13+1,1))</f>
        <v>364.67256251031029</v>
      </c>
      <c r="CZ83" s="59">
        <f t="shared" si="96"/>
        <v>347.4139588390766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88.004559975819262</v>
      </c>
      <c r="DG83" s="21">
        <f>EXP(-LN(2)/25)*DG82+(1-EXP(-LN(2)/25))/(LN(2)/25)*Calculateur!DB83*Calculateur!DD83*VLOOKUP('Données projet'!$B$13,Paramètres!$A$1:$I$89,3,0)*0.475*44/12</f>
        <v>43.17916709897171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131.18372707479097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68.335470493394155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1.35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4.95</v>
      </c>
      <c r="H84" s="67">
        <f t="shared" si="56"/>
        <v>236.86666666666665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51.998489924038495</v>
      </c>
      <c r="T84" s="59">
        <f t="shared" si="88"/>
        <v>206.32767973856241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12.678783242783767</v>
      </c>
      <c r="AA84" s="21">
        <f>EXP(-LN(2)/25)*AA83+(1-EXP(-LN(2)/25))/(LN(2)/25)*Calculateur!V84*Calculateur!X84*VLOOKUP('Données projet'!$B$9,Paramètres!$A$1:$I$89,3,0)*0.475*44/12</f>
        <v>2.1610944802212804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14.839877723005047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356.02637444732096</v>
      </c>
      <c r="AO84" s="59">
        <f t="shared" si="90"/>
        <v>263.30053404008095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168.673612293389</v>
      </c>
      <c r="AV84" s="21">
        <f>EXP(-LN(2)/25)*AV83+(1-EXP(-LN(2)/25))/(LN(2)/25)*Calculateur!AQ84*Calculateur!AS84*VLOOKUP('Données projet'!$B$10,Paramètres!$A$1:$I$89,3,0)*0.475*44/12</f>
        <v>78.534002383703907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247.20761467709292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6.6044444444444439</v>
      </c>
      <c r="BD84" s="12">
        <f>IF('Données projet'!$A$88&gt;35,BD83+BC84-BL83,IF(A84&lt;'Données projet'!$A$88,$BA$205^A84,IF(A84='Données projet'!$A$88,'Données projet'!$B$88,BD83+BC84-BL83)))</f>
        <v>195.02888888888893</v>
      </c>
      <c r="BE84" s="13">
        <f>BD84*VLOOKUP('Données projet'!$B$11,Paramètres!$A$1:$I$89,3,0)*VLOOKUP('Données projet'!$B$11,Paramètres!$A$1:$I$89,5,0)</f>
        <v>197.7592933333334</v>
      </c>
      <c r="BF84" s="13">
        <f t="shared" si="91"/>
        <v>49.251405779766593</v>
      </c>
      <c r="BG84" s="20">
        <f t="shared" si="61"/>
        <v>430.21030095531586</v>
      </c>
      <c r="BH84" s="59">
        <f t="shared" si="62"/>
        <v>717.54623760499453</v>
      </c>
      <c r="BI84" s="59">
        <f ca="1">AVERAGE(OFFSET($BH$3,0,0,'Données projet'!$E$11+1,1))-AVERAGE(OFFSET($H$3,0,0,'Données projet'!$E$11+1,1))</f>
        <v>478.2340976873212</v>
      </c>
      <c r="BJ84" s="59">
        <f t="shared" si="92"/>
        <v>342.90128902463823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42.9614601979413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42.9614601979413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9.5977777777777771</v>
      </c>
      <c r="BY84" s="12">
        <f>IF('Données projet'!$A$114&gt;35,BY83+BX84-CG83,IF(A84&lt;'Données projet'!$A$114,$BV$205^A84,IF(A84='Données projet'!$A$114,'Données projet'!$B$114,BY83+BX84-CG83)))</f>
        <v>293.1977777777779</v>
      </c>
      <c r="BZ84" s="13">
        <f>BY84*VLOOKUP('Données projet'!$B$12,Paramètres!$A$1:$I$89,3,0)*VLOOKUP('Données projet'!$B$12,Paramètres!$A$1:$I$89,5,0)</f>
        <v>265.28534933333344</v>
      </c>
      <c r="CA84" s="13">
        <f t="shared" si="93"/>
        <v>63.847677911073816</v>
      </c>
      <c r="CB84" s="20">
        <f t="shared" si="64"/>
        <v>573.24002245067584</v>
      </c>
      <c r="CC84" s="59">
        <f t="shared" si="65"/>
        <v>860.57595910035457</v>
      </c>
      <c r="CD84" s="59">
        <f ca="1">AVERAGE(OFFSET($CC$3,0,0,'Données projet'!$E$12+1,1))-AVERAGE(OFFSET($H$3,0,0,'Données projet'!$E$12+1,1))</f>
        <v>471.03166569378629</v>
      </c>
      <c r="CE84" s="59">
        <f t="shared" si="94"/>
        <v>259.15709238853287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46.686286787829005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46.686286787829005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14.212499999999999</v>
      </c>
      <c r="CT84" s="12">
        <f>IF('Données projet'!$A$140&gt;35,CT83+CS84-DB83,IF(A84&lt;'Données projet'!$A$140,$CQ$205^A84,IF(A84='Données projet'!$A$140,'Données projet'!$B$140,CT83+CS84-DB83)))</f>
        <v>436.34499999999991</v>
      </c>
      <c r="CU84" s="17">
        <f>CT84*VLOOKUP('Données projet'!$B$13,Paramètres!$A$1:$I$89,3,0)*VLOOKUP('Données projet'!$B$13,Paramètres!$A$1:$I$89,5,0)</f>
        <v>204.20945999999995</v>
      </c>
      <c r="CV84" s="13">
        <f t="shared" si="95"/>
        <v>50.668155185492893</v>
      </c>
      <c r="CW84" s="20">
        <f t="shared" si="67"/>
        <v>443.91184644806668</v>
      </c>
      <c r="CX84" s="59">
        <f t="shared" si="68"/>
        <v>731.24778309774547</v>
      </c>
      <c r="CY84" s="59">
        <f ca="1">AVERAGE(OFFSET($CX$3,0,0,'Données projet'!$E$13+1,1))-AVERAGE(OFFSET($H$3,0,0,'Données projet'!$E$13+1,1))</f>
        <v>364.67256251031029</v>
      </c>
      <c r="CZ84" s="59">
        <f t="shared" si="96"/>
        <v>347.4139588390766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86.278844232174819</v>
      </c>
      <c r="DG84" s="21">
        <f>EXP(-LN(2)/25)*DG83+(1-EXP(-LN(2)/25))/(LN(2)/25)*Calculateur!DB84*Calculateur!DD84*VLOOKUP('Données projet'!$B$13,Paramètres!$A$1:$I$89,3,0)*0.475*44/12</f>
        <v>41.998430503956619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128.27727473613143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68.364346359003292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1.35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4.95</v>
      </c>
      <c r="H85" s="67">
        <f t="shared" si="56"/>
        <v>236.86666666666665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51.998489924038495</v>
      </c>
      <c r="T85" s="59">
        <f t="shared" si="88"/>
        <v>206.32767973856241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12.430160036686956</v>
      </c>
      <c r="AA85" s="21">
        <f>EXP(-LN(2)/25)*AA84+(1-EXP(-LN(2)/25))/(LN(2)/25)*Calculateur!V85*Calculateur!X85*VLOOKUP('Données projet'!$B$9,Paramètres!$A$1:$I$89,3,0)*0.475*44/12</f>
        <v>2.1019992380126098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14.532159274699566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356.02637444732096</v>
      </c>
      <c r="AO85" s="59">
        <f t="shared" si="90"/>
        <v>263.30053404008095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165.36602563706052</v>
      </c>
      <c r="AV85" s="21">
        <f>EXP(-LN(2)/25)*AV84+(1-EXP(-LN(2)/25))/(LN(2)/25)*Calculateur!AQ85*Calculateur!AS85*VLOOKUP('Données projet'!$B$10,Paramètres!$A$1:$I$89,3,0)*0.475*44/12</f>
        <v>76.386485958597831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241.75251159565835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6.6044444444444439</v>
      </c>
      <c r="BD85" s="12">
        <f>IF('Données projet'!$A$88&gt;35,BD84+BC85-BL84,IF(A85&lt;'Données projet'!$A$88,$BA$205^A85,IF(A85='Données projet'!$A$88,'Données projet'!$B$88,BD84+BC85-BL84)))</f>
        <v>201.63333333333338</v>
      </c>
      <c r="BE85" s="13">
        <f>BD85*VLOOKUP('Données projet'!$B$11,Paramètres!$A$1:$I$89,3,0)*VLOOKUP('Données projet'!$B$11,Paramètres!$A$1:$I$89,5,0)</f>
        <v>204.45620000000005</v>
      </c>
      <c r="BF85" s="13">
        <f t="shared" si="91"/>
        <v>50.722246056554702</v>
      </c>
      <c r="BG85" s="20">
        <f t="shared" si="61"/>
        <v>444.43579354849948</v>
      </c>
      <c r="BH85" s="59">
        <f t="shared" si="62"/>
        <v>731.8757716224693</v>
      </c>
      <c r="BI85" s="59">
        <f ca="1">AVERAGE(OFFSET($BH$3,0,0,'Données projet'!$E$11+1,1))-AVERAGE(OFFSET($H$3,0,0,'Données projet'!$E$11+1,1))</f>
        <v>478.2340976873212</v>
      </c>
      <c r="BJ85" s="59">
        <f t="shared" si="92"/>
        <v>342.90128902463823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42.119012167362968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42.119012167362968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9.5977777777777771</v>
      </c>
      <c r="BY85" s="12">
        <f>IF('Données projet'!$A$114&gt;35,BY84+BX85-CG84,IF(A85&lt;'Données projet'!$A$114,$BV$205^A85,IF(A85='Données projet'!$A$114,'Données projet'!$B$114,BY84+BX85-CG84)))</f>
        <v>302.79555555555567</v>
      </c>
      <c r="BZ85" s="13">
        <f>BY85*VLOOKUP('Données projet'!$B$12,Paramètres!$A$1:$I$89,3,0)*VLOOKUP('Données projet'!$B$12,Paramètres!$A$1:$I$89,5,0)</f>
        <v>273.96941866666674</v>
      </c>
      <c r="CA85" s="13">
        <f t="shared" si="93"/>
        <v>65.69096323114357</v>
      </c>
      <c r="CB85" s="20">
        <f t="shared" si="64"/>
        <v>591.57516513868632</v>
      </c>
      <c r="CC85" s="59">
        <f t="shared" si="65"/>
        <v>879.01514321265608</v>
      </c>
      <c r="CD85" s="59">
        <f ca="1">AVERAGE(OFFSET($CC$3,0,0,'Données projet'!$E$12+1,1))-AVERAGE(OFFSET($H$3,0,0,'Données projet'!$E$12+1,1))</f>
        <v>471.03166569378629</v>
      </c>
      <c r="CE85" s="59">
        <f t="shared" si="94"/>
        <v>259.15709238853287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45.770797179742864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45.770797179742864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14.212499999999999</v>
      </c>
      <c r="CT85" s="12">
        <f>IF('Données projet'!$A$140&gt;35,CT84+CS85-DB84,IF(A85&lt;'Données projet'!$A$140,$CQ$205^A85,IF(A85='Données projet'!$A$140,'Données projet'!$B$140,CT84+CS85-DB84)))</f>
        <v>450.55749999999989</v>
      </c>
      <c r="CU85" s="17">
        <f>CT85*VLOOKUP('Données projet'!$B$13,Paramètres!$A$1:$I$89,3,0)*VLOOKUP('Données projet'!$B$13,Paramètres!$A$1:$I$89,5,0)</f>
        <v>210.86090999999996</v>
      </c>
      <c r="CV85" s="13">
        <f t="shared" si="95"/>
        <v>52.123671374805603</v>
      </c>
      <c r="CW85" s="20">
        <f t="shared" si="67"/>
        <v>458.03147922778635</v>
      </c>
      <c r="CX85" s="59">
        <f t="shared" si="68"/>
        <v>745.47145730175612</v>
      </c>
      <c r="CY85" s="59">
        <f ca="1">AVERAGE(OFFSET($CX$3,0,0,'Données projet'!$E$13+1,1))-AVERAGE(OFFSET($H$3,0,0,'Données projet'!$E$13+1,1))</f>
        <v>364.67256251031029</v>
      </c>
      <c r="CZ85" s="59">
        <f t="shared" si="96"/>
        <v>347.4139588390766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84.586968721680577</v>
      </c>
      <c r="DG85" s="21">
        <f>EXP(-LN(2)/25)*DG84+(1-EXP(-LN(2)/25))/(LN(2)/25)*Calculateur!DB85*Calculateur!DD85*VLOOKUP('Données projet'!$B$13,Paramètres!$A$1:$I$89,3,0)*0.475*44/12</f>
        <v>40.849981213224453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125.43694993490503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68.392721292900859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1.35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4.95</v>
      </c>
      <c r="H86" s="67">
        <f t="shared" si="56"/>
        <v>236.86666666666665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51.998489924038495</v>
      </c>
      <c r="T86" s="59">
        <f t="shared" si="88"/>
        <v>206.32767973856241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12.186412180016521</v>
      </c>
      <c r="AA86" s="21">
        <f>EXP(-LN(2)/25)*AA85+(1-EXP(-LN(2)/25))/(LN(2)/25)*Calculateur!V86*Calculateur!X86*VLOOKUP('Données projet'!$B$9,Paramètres!$A$1:$I$89,3,0)*0.475*44/12</f>
        <v>2.0445199583098193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14.230932138326342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356.02637444732096</v>
      </c>
      <c r="AO86" s="59">
        <f t="shared" si="90"/>
        <v>263.30053404008095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162.12329873763397</v>
      </c>
      <c r="AV86" s="21">
        <f>EXP(-LN(2)/25)*AV85+(1-EXP(-LN(2)/25))/(LN(2)/25)*Calculateur!AQ86*Calculateur!AS86*VLOOKUP('Données projet'!$B$10,Paramètres!$A$1:$I$89,3,0)*0.475*44/12</f>
        <v>74.297693483069267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236.42099222070323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6.6044444444444439</v>
      </c>
      <c r="BD86" s="12">
        <f>IF('Données projet'!$A$88&gt;35,BD85+BC86-BL85,IF(A86&lt;'Données projet'!$A$88,$BA$205^A86,IF(A86='Données projet'!$A$88,'Données projet'!$B$88,BD85+BC86-BL85)))</f>
        <v>208.23777777777784</v>
      </c>
      <c r="BE86" s="13">
        <f>BD86*VLOOKUP('Données projet'!$B$11,Paramètres!$A$1:$I$89,3,0)*VLOOKUP('Données projet'!$B$11,Paramètres!$A$1:$I$89,5,0)</f>
        <v>211.15310666666676</v>
      </c>
      <c r="BF86" s="13">
        <f t="shared" si="91"/>
        <v>52.187488153301551</v>
      </c>
      <c r="BG86" s="20">
        <f t="shared" si="61"/>
        <v>458.6515359781115</v>
      </c>
      <c r="BH86" s="59">
        <f t="shared" si="62"/>
        <v>746.19375059026288</v>
      </c>
      <c r="BI86" s="59">
        <f ca="1">AVERAGE(OFFSET($BH$3,0,0,'Données projet'!$E$11+1,1))-AVERAGE(OFFSET($H$3,0,0,'Données projet'!$E$11+1,1))</f>
        <v>478.2340976873212</v>
      </c>
      <c r="BJ86" s="59">
        <f t="shared" si="92"/>
        <v>342.90128902463823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41.293084028821717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41.293084028821717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9.5977777777777771</v>
      </c>
      <c r="BY86" s="12">
        <f>IF('Données projet'!$A$114&gt;35,BY85+BX86-CG85,IF(A86&lt;'Données projet'!$A$114,$BV$205^A86,IF(A86='Données projet'!$A$114,'Données projet'!$B$114,BY85+BX86-CG85)))</f>
        <v>312.39333333333343</v>
      </c>
      <c r="BZ86" s="13">
        <f>BY86*VLOOKUP('Données projet'!$B$12,Paramètres!$A$1:$I$89,3,0)*VLOOKUP('Données projet'!$B$12,Paramètres!$A$1:$I$89,5,0)</f>
        <v>282.6534880000001</v>
      </c>
      <c r="CA86" s="13">
        <f t="shared" si="93"/>
        <v>67.527458975311433</v>
      </c>
      <c r="CB86" s="20">
        <f t="shared" si="64"/>
        <v>609.8984826486676</v>
      </c>
      <c r="CC86" s="59">
        <f t="shared" si="65"/>
        <v>897.44069726081898</v>
      </c>
      <c r="CD86" s="59">
        <f ca="1">AVERAGE(OFFSET($CC$3,0,0,'Données projet'!$E$12+1,1))-AVERAGE(OFFSET($H$3,0,0,'Données projet'!$E$12+1,1))</f>
        <v>471.03166569378629</v>
      </c>
      <c r="CE86" s="59">
        <f t="shared" si="94"/>
        <v>259.15709238853287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44.873259764477766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44.873259764477766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14.212499999999999</v>
      </c>
      <c r="CT86" s="12">
        <f>IF('Données projet'!$A$140&gt;35,CT85+CS86-DB85,IF(A86&lt;'Données projet'!$A$140,$CQ$205^A86,IF(A86='Données projet'!$A$140,'Données projet'!$B$140,CT85+CS86-DB85)))</f>
        <v>464.76999999999987</v>
      </c>
      <c r="CU86" s="17">
        <f>CT86*VLOOKUP('Données projet'!$B$13,Paramètres!$A$1:$I$89,3,0)*VLOOKUP('Données projet'!$B$13,Paramètres!$A$1:$I$89,5,0)</f>
        <v>217.51235999999994</v>
      </c>
      <c r="CV86" s="13">
        <f t="shared" si="95"/>
        <v>53.573852135564842</v>
      </c>
      <c r="CW86" s="20">
        <f t="shared" si="67"/>
        <v>472.141819469442</v>
      </c>
      <c r="CX86" s="59">
        <f t="shared" si="68"/>
        <v>759.68403408159338</v>
      </c>
      <c r="CY86" s="59">
        <f ca="1">AVERAGE(OFFSET($CX$3,0,0,'Données projet'!$E$13+1,1))-AVERAGE(OFFSET($H$3,0,0,'Données projet'!$E$13+1,1))</f>
        <v>364.67256251031029</v>
      </c>
      <c r="CZ86" s="59">
        <f t="shared" si="96"/>
        <v>347.4139588390766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82.928269858004967</v>
      </c>
      <c r="DG86" s="21">
        <f>EXP(-LN(2)/25)*DG85+(1-EXP(-LN(2)/25))/(LN(2)/25)*Calculateur!DB86*Calculateur!DD86*VLOOKUP('Données projet'!$B$13,Paramètres!$A$1:$I$89,3,0)*0.475*44/12</f>
        <v>39.73293632874168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122.66120618674665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68.420603985132175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1.35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4.95</v>
      </c>
      <c r="H87" s="67">
        <f t="shared" si="56"/>
        <v>236.86666666666665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51.998489924038495</v>
      </c>
      <c r="T87" s="59">
        <f t="shared" si="88"/>
        <v>206.32767973856241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11.947444070143881</v>
      </c>
      <c r="AA87" s="21">
        <f>EXP(-LN(2)/25)*AA86+(1-EXP(-LN(2)/25))/(LN(2)/25)*Calculateur!V87*Calculateur!X87*VLOOKUP('Données projet'!$B$9,Paramètres!$A$1:$I$89,3,0)*0.475*44/12</f>
        <v>1.9886124525332054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13.936056522677086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356.02637444732096</v>
      </c>
      <c r="AO87" s="59">
        <f t="shared" si="90"/>
        <v>263.30053404008095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158.94415973483709</v>
      </c>
      <c r="AV87" s="21">
        <f>EXP(-LN(2)/25)*AV86+(1-EXP(-LN(2)/25))/(LN(2)/25)*Calculateur!AQ87*Calculateur!AS87*VLOOKUP('Données projet'!$B$10,Paramètres!$A$1:$I$89,3,0)*0.475*44/12</f>
        <v>72.266019147628853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231.21017888246593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6.6044444444444439</v>
      </c>
      <c r="BD87" s="12">
        <f>IF('Données projet'!$A$88&gt;35,BD86+BC87-BL86,IF(A87&lt;'Données projet'!$A$88,$BA$205^A87,IF(A87='Données projet'!$A$88,'Données projet'!$B$88,BD86+BC87-BL86)))</f>
        <v>214.84222222222229</v>
      </c>
      <c r="BE87" s="13">
        <f>BD87*VLOOKUP('Données projet'!$B$11,Paramètres!$A$1:$I$89,3,0)*VLOOKUP('Données projet'!$B$11,Paramètres!$A$1:$I$89,5,0)</f>
        <v>217.85001333333341</v>
      </c>
      <c r="BF87" s="13">
        <f t="shared" si="91"/>
        <v>53.647329990085304</v>
      </c>
      <c r="BG87" s="20">
        <f t="shared" si="61"/>
        <v>472.85787295495419</v>
      </c>
      <c r="BH87" s="59">
        <f t="shared" si="62"/>
        <v>760.50055052991615</v>
      </c>
      <c r="BI87" s="59">
        <f ca="1">AVERAGE(OFFSET($BH$3,0,0,'Données projet'!$E$11+1,1))-AVERAGE(OFFSET($H$3,0,0,'Données projet'!$E$11+1,1))</f>
        <v>478.2340976873212</v>
      </c>
      <c r="BJ87" s="59">
        <f t="shared" si="92"/>
        <v>342.90128902463823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40.483351837310842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40.483351837310842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9.5977777777777771</v>
      </c>
      <c r="BY87" s="12">
        <f>IF('Données projet'!$A$114&gt;35,BY86+BX87-CG86,IF(A87&lt;'Données projet'!$A$114,$BV$205^A87,IF(A87='Données projet'!$A$114,'Données projet'!$B$114,BY86+BX87-CG86)))</f>
        <v>321.99111111111119</v>
      </c>
      <c r="BZ87" s="13">
        <f>BY87*VLOOKUP('Données projet'!$B$12,Paramètres!$A$1:$I$89,3,0)*VLOOKUP('Données projet'!$B$12,Paramètres!$A$1:$I$89,5,0)</f>
        <v>291.33755733333339</v>
      </c>
      <c r="CA87" s="13">
        <f t="shared" si="93"/>
        <v>69.357397681452682</v>
      </c>
      <c r="CB87" s="20">
        <f t="shared" si="64"/>
        <v>628.21037998408565</v>
      </c>
      <c r="CC87" s="59">
        <f t="shared" si="65"/>
        <v>915.85305755904756</v>
      </c>
      <c r="CD87" s="59">
        <f ca="1">AVERAGE(OFFSET($CC$3,0,0,'Données projet'!$E$12+1,1))-AVERAGE(OFFSET($H$3,0,0,'Données projet'!$E$12+1,1))</f>
        <v>471.03166569378629</v>
      </c>
      <c r="CE87" s="59">
        <f t="shared" si="94"/>
        <v>259.15709238853287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43.993322510482251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43.993322510482251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14.212499999999999</v>
      </c>
      <c r="CT87" s="12">
        <f>IF('Données projet'!$A$140&gt;35,CT86+CS87-DB86,IF(A87&lt;'Données projet'!$A$140,$CQ$205^A87,IF(A87='Données projet'!$A$140,'Données projet'!$B$140,CT86+CS87-DB86)))</f>
        <v>478.98249999999985</v>
      </c>
      <c r="CU87" s="17">
        <f>CT87*VLOOKUP('Données projet'!$B$13,Paramètres!$A$1:$I$89,3,0)*VLOOKUP('Données projet'!$B$13,Paramètres!$A$1:$I$89,5,0)</f>
        <v>224.16380999999993</v>
      </c>
      <c r="CV87" s="13">
        <f t="shared" si="95"/>
        <v>55.018879348273053</v>
      </c>
      <c r="CW87" s="20">
        <f t="shared" si="67"/>
        <v>486.24318394824201</v>
      </c>
      <c r="CX87" s="59">
        <f t="shared" si="68"/>
        <v>773.88586152320397</v>
      </c>
      <c r="CY87" s="59">
        <f ca="1">AVERAGE(OFFSET($CX$3,0,0,'Données projet'!$E$13+1,1))-AVERAGE(OFFSET($H$3,0,0,'Données projet'!$E$13+1,1))</f>
        <v>364.67256251031029</v>
      </c>
      <c r="CZ87" s="59">
        <f t="shared" si="96"/>
        <v>347.4139588390766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81.302097067339616</v>
      </c>
      <c r="DG87" s="21">
        <f>EXP(-LN(2)/25)*DG86+(1-EXP(-LN(2)/25))/(LN(2)/25)*Calculateur!DB87*Calculateur!DD87*VLOOKUP('Données projet'!$B$13,Paramètres!$A$1:$I$89,3,0)*0.475*44/12</f>
        <v>38.646437095367929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119.94853416270755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68.44800297498962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1.35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4.95</v>
      </c>
      <c r="H88" s="67">
        <f t="shared" si="56"/>
        <v>236.86666666666665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51.998489924038495</v>
      </c>
      <c r="T88" s="59">
        <f t="shared" si="88"/>
        <v>206.32767973856241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11.713161979149689</v>
      </c>
      <c r="AA88" s="21">
        <f>EXP(-LN(2)/25)*AA87+(1-EXP(-LN(2)/25))/(LN(2)/25)*Calculateur!V88*Calculateur!X88*VLOOKUP('Données projet'!$B$9,Paramètres!$A$1:$I$89,3,0)*0.475*44/12</f>
        <v>1.9342337404421011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13.64739571959179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356.02637444732096</v>
      </c>
      <c r="AO88" s="59">
        <f t="shared" si="90"/>
        <v>263.30053404008095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155.8273617088017</v>
      </c>
      <c r="AV88" s="21">
        <f>EXP(-LN(2)/25)*AV87+(1-EXP(-LN(2)/25))/(LN(2)/25)*Calculateur!AQ88*Calculateur!AS88*VLOOKUP('Données projet'!$B$10,Paramètres!$A$1:$I$89,3,0)*0.475*44/12</f>
        <v>70.289901053732166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226.11726276253387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6.6044444444444439</v>
      </c>
      <c r="BD88" s="12">
        <f>IF('Données projet'!$A$88&gt;35,BD87+BC88-BL87,IF(A88&lt;'Données projet'!$A$88,$BA$205^A88,IF(A88='Données projet'!$A$88,'Données projet'!$B$88,BD87+BC88-BL87)))</f>
        <v>221.44666666666674</v>
      </c>
      <c r="BE88" s="13">
        <f>BD88*VLOOKUP('Données projet'!$B$11,Paramètres!$A$1:$I$89,3,0)*VLOOKUP('Données projet'!$B$11,Paramètres!$A$1:$I$89,5,0)</f>
        <v>224.54692000000011</v>
      </c>
      <c r="BF88" s="13">
        <f t="shared" si="91"/>
        <v>55.101956627161847</v>
      </c>
      <c r="BG88" s="20">
        <f t="shared" si="61"/>
        <v>487.05512679230696</v>
      </c>
      <c r="BH88" s="59">
        <f t="shared" si="62"/>
        <v>774.79652452227629</v>
      </c>
      <c r="BI88" s="59">
        <f ca="1">AVERAGE(OFFSET($BH$3,0,0,'Données projet'!$E$11+1,1))-AVERAGE(OFFSET($H$3,0,0,'Données projet'!$E$11+1,1))</f>
        <v>478.2340976873212</v>
      </c>
      <c r="BJ88" s="59">
        <f t="shared" si="92"/>
        <v>342.90128902463823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39.689498000187626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39.689498000187626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9.5977777777777771</v>
      </c>
      <c r="BY88" s="12">
        <f>IF('Données projet'!$A$114&gt;35,BY87+BX88-CG87,IF(A88&lt;'Données projet'!$A$114,$BV$205^A88,IF(A88='Données projet'!$A$114,'Données projet'!$B$114,BY87+BX88-CG87)))</f>
        <v>331.58888888888896</v>
      </c>
      <c r="BZ88" s="13">
        <f>BY88*VLOOKUP('Données projet'!$B$12,Paramètres!$A$1:$I$89,3,0)*VLOOKUP('Données projet'!$B$12,Paramètres!$A$1:$I$89,5,0)</f>
        <v>300.02162666666675</v>
      </c>
      <c r="CA88" s="13">
        <f t="shared" si="93"/>
        <v>71.180997236689763</v>
      </c>
      <c r="CB88" s="20">
        <f t="shared" si="64"/>
        <v>646.51123663167925</v>
      </c>
      <c r="CC88" s="59">
        <f t="shared" si="65"/>
        <v>934.25263436164869</v>
      </c>
      <c r="CD88" s="59">
        <f ca="1">AVERAGE(OFFSET($CC$3,0,0,'Données projet'!$E$12+1,1))-AVERAGE(OFFSET($H$3,0,0,'Données projet'!$E$12+1,1))</f>
        <v>471.03166569378629</v>
      </c>
      <c r="CE88" s="59">
        <f t="shared" si="94"/>
        <v>259.15709238853287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43.130640289328859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43.130640289328859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14.212499999999999</v>
      </c>
      <c r="CT88" s="12">
        <f>IF('Données projet'!$A$140&gt;35,CT87+CS88-DB87,IF(A88&lt;'Données projet'!$A$140,$CQ$205^A88,IF(A88='Données projet'!$A$140,'Données projet'!$B$140,CT87+CS88-DB87)))</f>
        <v>493.19499999999982</v>
      </c>
      <c r="CU88" s="17">
        <f>CT88*VLOOKUP('Données projet'!$B$13,Paramètres!$A$1:$I$89,3,0)*VLOOKUP('Données projet'!$B$13,Paramètres!$A$1:$I$89,5,0)</f>
        <v>230.81525999999991</v>
      </c>
      <c r="CV88" s="13">
        <f t="shared" si="95"/>
        <v>56.458923486259444</v>
      </c>
      <c r="CW88" s="20">
        <f t="shared" si="67"/>
        <v>500.33586957190164</v>
      </c>
      <c r="CX88" s="59">
        <f t="shared" si="68"/>
        <v>788.07726730187096</v>
      </c>
      <c r="CY88" s="59">
        <f ca="1">AVERAGE(OFFSET($CX$3,0,0,'Données projet'!$E$13+1,1))-AVERAGE(OFFSET($H$3,0,0,'Données projet'!$E$13+1,1))</f>
        <v>364.67256251031029</v>
      </c>
      <c r="CZ88" s="59">
        <f t="shared" si="96"/>
        <v>347.4139588390766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79.70781253323176</v>
      </c>
      <c r="DG88" s="21">
        <f>EXP(-LN(2)/25)*DG87+(1-EXP(-LN(2)/25))/(LN(2)/25)*Calculateur!DB88*Calculateur!DD88*VLOOKUP('Données projet'!$B$13,Paramètres!$A$1:$I$89,3,0)*0.475*44/12</f>
        <v>37.589648240667294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117.29746077389905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68.474926653628003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1.35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4.95</v>
      </c>
      <c r="H89" s="67">
        <f t="shared" si="56"/>
        <v>236.86666666666665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51.998489924038495</v>
      </c>
      <c r="T89" s="59">
        <f t="shared" si="88"/>
        <v>206.32767973856241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11.483474017061928</v>
      </c>
      <c r="AA89" s="21">
        <f>EXP(-LN(2)/25)*AA88+(1-EXP(-LN(2)/25))/(LN(2)/25)*Calculateur!V89*Calculateur!X89*VLOOKUP('Données projet'!$B$9,Paramètres!$A$1:$I$89,3,0)*0.475*44/12</f>
        <v>1.8813420170927802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13.364816034154709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356.02637444732096</v>
      </c>
      <c r="AO89" s="59">
        <f t="shared" si="90"/>
        <v>263.30053404008095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152.77168219099781</v>
      </c>
      <c r="AV89" s="21">
        <f>EXP(-LN(2)/25)*AV88+(1-EXP(-LN(2)/25))/(LN(2)/25)*Calculateur!AQ89*Calculateur!AS89*VLOOKUP('Données projet'!$B$10,Paramètres!$A$1:$I$89,3,0)*0.475*44/12</f>
        <v>68.367820013032613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221.13950220403041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6.6044444444444439</v>
      </c>
      <c r="BD89" s="12">
        <f>IF('Données projet'!$A$88&gt;35,BD88+BC89-BL88,IF(A89&lt;'Données projet'!$A$88,$BA$205^A89,IF(A89='Données projet'!$A$88,'Données projet'!$B$88,BD88+BC89-BL88)))</f>
        <v>228.0511111111112</v>
      </c>
      <c r="BE89" s="13">
        <f>BD89*VLOOKUP('Données projet'!$B$11,Paramètres!$A$1:$I$89,3,0)*VLOOKUP('Données projet'!$B$11,Paramètres!$A$1:$I$89,5,0)</f>
        <v>231.24382666666676</v>
      </c>
      <c r="BF89" s="13">
        <f t="shared" si="91"/>
        <v>56.55154145885227</v>
      </c>
      <c r="BG89" s="20">
        <f t="shared" si="61"/>
        <v>501.24359948527899</v>
      </c>
      <c r="BH89" s="59">
        <f t="shared" si="62"/>
        <v>789.08200479627158</v>
      </c>
      <c r="BI89" s="59">
        <f ca="1">AVERAGE(OFFSET($BH$3,0,0,'Données projet'!$E$11+1,1))-AVERAGE(OFFSET($H$3,0,0,'Données projet'!$E$11+1,1))</f>
        <v>478.2340976873212</v>
      </c>
      <c r="BJ89" s="59">
        <f t="shared" si="92"/>
        <v>342.90128902463823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38.911211152607365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38.911211152607365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9.5977777777777771</v>
      </c>
      <c r="BY89" s="12">
        <f>IF('Données projet'!$A$114&gt;35,BY88+BX89-CG88,IF(A89&lt;'Données projet'!$A$114,$BV$205^A89,IF(A89='Données projet'!$A$114,'Données projet'!$B$114,BY88+BX89-CG88)))</f>
        <v>341.18666666666672</v>
      </c>
      <c r="BZ89" s="13">
        <f>BY89*VLOOKUP('Données projet'!$B$12,Paramètres!$A$1:$I$89,3,0)*VLOOKUP('Données projet'!$B$12,Paramètres!$A$1:$I$89,5,0)</f>
        <v>308.70569600000005</v>
      </c>
      <c r="CA89" s="13">
        <f t="shared" si="93"/>
        <v>72.998462197467177</v>
      </c>
      <c r="CB89" s="20">
        <f t="shared" si="64"/>
        <v>664.80140886058871</v>
      </c>
      <c r="CC89" s="59">
        <f t="shared" si="65"/>
        <v>952.63981417158129</v>
      </c>
      <c r="CD89" s="59">
        <f ca="1">AVERAGE(OFFSET($CC$3,0,0,'Données projet'!$E$12+1,1))-AVERAGE(OFFSET($H$3,0,0,'Données projet'!$E$12+1,1))</f>
        <v>471.03166569378629</v>
      </c>
      <c r="CE89" s="59">
        <f t="shared" si="94"/>
        <v>259.15709238853287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42.284874740348087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42.284874740348087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14.212499999999999</v>
      </c>
      <c r="CT89" s="12">
        <f>IF('Données projet'!$A$140&gt;35,CT88+CS89-DB88,IF(A89&lt;'Données projet'!$A$140,$CQ$205^A89,IF(A89='Données projet'!$A$140,'Données projet'!$B$140,CT88+CS89-DB88)))</f>
        <v>507.4074999999998</v>
      </c>
      <c r="CU89" s="17">
        <f>CT89*VLOOKUP('Données projet'!$B$13,Paramètres!$A$1:$I$89,3,0)*VLOOKUP('Données projet'!$B$13,Paramètres!$A$1:$I$89,5,0)</f>
        <v>237.46670999999992</v>
      </c>
      <c r="CV89" s="13">
        <f t="shared" si="95"/>
        <v>57.89414463897004</v>
      </c>
      <c r="CW89" s="20">
        <f t="shared" si="67"/>
        <v>514.42015516287267</v>
      </c>
      <c r="CX89" s="59">
        <f t="shared" si="68"/>
        <v>802.25856047386537</v>
      </c>
      <c r="CY89" s="59">
        <f ca="1">AVERAGE(OFFSET($CX$3,0,0,'Données projet'!$E$13+1,1))-AVERAGE(OFFSET($H$3,0,0,'Données projet'!$E$13+1,1))</f>
        <v>364.67256251031029</v>
      </c>
      <c r="CZ89" s="59">
        <f t="shared" si="96"/>
        <v>347.4139588390766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78.144790946420201</v>
      </c>
      <c r="DG89" s="21">
        <f>EXP(-LN(2)/25)*DG88+(1-EXP(-LN(2)/25))/(LN(2)/25)*Calculateur!DB89*Calculateur!DD89*VLOOKUP('Données projet'!$B$13,Paramètres!$A$1:$I$89,3,0)*0.475*44/12</f>
        <v>36.561757332772558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114.70654827919276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68.501383266634349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1.35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4.95</v>
      </c>
      <c r="H90" s="67">
        <f t="shared" si="56"/>
        <v>236.86666666666665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51.998489924038495</v>
      </c>
      <c r="T90" s="59">
        <f t="shared" si="88"/>
        <v>206.32767973856241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11.258290095814884</v>
      </c>
      <c r="AA90" s="21">
        <f>EXP(-LN(2)/25)*AA89+(1-EXP(-LN(2)/25))/(LN(2)/25)*Calculateur!V90*Calculateur!X90*VLOOKUP('Données projet'!$B$9,Paramètres!$A$1:$I$89,3,0)*0.475*44/12</f>
        <v>1.8298966206999012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13.088186716514786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356.02637444732096</v>
      </c>
      <c r="AO90" s="59">
        <f t="shared" si="90"/>
        <v>263.30053404008095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149.77592268475757</v>
      </c>
      <c r="AV90" s="21">
        <f>EXP(-LN(2)/25)*AV89+(1-EXP(-LN(2)/25))/(LN(2)/25)*Calculateur!AQ90*Calculateur!AS90*VLOOKUP('Données projet'!$B$10,Paramètres!$A$1:$I$89,3,0)*0.475*44/12</f>
        <v>66.498298379468835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216.27422106422642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6.6044444444444439</v>
      </c>
      <c r="BD90" s="12">
        <f>IF('Données projet'!$A$88&gt;35,BD89+BC90-BL89,IF(A90&lt;'Données projet'!$A$88,$BA$205^A90,IF(A90='Données projet'!$A$88,'Données projet'!$B$88,BD89+BC90-BL89)))</f>
        <v>234.65555555555565</v>
      </c>
      <c r="BE90" s="13">
        <f>BD90*VLOOKUP('Données projet'!$B$11,Paramètres!$A$1:$I$89,3,0)*VLOOKUP('Données projet'!$B$11,Paramètres!$A$1:$I$89,5,0)</f>
        <v>237.94073333333347</v>
      </c>
      <c r="BF90" s="13">
        <f t="shared" si="91"/>
        <v>57.996247265242047</v>
      </c>
      <c r="BG90" s="20">
        <f t="shared" si="61"/>
        <v>515.42357454251896</v>
      </c>
      <c r="BH90" s="59">
        <f t="shared" si="62"/>
        <v>803.3573045698804</v>
      </c>
      <c r="BI90" s="59">
        <f ca="1">AVERAGE(OFFSET($BH$3,0,0,'Données projet'!$E$11+1,1))-AVERAGE(OFFSET($H$3,0,0,'Données projet'!$E$11+1,1))</f>
        <v>478.2340976873212</v>
      </c>
      <c r="BJ90" s="59">
        <f t="shared" si="92"/>
        <v>342.90128902463823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38.148186035400052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38.148186035400052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9.5977777777777771</v>
      </c>
      <c r="BY90" s="12">
        <f>IF('Données projet'!$A$114&gt;35,BY89+BX90-CG89,IF(A90&lt;'Données projet'!$A$114,$BV$205^A90,IF(A90='Données projet'!$A$114,'Données projet'!$B$114,BY89+BX90-CG89)))</f>
        <v>350.78444444444449</v>
      </c>
      <c r="BZ90" s="13">
        <f>BY90*VLOOKUP('Données projet'!$B$12,Paramètres!$A$1:$I$89,3,0)*VLOOKUP('Données projet'!$B$12,Paramètres!$A$1:$I$89,5,0)</f>
        <v>317.3897653333334</v>
      </c>
      <c r="CA90" s="13">
        <f t="shared" si="93"/>
        <v>74.809984956913425</v>
      </c>
      <c r="CB90" s="20">
        <f t="shared" si="64"/>
        <v>683.08123175551316</v>
      </c>
      <c r="CC90" s="59">
        <f t="shared" si="65"/>
        <v>971.01496178287471</v>
      </c>
      <c r="CD90" s="59">
        <f ca="1">AVERAGE(OFFSET($CC$3,0,0,'Données projet'!$E$12+1,1))-AVERAGE(OFFSET($H$3,0,0,'Données projet'!$E$12+1,1))</f>
        <v>471.03166569378629</v>
      </c>
      <c r="CE90" s="59">
        <f t="shared" si="94"/>
        <v>259.15709238853287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41.45569413791678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41.45569413791678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>
        <f>VLOOKUP(A90,'Données projet'!$A$139:$I$159,2,0)</f>
        <v>521.62</v>
      </c>
      <c r="CR90" s="12">
        <f>VLOOKUP(A90,'Données projet'!$A$139:$I$159,9,0)</f>
        <v>14.212499999999999</v>
      </c>
      <c r="CS90" s="12">
        <f t="array" ref="CS90">INDEX(CR:CR,MIN(IF(ISNUMBER(CR90:CR286),ROW(CR90:CR286),"")))</f>
        <v>14.212499999999999</v>
      </c>
      <c r="CT90" s="12">
        <f>IF('Données projet'!$A$140&gt;35,CT89+CS90-DB89,IF(A90&lt;'Données projet'!$A$140,$CQ$205^A90,IF(A90='Données projet'!$A$140,'Données projet'!$B$140,CT89+CS90-DB89)))</f>
        <v>521.61999999999978</v>
      </c>
      <c r="CU90" s="17">
        <f>CT90*VLOOKUP('Données projet'!$B$13,Paramètres!$A$1:$I$89,3,0)*VLOOKUP('Données projet'!$B$13,Paramètres!$A$1:$I$89,5,0)</f>
        <v>244.11815999999988</v>
      </c>
      <c r="CV90" s="13">
        <f t="shared" si="95"/>
        <v>59.324693417385667</v>
      </c>
      <c r="CW90" s="20">
        <f t="shared" si="67"/>
        <v>528.49630303527977</v>
      </c>
      <c r="CX90" s="59">
        <f t="shared" si="68"/>
        <v>816.43003306264131</v>
      </c>
      <c r="CY90" s="59">
        <f ca="1">AVERAGE(OFFSET($CX$3,0,0,'Données projet'!$E$13+1,1))-AVERAGE(OFFSET($H$3,0,0,'Données projet'!$E$13+1,1))</f>
        <v>364.67256251031029</v>
      </c>
      <c r="CZ90" s="59">
        <f t="shared" si="96"/>
        <v>347.4139588390766</v>
      </c>
      <c r="DA90" s="15">
        <f>IF(ISNA(VLOOKUP(A90,'Données projet'!$A$139:$I$159,3,0)),0,VLOOKUP(A90,'Données projet'!$A$139:$I$159,3,0))</f>
        <v>7</v>
      </c>
      <c r="DB90" s="15">
        <f>IF(ISNA(VLOOKUP(A90,'Données projet'!$A$139:$I$159,4,0)),0,VLOOKUP(A90,'Données projet'!$A$139:$I$159,4,0))</f>
        <v>88.62</v>
      </c>
      <c r="DC90" s="16">
        <f>IF(ISNA(VLOOKUP(A90,'Données projet'!$A$139:$I$159,5,0)),0%,VLOOKUP(A90,'Données projet'!$A$139:$I$159,5,0)*VLOOKUP('Données projet'!$B$13,Paramètres!$A$1:$I$89,7,0))</f>
        <v>0.38500000000000001</v>
      </c>
      <c r="DD90" s="16">
        <f>IF(ISNA(VLOOKUP(A90,'Données projet'!$A$139:$I$159,6,0)),0%,VLOOKUP(A90,'Données projet'!$A$139:$I$159,6,0)*VLOOKUP('Données projet'!$B$13,Paramètres!$A$1:$I$89,7,0))</f>
        <v>0.16500000000000001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97.79440565253374</v>
      </c>
      <c r="DG90" s="21">
        <f>EXP(-LN(2)/25)*DG89+(1-EXP(-LN(2)/25))/(LN(2)/25)*Calculateur!DB90*Calculateur!DD90*VLOOKUP('Données projet'!$B$13,Paramètres!$A$1:$I$89,3,0)*0.475*44/12</f>
        <v>44.604224802190686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142.39863045472441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68.527380916553142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1.35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4.95</v>
      </c>
      <c r="H91" s="67">
        <f t="shared" si="56"/>
        <v>236.86666666666665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51.998489924038495</v>
      </c>
      <c r="T91" s="59">
        <f t="shared" si="88"/>
        <v>206.32767973856241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11.037521893914864</v>
      </c>
      <c r="AA91" s="21">
        <f>EXP(-LN(2)/25)*AA90+(1-EXP(-LN(2)/25))/(LN(2)/25)*Calculateur!V91*Calculateur!X91*VLOOKUP('Données projet'!$B$9,Paramètres!$A$1:$I$89,3,0)*0.475*44/12</f>
        <v>1.7798580013767815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12.817379895291646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356.02637444732096</v>
      </c>
      <c r="AO91" s="59">
        <f t="shared" si="90"/>
        <v>263.30053404008095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146.83890819520184</v>
      </c>
      <c r="AV91" s="21">
        <f>EXP(-LN(2)/25)*AV90+(1-EXP(-LN(2)/25))/(LN(2)/25)*Calculateur!AQ91*Calculateur!AS91*VLOOKUP('Données projet'!$B$10,Paramètres!$A$1:$I$89,3,0)*0.475*44/12</f>
        <v>64.679898913288739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211.51880710849059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>
        <f>VLOOKUP(A91,'Données projet'!$A$87:$I$107,2,0)</f>
        <v>241.26</v>
      </c>
      <c r="BB91" s="12">
        <f>VLOOKUP(A91,'Données projet'!$A$87:$I$107,9,0)</f>
        <v>6.6044444444444439</v>
      </c>
      <c r="BC91" s="12">
        <f t="array" ref="BC91">INDEX(BB:BB,MIN(IF(ISNUMBER(BB91:BB287),ROW(BB91:BB287),"")))</f>
        <v>6.6044444444444439</v>
      </c>
      <c r="BD91" s="12">
        <f>IF('Données projet'!$A$88&gt;35,BD90+BC91-BL90,IF(A91&lt;'Données projet'!$A$88,$BA$205^A91,IF(A91='Données projet'!$A$88,'Données projet'!$B$88,BD90+BC91-BL90)))</f>
        <v>241.2600000000001</v>
      </c>
      <c r="BE91" s="13">
        <f>BD91*VLOOKUP('Données projet'!$B$11,Paramètres!$A$1:$I$89,3,0)*VLOOKUP('Données projet'!$B$11,Paramètres!$A$1:$I$89,5,0)</f>
        <v>244.63764000000012</v>
      </c>
      <c r="BF91" s="13">
        <f t="shared" si="91"/>
        <v>59.436227142150209</v>
      </c>
      <c r="BG91" s="20">
        <f t="shared" si="61"/>
        <v>529.59531860591187</v>
      </c>
      <c r="BH91" s="59">
        <f t="shared" si="62"/>
        <v>817.62271967892752</v>
      </c>
      <c r="BI91" s="59">
        <f ca="1">AVERAGE(OFFSET($BH$3,0,0,'Données projet'!$E$11+1,1))-AVERAGE(OFFSET($H$3,0,0,'Données projet'!$E$11+1,1))</f>
        <v>478.2340976873212</v>
      </c>
      <c r="BJ91" s="59">
        <f t="shared" si="92"/>
        <v>342.90128902463823</v>
      </c>
      <c r="BK91" s="15">
        <f>IF(ISNA(VLOOKUP(A91,'Données projet'!$A$87:$I$107,3,0)),0,VLOOKUP(A91,'Données projet'!$A$87:$I$107,3,0))</f>
        <v>7</v>
      </c>
      <c r="BL91" s="15">
        <f>IF(ISNA(VLOOKUP(A91,'Données projet'!$A$87:$I$107,4,0)),0,VLOOKUP(A91,'Données projet'!$A$87:$I$107,4,0))</f>
        <v>40.659999999999997</v>
      </c>
      <c r="BM91" s="16">
        <f>IF(ISNA(VLOOKUP(A91,'Données projet'!$A$87:$I$107,5,0)),0%,VLOOKUP(A91,'Données projet'!$A$87:$I$107,5,0)*VLOOKUP('Données projet'!$B$11,Paramètres!$A$1:$I$89,7,0))</f>
        <v>0.25800000000000001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49.159170901730818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49.159170901730818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9.5977777777777771</v>
      </c>
      <c r="BY91" s="12">
        <f>IF('Données projet'!$A$114&gt;35,BY90+BX91-CG90,IF(A91&lt;'Données projet'!$A$114,$BV$205^A91,IF(A91='Données projet'!$A$114,'Données projet'!$B$114,BY90+BX91-CG90)))</f>
        <v>360.38222222222225</v>
      </c>
      <c r="BZ91" s="13">
        <f>BY91*VLOOKUP('Données projet'!$B$12,Paramètres!$A$1:$I$89,3,0)*VLOOKUP('Données projet'!$B$12,Paramètres!$A$1:$I$89,5,0)</f>
        <v>326.0738346666667</v>
      </c>
      <c r="CA91" s="13">
        <f t="shared" si="93"/>
        <v>76.615746780850031</v>
      </c>
      <c r="CB91" s="20">
        <f t="shared" si="64"/>
        <v>701.35102102109158</v>
      </c>
      <c r="CC91" s="59">
        <f t="shared" si="65"/>
        <v>989.37842209410724</v>
      </c>
      <c r="CD91" s="59">
        <f ca="1">AVERAGE(OFFSET($CC$3,0,0,'Données projet'!$E$12+1,1))-AVERAGE(OFFSET($H$3,0,0,'Données projet'!$E$12+1,1))</f>
        <v>471.03166569378629</v>
      </c>
      <c r="CE91" s="59">
        <f t="shared" si="94"/>
        <v>259.15709238853287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40.642773261348921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40.642773261348921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13.159999999999997</v>
      </c>
      <c r="CT91" s="12">
        <f>IF('Données projet'!$A$140&gt;35,CT90+CS91-DB90,IF(A91&lt;'Données projet'!$A$140,$CQ$205^A91,IF(A91='Données projet'!$A$140,'Données projet'!$B$140,CT90+CS91-DB90)))</f>
        <v>446.15999999999974</v>
      </c>
      <c r="CU91" s="17">
        <f>CT91*VLOOKUP('Données projet'!$B$13,Paramètres!$A$1:$I$89,3,0)*VLOOKUP('Données projet'!$B$13,Paramètres!$A$1:$I$89,5,0)</f>
        <v>208.80287999999987</v>
      </c>
      <c r="CV91" s="13">
        <f t="shared" si="95"/>
        <v>51.67389788236224</v>
      </c>
      <c r="CW91" s="20">
        <f t="shared" si="67"/>
        <v>453.66372147844731</v>
      </c>
      <c r="CX91" s="59">
        <f t="shared" si="68"/>
        <v>741.69112255146297</v>
      </c>
      <c r="CY91" s="59">
        <f ca="1">AVERAGE(OFFSET($CX$3,0,0,'Données projet'!$E$13+1,1))-AVERAGE(OFFSET($H$3,0,0,'Données projet'!$E$13+1,1))</f>
        <v>364.67256251031029</v>
      </c>
      <c r="CZ91" s="59">
        <f t="shared" si="96"/>
        <v>347.4139588390766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95.876717006385178</v>
      </c>
      <c r="DG91" s="21">
        <f>EXP(-LN(2)/25)*DG90+(1-EXP(-LN(2)/25))/(LN(2)/25)*Calculateur!DB91*Calculateur!DD91*VLOOKUP('Données projet'!$B$13,Paramètres!$A$1:$I$89,3,0)*0.475*44/12</f>
        <v>43.384519929340541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139.26123693572572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68.552927565367895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1.35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4.95</v>
      </c>
      <c r="H92" s="67">
        <f t="shared" si="56"/>
        <v>236.86666666666665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51.998489924038495</v>
      </c>
      <c r="T92" s="59">
        <f t="shared" si="88"/>
        <v>206.32767973856241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10.821082821798797</v>
      </c>
      <c r="AA92" s="21">
        <f>EXP(-LN(2)/25)*AA91+(1-EXP(-LN(2)/25))/(LN(2)/25)*Calculateur!V92*Calculateur!X92*VLOOKUP('Données projet'!$B$9,Paramètres!$A$1:$I$89,3,0)*0.475*44/12</f>
        <v>1.7311876907304691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12.552270512529265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356.02637444732096</v>
      </c>
      <c r="AO92" s="59">
        <f t="shared" si="90"/>
        <v>263.30053404008095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143.95948676838432</v>
      </c>
      <c r="AV92" s="21">
        <f>EXP(-LN(2)/25)*AV91+(1-EXP(-LN(2)/25))/(LN(2)/25)*Calculateur!AQ92*Calculateur!AS92*VLOOKUP('Données projet'!$B$10,Paramètres!$A$1:$I$89,3,0)*0.475*44/12</f>
        <v>62.9112236761368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206.87071044452114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6.3777777777777782</v>
      </c>
      <c r="BD92" s="12">
        <f>IF('Données projet'!$A$88&gt;35,BD91+BC92-BL91,IF(A92&lt;'Données projet'!$A$88,$BA$205^A92,IF(A92='Données projet'!$A$88,'Données projet'!$B$88,BD91+BC92-BL91)))</f>
        <v>206.97777777777787</v>
      </c>
      <c r="BE92" s="13">
        <f>BD92*VLOOKUP('Données projet'!$B$11,Paramètres!$A$1:$I$89,3,0)*VLOOKUP('Données projet'!$B$11,Paramètres!$A$1:$I$89,5,0)</f>
        <v>209.87546666666677</v>
      </c>
      <c r="BF92" s="13">
        <f t="shared" si="91"/>
        <v>51.908371092307732</v>
      </c>
      <c r="BG92" s="20">
        <f t="shared" si="61"/>
        <v>455.94018409688061</v>
      </c>
      <c r="BH92" s="59">
        <f t="shared" si="62"/>
        <v>744.05963123232527</v>
      </c>
      <c r="BI92" s="59">
        <f ca="1">AVERAGE(OFFSET($BH$3,0,0,'Données projet'!$E$11+1,1))-AVERAGE(OFFSET($H$3,0,0,'Données projet'!$E$11+1,1))</f>
        <v>478.2340976873212</v>
      </c>
      <c r="BJ92" s="59">
        <f t="shared" si="92"/>
        <v>342.90128902463823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48.195189544481437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48.195189544481437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369.98</v>
      </c>
      <c r="BW92" s="12">
        <f>VLOOKUP(A92,'Données projet'!$A$113:$I$133,9,0)</f>
        <v>9.5977777777777771</v>
      </c>
      <c r="BX92" s="12">
        <f t="array" ref="BX92">INDEX(BW:BW,MIN(IF(ISNUMBER(BW92:BW288),ROW(BW92:BW288),"")))</f>
        <v>9.5977777777777771</v>
      </c>
      <c r="BY92" s="12">
        <f>IF('Données projet'!$A$114&gt;35,BY91+BX92-CG91,IF(A92&lt;'Données projet'!$A$114,$BV$205^A92,IF(A92='Données projet'!$A$114,'Données projet'!$B$114,BY91+BX92-CG91)))</f>
        <v>369.98</v>
      </c>
      <c r="BZ92" s="13">
        <f>BY92*VLOOKUP('Données projet'!$B$12,Paramètres!$A$1:$I$89,3,0)*VLOOKUP('Données projet'!$B$12,Paramètres!$A$1:$I$89,5,0)</f>
        <v>334.757904</v>
      </c>
      <c r="CA92" s="13">
        <f t="shared" si="93"/>
        <v>78.415918730331612</v>
      </c>
      <c r="CB92" s="20">
        <f t="shared" si="64"/>
        <v>719.61107458866081</v>
      </c>
      <c r="CC92" s="59">
        <f t="shared" si="65"/>
        <v>1007.7305217241055</v>
      </c>
      <c r="CD92" s="59">
        <f ca="1">AVERAGE(OFFSET($CC$3,0,0,'Données projet'!$E$12+1,1))-AVERAGE(OFFSET($H$3,0,0,'Données projet'!$E$12+1,1))</f>
        <v>471.03166569378629</v>
      </c>
      <c r="CE92" s="59">
        <f t="shared" si="94"/>
        <v>259.15709238853287</v>
      </c>
      <c r="CF92" s="15">
        <f>IF(ISNA(VLOOKUP(A92,'Données projet'!$A$113:$I$133,3,0)),0,VLOOKUP(A92,'Données projet'!$A$113:$I$133,3,0))</f>
        <v>9</v>
      </c>
      <c r="CG92" s="15">
        <f>IF(ISNA(VLOOKUP(A92,'Données projet'!$A$113:$I$133,4,0)),0,VLOOKUP(A92,'Données projet'!$A$113:$I$133,4,0))</f>
        <v>56.32</v>
      </c>
      <c r="CH92" s="16">
        <f>IF(ISNA(VLOOKUP(A92,'Données projet'!$A$113:$I$133,5,0)),0%,VLOOKUP(A92,'Données projet'!$A$113:$I$133,5,0)*VLOOKUP('Données projet'!$B$12,Paramètres!$A$1:$I$89,7,0))</f>
        <v>0.25800000000000001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54.379689475215983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54.379689475215983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13.159999999999997</v>
      </c>
      <c r="CT92" s="12">
        <f>IF('Données projet'!$A$140&gt;35,CT91+CS92-DB91,IF(A92&lt;'Données projet'!$A$140,$CQ$205^A92,IF(A92='Données projet'!$A$140,'Données projet'!$B$140,CT91+CS92-DB91)))</f>
        <v>459.31999999999971</v>
      </c>
      <c r="CU92" s="17">
        <f>CT92*VLOOKUP('Données projet'!$B$13,Paramètres!$A$1:$I$89,3,0)*VLOOKUP('Données projet'!$B$13,Paramètres!$A$1:$I$89,5,0)</f>
        <v>214.96175999999986</v>
      </c>
      <c r="CV92" s="13">
        <f t="shared" si="95"/>
        <v>53.018377045952029</v>
      </c>
      <c r="CW92" s="20">
        <f t="shared" si="67"/>
        <v>466.73207202169948</v>
      </c>
      <c r="CX92" s="59">
        <f t="shared" si="68"/>
        <v>754.85151915714414</v>
      </c>
      <c r="CY92" s="59">
        <f ca="1">AVERAGE(OFFSET($CX$3,0,0,'Données projet'!$E$13+1,1))-AVERAGE(OFFSET($H$3,0,0,'Données projet'!$E$13+1,1))</f>
        <v>364.67256251031029</v>
      </c>
      <c r="CZ92" s="59">
        <f t="shared" si="96"/>
        <v>347.4139588390766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93.996633064913013</v>
      </c>
      <c r="DG92" s="21">
        <f>EXP(-LN(2)/25)*DG91+(1-EXP(-LN(2)/25))/(LN(2)/25)*Calculateur!DB92*Calculateur!DD92*VLOOKUP('Données projet'!$B$13,Paramètres!$A$1:$I$89,3,0)*0.475*44/12</f>
        <v>42.198167950379975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136.194801015293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68.578031036939464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1.35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4.95</v>
      </c>
      <c r="H93" s="67">
        <f t="shared" si="56"/>
        <v>236.86666666666665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51.998489924038495</v>
      </c>
      <c r="T93" s="59">
        <f t="shared" si="88"/>
        <v>206.32767973856241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10.608887987872127</v>
      </c>
      <c r="AA93" s="21">
        <f>EXP(-LN(2)/25)*AA92+(1-EXP(-LN(2)/25))/(LN(2)/25)*Calculateur!V93*Calculateur!X93*VLOOKUP('Données projet'!$B$9,Paramètres!$A$1:$I$89,3,0)*0.475*44/12</f>
        <v>1.6838482722882404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12.292736260160368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356.02637444732096</v>
      </c>
      <c r="AO93" s="59">
        <f t="shared" si="90"/>
        <v>263.30053404008095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141.13652903947306</v>
      </c>
      <c r="AV93" s="21">
        <f>EXP(-LN(2)/25)*AV92+(1-EXP(-LN(2)/25))/(LN(2)/25)*Calculateur!AQ93*Calculateur!AS93*VLOOKUP('Données projet'!$B$10,Paramètres!$A$1:$I$89,3,0)*0.475*44/12</f>
        <v>61.190912956355369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202.32744199582842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6.3777777777777782</v>
      </c>
      <c r="BD93" s="12">
        <f>IF('Données projet'!$A$88&gt;35,BD92+BC93-BL92,IF(A93&lt;'Données projet'!$A$88,$BA$205^A93,IF(A93='Données projet'!$A$88,'Données projet'!$B$88,BD92+BC93-BL92)))</f>
        <v>213.35555555555564</v>
      </c>
      <c r="BE93" s="13">
        <f>BD93*VLOOKUP('Données projet'!$B$11,Paramètres!$A$1:$I$89,3,0)*VLOOKUP('Données projet'!$B$11,Paramètres!$A$1:$I$89,5,0)</f>
        <v>216.34253333333342</v>
      </c>
      <c r="BF93" s="13">
        <f t="shared" si="91"/>
        <v>53.319179461046851</v>
      </c>
      <c r="BG93" s="20">
        <f t="shared" si="61"/>
        <v>469.66081645021222</v>
      </c>
      <c r="BH93" s="59">
        <f t="shared" si="62"/>
        <v>757.8707128546871</v>
      </c>
      <c r="BI93" s="59">
        <f ca="1">AVERAGE(OFFSET($BH$3,0,0,'Données projet'!$E$11+1,1))-AVERAGE(OFFSET($H$3,0,0,'Données projet'!$E$11+1,1))</f>
        <v>478.2340976873212</v>
      </c>
      <c r="BJ93" s="59">
        <f t="shared" si="92"/>
        <v>342.90128902463823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47.250111273677149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47.250111273677149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9.2589999999999968</v>
      </c>
      <c r="BY93" s="12">
        <f>IF('Données projet'!$A$114&gt;35,BY92+BX93-CG92,IF(A93&lt;'Données projet'!$A$114,$BV$205^A93,IF(A93='Données projet'!$A$114,'Données projet'!$B$114,BY92+BX93-CG92)))</f>
        <v>322.91900000000004</v>
      </c>
      <c r="BZ93" s="13">
        <f>BY93*VLOOKUP('Données projet'!$B$12,Paramètres!$A$1:$I$89,3,0)*VLOOKUP('Données projet'!$B$12,Paramètres!$A$1:$I$89,5,0)</f>
        <v>292.17711120000001</v>
      </c>
      <c r="CA93" s="13">
        <f t="shared" si="93"/>
        <v>69.533972115221403</v>
      </c>
      <c r="CB93" s="20">
        <f t="shared" si="64"/>
        <v>629.98013677401059</v>
      </c>
      <c r="CC93" s="59">
        <f t="shared" si="65"/>
        <v>918.19003317848546</v>
      </c>
      <c r="CD93" s="59">
        <f ca="1">AVERAGE(OFFSET($CC$3,0,0,'Données projet'!$E$12+1,1))-AVERAGE(OFFSET($H$3,0,0,'Données projet'!$E$12+1,1))</f>
        <v>471.03166569378629</v>
      </c>
      <c r="CE93" s="59">
        <f t="shared" si="94"/>
        <v>259.15709238853287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53.313336932942477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53.313336932942477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13.159999999999997</v>
      </c>
      <c r="CT93" s="12">
        <f>IF('Données projet'!$A$140&gt;35,CT92+CS93-DB92,IF(A93&lt;'Données projet'!$A$140,$CQ$205^A93,IF(A93='Données projet'!$A$140,'Données projet'!$B$140,CT92+CS93-DB92)))</f>
        <v>472.47999999999968</v>
      </c>
      <c r="CU93" s="17">
        <f>CT93*VLOOKUP('Données projet'!$B$13,Paramètres!$A$1:$I$89,3,0)*VLOOKUP('Données projet'!$B$13,Paramètres!$A$1:$I$89,5,0)</f>
        <v>221.12063999999984</v>
      </c>
      <c r="CV93" s="13">
        <f t="shared" si="95"/>
        <v>54.35837921673749</v>
      </c>
      <c r="CW93" s="20">
        <f t="shared" si="67"/>
        <v>479.79262513581756</v>
      </c>
      <c r="CX93" s="59">
        <f t="shared" si="68"/>
        <v>768.00252154029238</v>
      </c>
      <c r="CY93" s="59">
        <f ca="1">AVERAGE(OFFSET($CX$3,0,0,'Données projet'!$E$13+1,1))-AVERAGE(OFFSET($H$3,0,0,'Données projet'!$E$13+1,1))</f>
        <v>364.67256251031029</v>
      </c>
      <c r="CZ93" s="59">
        <f t="shared" si="96"/>
        <v>347.4139588390766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92.153416422795146</v>
      </c>
      <c r="DG93" s="21">
        <f>EXP(-LN(2)/25)*DG92+(1-EXP(-LN(2)/25))/(LN(2)/25)*Calculateur!DB93*Calculateur!DD93*VLOOKUP('Données projet'!$B$13,Paramètres!$A$1:$I$89,3,0)*0.475*44/12</f>
        <v>41.044256828671628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133.19767325146677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68.602699019402223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1.35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4.95</v>
      </c>
      <c r="H94" s="67">
        <f t="shared" si="56"/>
        <v>236.86666666666665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51.998489924038495</v>
      </c>
      <c r="T94" s="59">
        <f t="shared" si="88"/>
        <v>206.32767973856241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10.40085416521269</v>
      </c>
      <c r="AA94" s="21">
        <f>EXP(-LN(2)/25)*AA93+(1-EXP(-LN(2)/25))/(LN(2)/25)*Calculateur!V94*Calculateur!X94*VLOOKUP('Données projet'!$B$9,Paramètres!$A$1:$I$89,3,0)*0.475*44/12</f>
        <v>1.6378033527327864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12.038657517945477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356.02637444732096</v>
      </c>
      <c r="AO94" s="59">
        <f t="shared" si="90"/>
        <v>263.30053404008095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138.36892778979154</v>
      </c>
      <c r="AV94" s="21">
        <f>EXP(-LN(2)/25)*AV93+(1-EXP(-LN(2)/25))/(LN(2)/25)*Calculateur!AQ94*Calculateur!AS94*VLOOKUP('Données projet'!$B$10,Paramètres!$A$1:$I$89,3,0)*0.475*44/12</f>
        <v>59.517644223673571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197.88657201346513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6.3777777777777782</v>
      </c>
      <c r="BD94" s="12">
        <f>IF('Données projet'!$A$88&gt;35,BD93+BC94-BL93,IF(A94&lt;'Données projet'!$A$88,$BA$205^A94,IF(A94='Données projet'!$A$88,'Données projet'!$B$88,BD93+BC94-BL93)))</f>
        <v>219.73333333333341</v>
      </c>
      <c r="BE94" s="13">
        <f>BD94*VLOOKUP('Données projet'!$B$11,Paramètres!$A$1:$I$89,3,0)*VLOOKUP('Données projet'!$B$11,Paramètres!$A$1:$I$89,5,0)</f>
        <v>222.80960000000007</v>
      </c>
      <c r="BF94" s="13">
        <f t="shared" si="91"/>
        <v>54.725086663565122</v>
      </c>
      <c r="BG94" s="20">
        <f t="shared" si="61"/>
        <v>483.37291260570936</v>
      </c>
      <c r="BH94" s="59">
        <f t="shared" si="62"/>
        <v>771.67168918661082</v>
      </c>
      <c r="BI94" s="59">
        <f ca="1">AVERAGE(OFFSET($BH$3,0,0,'Données projet'!$E$11+1,1))-AVERAGE(OFFSET($H$3,0,0,'Données projet'!$E$11+1,1))</f>
        <v>478.2340976873212</v>
      </c>
      <c r="BJ94" s="59">
        <f t="shared" si="92"/>
        <v>342.90128902463823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46.323565411322505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46.323565411322505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9.2589999999999968</v>
      </c>
      <c r="BY94" s="12">
        <f>IF('Données projet'!$A$114&gt;35,BY93+BX94-CG93,IF(A94&lt;'Données projet'!$A$114,$BV$205^A94,IF(A94='Données projet'!$A$114,'Données projet'!$B$114,BY93+BX94-CG93)))</f>
        <v>332.17800000000005</v>
      </c>
      <c r="BZ94" s="13">
        <f>BY94*VLOOKUP('Données projet'!$B$12,Paramètres!$A$1:$I$89,3,0)*VLOOKUP('Données projet'!$B$12,Paramètres!$A$1:$I$89,5,0)</f>
        <v>300.55465440000006</v>
      </c>
      <c r="CA94" s="13">
        <f t="shared" si="93"/>
        <v>71.292727839304405</v>
      </c>
      <c r="CB94" s="20">
        <f t="shared" si="64"/>
        <v>647.63419073345528</v>
      </c>
      <c r="CC94" s="59">
        <f t="shared" si="65"/>
        <v>935.9329673143568</v>
      </c>
      <c r="CD94" s="59">
        <f ca="1">AVERAGE(OFFSET($CC$3,0,0,'Données projet'!$E$12+1,1))-AVERAGE(OFFSET($H$3,0,0,'Données projet'!$E$12+1,1))</f>
        <v>471.03166569378629</v>
      </c>
      <c r="CE94" s="59">
        <f t="shared" si="94"/>
        <v>259.15709238853287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52.267894913612125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52.267894913612125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13.159999999999997</v>
      </c>
      <c r="CT94" s="12">
        <f>IF('Données projet'!$A$140&gt;35,CT93+CS94-DB93,IF(A94&lt;'Données projet'!$A$140,$CQ$205^A94,IF(A94='Données projet'!$A$140,'Données projet'!$B$140,CT93+CS94-DB93)))</f>
        <v>485.63999999999965</v>
      </c>
      <c r="CU94" s="17">
        <f>CT94*VLOOKUP('Données projet'!$B$13,Paramètres!$A$1:$I$89,3,0)*VLOOKUP('Données projet'!$B$13,Paramètres!$A$1:$I$89,5,0)</f>
        <v>227.27951999999982</v>
      </c>
      <c r="CV94" s="13">
        <f t="shared" si="95"/>
        <v>55.694043418351256</v>
      </c>
      <c r="CW94" s="20">
        <f t="shared" si="67"/>
        <v>492.84562295362815</v>
      </c>
      <c r="CX94" s="59">
        <f t="shared" si="68"/>
        <v>781.14439953452961</v>
      </c>
      <c r="CY94" s="59">
        <f ca="1">AVERAGE(OFFSET($CX$3,0,0,'Données projet'!$E$13+1,1))-AVERAGE(OFFSET($H$3,0,0,'Données projet'!$E$13+1,1))</f>
        <v>364.67256251031029</v>
      </c>
      <c r="CZ94" s="59">
        <f t="shared" si="96"/>
        <v>347.4139588390766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90.346344134778064</v>
      </c>
      <c r="DG94" s="21">
        <f>EXP(-LN(2)/25)*DG93+(1-EXP(-LN(2)/25))/(LN(2)/25)*Calculateur!DB94*Calculateur!DD94*VLOOKUP('Données projet'!$B$13,Paramètres!$A$1:$I$89,3,0)*0.475*44/12</f>
        <v>39.921899467267941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130.268243602046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68.626939067518592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1.35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4.95</v>
      </c>
      <c r="H95" s="67">
        <f t="shared" si="56"/>
        <v>236.86666666666665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51.998489924038495</v>
      </c>
      <c r="T95" s="59">
        <f t="shared" si="88"/>
        <v>206.32767973856241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10.196899758927502</v>
      </c>
      <c r="AA95" s="21">
        <f>EXP(-LN(2)/25)*AA94+(1-EXP(-LN(2)/25))/(LN(2)/25)*Calculateur!V95*Calculateur!X95*VLOOKUP('Données projet'!$B$9,Paramètres!$A$1:$I$89,3,0)*0.475*44/12</f>
        <v>1.5930175339239734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11.789917292851475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356.02637444732096</v>
      </c>
      <c r="AO95" s="59">
        <f t="shared" si="90"/>
        <v>263.30053404008095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135.65559751254619</v>
      </c>
      <c r="AV95" s="21">
        <f>EXP(-LN(2)/25)*AV94+(1-EXP(-LN(2)/25))/(LN(2)/25)*Calculateur!AQ95*Calculateur!AS95*VLOOKUP('Données projet'!$B$10,Paramètres!$A$1:$I$89,3,0)*0.475*44/12</f>
        <v>57.89013111248034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193.54572862502653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6.3777777777777782</v>
      </c>
      <c r="BD95" s="12">
        <f>IF('Données projet'!$A$88&gt;35,BD94+BC95-BL94,IF(A95&lt;'Données projet'!$A$88,$BA$205^A95,IF(A95='Données projet'!$A$88,'Données projet'!$B$88,BD94+BC95-BL94)))</f>
        <v>226.11111111111117</v>
      </c>
      <c r="BE95" s="13">
        <f>BD95*VLOOKUP('Données projet'!$B$11,Paramètres!$A$1:$I$89,3,0)*VLOOKUP('Données projet'!$B$11,Paramètres!$A$1:$I$89,5,0)</f>
        <v>229.27666666666673</v>
      </c>
      <c r="BF95" s="13">
        <f t="shared" si="91"/>
        <v>56.126251292450398</v>
      </c>
      <c r="BG95" s="20">
        <f t="shared" si="61"/>
        <v>497.07674877879572</v>
      </c>
      <c r="BH95" s="59">
        <f t="shared" si="62"/>
        <v>785.46286366376921</v>
      </c>
      <c r="BI95" s="59">
        <f ca="1">AVERAGE(OFFSET($BH$3,0,0,'Données projet'!$E$11+1,1))-AVERAGE(OFFSET($H$3,0,0,'Données projet'!$E$11+1,1))</f>
        <v>478.2340976873212</v>
      </c>
      <c r="BJ95" s="59">
        <f t="shared" si="92"/>
        <v>342.90128902463823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45.415188548191466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45.415188548191466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9.2589999999999968</v>
      </c>
      <c r="BY95" s="12">
        <f>IF('Données projet'!$A$114&gt;35,BY94+BX95-CG94,IF(A95&lt;'Données projet'!$A$114,$BV$205^A95,IF(A95='Données projet'!$A$114,'Données projet'!$B$114,BY94+BX95-CG94)))</f>
        <v>341.43700000000007</v>
      </c>
      <c r="BZ95" s="13">
        <f>BY95*VLOOKUP('Données projet'!$B$12,Paramètres!$A$1:$I$89,3,0)*VLOOKUP('Données projet'!$B$12,Paramètres!$A$1:$I$89,5,0)</f>
        <v>308.93219760000005</v>
      </c>
      <c r="CA95" s="13">
        <f t="shared" si="93"/>
        <v>73.045785768520787</v>
      </c>
      <c r="CB95" s="20">
        <f t="shared" si="64"/>
        <v>665.27832103350704</v>
      </c>
      <c r="CC95" s="59">
        <f t="shared" si="65"/>
        <v>953.66443591848054</v>
      </c>
      <c r="CD95" s="59">
        <f ca="1">AVERAGE(OFFSET($CC$3,0,0,'Données projet'!$E$12+1,1))-AVERAGE(OFFSET($H$3,0,0,'Données projet'!$E$12+1,1))</f>
        <v>471.03166569378629</v>
      </c>
      <c r="CE95" s="59">
        <f t="shared" si="94"/>
        <v>259.15709238853287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51.242953374624172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51.242953374624172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13.159999999999997</v>
      </c>
      <c r="CT95" s="12">
        <f>IF('Données projet'!$A$140&gt;35,CT94+CS95-DB94,IF(A95&lt;'Données projet'!$A$140,$CQ$205^A95,IF(A95='Données projet'!$A$140,'Données projet'!$B$140,CT94+CS95-DB94)))</f>
        <v>498.79999999999961</v>
      </c>
      <c r="CU95" s="17">
        <f>CT95*VLOOKUP('Données projet'!$B$13,Paramètres!$A$1:$I$89,3,0)*VLOOKUP('Données projet'!$B$13,Paramètres!$A$1:$I$89,5,0)</f>
        <v>233.4383999999998</v>
      </c>
      <c r="CV95" s="13">
        <f t="shared" si="95"/>
        <v>57.025500710931574</v>
      </c>
      <c r="CW95" s="20">
        <f t="shared" si="67"/>
        <v>505.89129373820555</v>
      </c>
      <c r="CX95" s="59">
        <f t="shared" si="68"/>
        <v>794.2774086231791</v>
      </c>
      <c r="CY95" s="59">
        <f ca="1">AVERAGE(OFFSET($CX$3,0,0,'Données projet'!$E$13+1,1))-AVERAGE(OFFSET($H$3,0,0,'Données projet'!$E$13+1,1))</f>
        <v>364.67256251031029</v>
      </c>
      <c r="CZ95" s="59">
        <f t="shared" si="96"/>
        <v>347.4139588390766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88.574707432123745</v>
      </c>
      <c r="DG95" s="21">
        <f>EXP(-LN(2)/25)*DG94+(1-EXP(-LN(2)/25))/(LN(2)/25)*Calculateur!DB95*Calculateur!DD95*VLOOKUP('Données projet'!$B$13,Paramètres!$A$1:$I$89,3,0)*0.475*44/12</f>
        <v>38.830233026934046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127.4049404590578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68.650758604992774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1.35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4.95</v>
      </c>
      <c r="H96" s="67">
        <f t="shared" si="56"/>
        <v>236.86666666666665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51.998489924038495</v>
      </c>
      <c r="T96" s="59">
        <f t="shared" si="88"/>
        <v>206.32767973856241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9.9969447741496626</v>
      </c>
      <c r="AA96" s="21">
        <f>EXP(-LN(2)/25)*AA95+(1-EXP(-LN(2)/25))/(LN(2)/25)*Calculateur!V96*Calculateur!X96*VLOOKUP('Données projet'!$B$9,Paramètres!$A$1:$I$89,3,0)*0.475*44/12</f>
        <v>1.5494563856856711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11.546401159835334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356.02637444732096</v>
      </c>
      <c r="AO96" s="59">
        <f t="shared" si="90"/>
        <v>263.30053404008095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132.99547398706957</v>
      </c>
      <c r="AV96" s="21">
        <f>EXP(-LN(2)/25)*AV95+(1-EXP(-LN(2)/25))/(LN(2)/25)*Calculateur!AQ96*Calculateur!AS96*VLOOKUP('Données projet'!$B$10,Paramètres!$A$1:$I$89,3,0)*0.475*44/12</f>
        <v>56.307122432899881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189.30259641996946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6.3777777777777782</v>
      </c>
      <c r="BD96" s="12">
        <f>IF('Données projet'!$A$88&gt;35,BD95+BC96-BL95,IF(A96&lt;'Données projet'!$A$88,$BA$205^A96,IF(A96='Données projet'!$A$88,'Données projet'!$B$88,BD95+BC96-BL95)))</f>
        <v>232.48888888888894</v>
      </c>
      <c r="BE96" s="13">
        <f>BD96*VLOOKUP('Données projet'!$B$11,Paramètres!$A$1:$I$89,3,0)*VLOOKUP('Données projet'!$B$11,Paramètres!$A$1:$I$89,5,0)</f>
        <v>235.74373333333338</v>
      </c>
      <c r="BF96" s="13">
        <f t="shared" si="91"/>
        <v>57.522822484679857</v>
      </c>
      <c r="BG96" s="20">
        <f t="shared" si="61"/>
        <v>510.77258471637305</v>
      </c>
      <c r="BH96" s="59">
        <f t="shared" si="62"/>
        <v>799.24452278110209</v>
      </c>
      <c r="BI96" s="59">
        <f ca="1">AVERAGE(OFFSET($BH$3,0,0,'Données projet'!$E$11+1,1))-AVERAGE(OFFSET($H$3,0,0,'Données projet'!$E$11+1,1))</f>
        <v>478.2340976873212</v>
      </c>
      <c r="BJ96" s="59">
        <f t="shared" si="92"/>
        <v>342.90128902463823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44.524624401291248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44.524624401291248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9.2589999999999968</v>
      </c>
      <c r="BY96" s="12">
        <f>IF('Données projet'!$A$114&gt;35,BY95+BX96-CG95,IF(A96&lt;'Données projet'!$A$114,$BV$205^A96,IF(A96='Données projet'!$A$114,'Données projet'!$B$114,BY95+BX96-CG95)))</f>
        <v>350.69600000000008</v>
      </c>
      <c r="BZ96" s="13">
        <f>BY96*VLOOKUP('Données projet'!$B$12,Paramètres!$A$1:$I$89,3,0)*VLOOKUP('Données projet'!$B$12,Paramètres!$A$1:$I$89,5,0)</f>
        <v>317.30974080000004</v>
      </c>
      <c r="CA96" s="13">
        <f t="shared" si="93"/>
        <v>74.793318170111107</v>
      </c>
      <c r="CB96" s="20">
        <f t="shared" si="64"/>
        <v>682.91282770627686</v>
      </c>
      <c r="CC96" s="59">
        <f t="shared" si="65"/>
        <v>971.38476577100596</v>
      </c>
      <c r="CD96" s="59">
        <f ca="1">AVERAGE(OFFSET($CC$3,0,0,'Données projet'!$E$12+1,1))-AVERAGE(OFFSET($H$3,0,0,'Données projet'!$E$12+1,1))</f>
        <v>471.03166569378629</v>
      </c>
      <c r="CE96" s="59">
        <f t="shared" si="94"/>
        <v>259.15709238853287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50.238110314063164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50.238110314063164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13.159999999999997</v>
      </c>
      <c r="CT96" s="12">
        <f>IF('Données projet'!$A$140&gt;35,CT95+CS96-DB95,IF(A96&lt;'Données projet'!$A$140,$CQ$205^A96,IF(A96='Données projet'!$A$140,'Données projet'!$B$140,CT95+CS96-DB95)))</f>
        <v>511.95999999999958</v>
      </c>
      <c r="CU96" s="17">
        <f>CT96*VLOOKUP('Données projet'!$B$13,Paramètres!$A$1:$I$89,3,0)*VLOOKUP('Données projet'!$B$13,Paramètres!$A$1:$I$89,5,0)</f>
        <v>239.59727999999981</v>
      </c>
      <c r="CV96" s="13">
        <f t="shared" si="95"/>
        <v>58.352874845190904</v>
      </c>
      <c r="CW96" s="20">
        <f t="shared" si="67"/>
        <v>518.92985302204045</v>
      </c>
      <c r="CX96" s="59">
        <f t="shared" si="68"/>
        <v>807.40179108676944</v>
      </c>
      <c r="CY96" s="59">
        <f ca="1">AVERAGE(OFFSET($CX$3,0,0,'Données projet'!$E$13+1,1))-AVERAGE(OFFSET($H$3,0,0,'Données projet'!$E$13+1,1))</f>
        <v>364.67256251031029</v>
      </c>
      <c r="CZ96" s="59">
        <f t="shared" si="96"/>
        <v>347.4139588390766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86.837811444616776</v>
      </c>
      <c r="DG96" s="21">
        <f>EXP(-LN(2)/25)*DG95+(1-EXP(-LN(2)/25))/(LN(2)/25)*Calculateur!DB96*Calculateur!DD96*VLOOKUP('Données projet'!$B$13,Paramètres!$A$1:$I$89,3,0)*0.475*44/12</f>
        <v>37.768418262819324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124.6062297074361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68.674164926744282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1.35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4.95</v>
      </c>
      <c r="H97" s="67">
        <f t="shared" si="56"/>
        <v>236.86666666666665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51.998489924038495</v>
      </c>
      <c r="T97" s="59">
        <f t="shared" si="88"/>
        <v>206.32767973856241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9.8009107846628183</v>
      </c>
      <c r="AA97" s="21">
        <f>EXP(-LN(2)/25)*AA96+(1-EXP(-LN(2)/25))/(LN(2)/25)*Calculateur!V97*Calculateur!X97*VLOOKUP('Données projet'!$B$9,Paramètres!$A$1:$I$89,3,0)*0.475*44/12</f>
        <v>1.5070864193367264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11.307997203999545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356.02637444732096</v>
      </c>
      <c r="AO97" s="59">
        <f t="shared" si="90"/>
        <v>263.30053404008095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130.3875138614124</v>
      </c>
      <c r="AV97" s="21">
        <f>EXP(-LN(2)/25)*AV96+(1-EXP(-LN(2)/25))/(LN(2)/25)*Calculateur!AQ97*Calculateur!AS97*VLOOKUP('Données projet'!$B$10,Paramètres!$A$1:$I$89,3,0)*0.475*44/12</f>
        <v>54.767401208909355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185.15491507032175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6.3777777777777782</v>
      </c>
      <c r="BD97" s="12">
        <f>IF('Données projet'!$A$88&gt;35,BD96+BC97-BL96,IF(A97&lt;'Données projet'!$A$88,$BA$205^A97,IF(A97='Données projet'!$A$88,'Données projet'!$B$88,BD96+BC97-BL96)))</f>
        <v>238.8666666666667</v>
      </c>
      <c r="BE97" s="13">
        <f>BD97*VLOOKUP('Données projet'!$B$11,Paramètres!$A$1:$I$89,3,0)*VLOOKUP('Données projet'!$B$11,Paramètres!$A$1:$I$89,5,0)</f>
        <v>242.21080000000003</v>
      </c>
      <c r="BF97" s="13">
        <f t="shared" si="91"/>
        <v>58.914940729110256</v>
      </c>
      <c r="BG97" s="20">
        <f t="shared" si="61"/>
        <v>524.46066510320054</v>
      </c>
      <c r="BH97" s="59">
        <f t="shared" si="62"/>
        <v>813.01693750738832</v>
      </c>
      <c r="BI97" s="59">
        <f ca="1">AVERAGE(OFFSET($BH$3,0,0,'Données projet'!$E$11+1,1))-AVERAGE(OFFSET($H$3,0,0,'Données projet'!$E$11+1,1))</f>
        <v>478.2340976873212</v>
      </c>
      <c r="BJ97" s="59">
        <f t="shared" si="92"/>
        <v>342.90128902463823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43.65152367412125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43.65152367412125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9.2589999999999968</v>
      </c>
      <c r="BY97" s="12">
        <f>IF('Données projet'!$A$114&gt;35,BY96+BX97-CG96,IF(A97&lt;'Données projet'!$A$114,$BV$205^A97,IF(A97='Données projet'!$A$114,'Données projet'!$B$114,BY96+BX97-CG96)))</f>
        <v>359.9550000000001</v>
      </c>
      <c r="BZ97" s="13">
        <f>BY97*VLOOKUP('Données projet'!$B$12,Paramètres!$A$1:$I$89,3,0)*VLOOKUP('Données projet'!$B$12,Paramètres!$A$1:$I$89,5,0)</f>
        <v>325.68728400000009</v>
      </c>
      <c r="CA97" s="13">
        <f t="shared" si="93"/>
        <v>76.535487696988355</v>
      </c>
      <c r="CB97" s="20">
        <f t="shared" si="64"/>
        <v>700.53799403892162</v>
      </c>
      <c r="CC97" s="59">
        <f t="shared" si="65"/>
        <v>989.09426644310929</v>
      </c>
      <c r="CD97" s="59">
        <f ca="1">AVERAGE(OFFSET($CC$3,0,0,'Données projet'!$E$12+1,1))-AVERAGE(OFFSET($H$3,0,0,'Données projet'!$E$12+1,1))</f>
        <v>471.03166569378629</v>
      </c>
      <c r="CE97" s="59">
        <f t="shared" si="94"/>
        <v>259.15709238853287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49.252971613026006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49.252971613026006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13.159999999999997</v>
      </c>
      <c r="CT97" s="12">
        <f>IF('Données projet'!$A$140&gt;35,CT96+CS97-DB96,IF(A97&lt;'Données projet'!$A$140,$CQ$205^A97,IF(A97='Données projet'!$A$140,'Données projet'!$B$140,CT96+CS97-DB96)))</f>
        <v>525.11999999999955</v>
      </c>
      <c r="CU97" s="17">
        <f>CT97*VLOOKUP('Données projet'!$B$13,Paramètres!$A$1:$I$89,3,0)*VLOOKUP('Données projet'!$B$13,Paramètres!$A$1:$I$89,5,0)</f>
        <v>245.7561599999998</v>
      </c>
      <c r="CV97" s="13">
        <f t="shared" si="95"/>
        <v>59.67628284734046</v>
      </c>
      <c r="CW97" s="20">
        <f t="shared" si="67"/>
        <v>531.96150462578419</v>
      </c>
      <c r="CX97" s="59">
        <f t="shared" si="68"/>
        <v>820.51777702997197</v>
      </c>
      <c r="CY97" s="59">
        <f ca="1">AVERAGE(OFFSET($CX$3,0,0,'Données projet'!$E$13+1,1))-AVERAGE(OFFSET($H$3,0,0,'Données projet'!$E$13+1,1))</f>
        <v>364.67256251031029</v>
      </c>
      <c r="CZ97" s="59">
        <f t="shared" si="96"/>
        <v>347.4139588390766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85.134974928022885</v>
      </c>
      <c r="DG97" s="21">
        <f>EXP(-LN(2)/25)*DG96+(1-EXP(-LN(2)/25))/(LN(2)/25)*Calculateur!DB97*Calculateur!DD97*VLOOKUP('Données projet'!$B$13,Paramètres!$A$1:$I$89,3,0)*0.475*44/12</f>
        <v>36.735638879267732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121.87061380729062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68.697165201142113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1.35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4.95</v>
      </c>
      <c r="H98" s="67">
        <f t="shared" si="56"/>
        <v>236.86666666666665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51.998489924038495</v>
      </c>
      <c r="T98" s="59">
        <f t="shared" si="88"/>
        <v>206.32767973856241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9.6087209021408846</v>
      </c>
      <c r="AA98" s="21">
        <f>EXP(-LN(2)/25)*AA97+(1-EXP(-LN(2)/25))/(LN(2)/25)*Calculateur!V98*Calculateur!X98*VLOOKUP('Données projet'!$B$9,Paramètres!$A$1:$I$89,3,0)*0.475*44/12</f>
        <v>1.4658750619457332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11.074595964086617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356.02637444732096</v>
      </c>
      <c r="AO98" s="59">
        <f t="shared" si="90"/>
        <v>263.30053404008095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127.83069424312077</v>
      </c>
      <c r="AV98" s="21">
        <f>EXP(-LN(2)/25)*AV97+(1-EXP(-LN(2)/25))/(LN(2)/25)*Calculateur!AQ98*Calculateur!AS98*VLOOKUP('Données projet'!$B$10,Paramètres!$A$1:$I$89,3,0)*0.475*44/12</f>
        <v>53.269783742759273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181.10047798588005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6.3777777777777782</v>
      </c>
      <c r="BD98" s="12">
        <f>IF('Données projet'!$A$88&gt;35,BD97+BC98-BL97,IF(A98&lt;'Données projet'!$A$88,$BA$205^A98,IF(A98='Données projet'!$A$88,'Données projet'!$B$88,BD97+BC98-BL97)))</f>
        <v>245.24444444444447</v>
      </c>
      <c r="BE98" s="13">
        <f>BD98*VLOOKUP('Données projet'!$B$11,Paramètres!$A$1:$I$89,3,0)*VLOOKUP('Données projet'!$B$11,Paramètres!$A$1:$I$89,5,0)</f>
        <v>248.67786666666669</v>
      </c>
      <c r="BF98" s="13">
        <f t="shared" si="91"/>
        <v>60.302738585302372</v>
      </c>
      <c r="BG98" s="20">
        <f t="shared" si="61"/>
        <v>538.14122081384608</v>
      </c>
      <c r="BH98" s="59">
        <f t="shared" si="62"/>
        <v>826.78036454524613</v>
      </c>
      <c r="BI98" s="59">
        <f ca="1">AVERAGE(OFFSET($BH$3,0,0,'Données projet'!$E$11+1,1))-AVERAGE(OFFSET($H$3,0,0,'Données projet'!$E$11+1,1))</f>
        <v>478.2340976873212</v>
      </c>
      <c r="BJ98" s="59">
        <f t="shared" si="92"/>
        <v>342.90128902463823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42.795543919672191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42.795543919672191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9.2589999999999968</v>
      </c>
      <c r="BY98" s="12">
        <f>IF('Données projet'!$A$114&gt;35,BY97+BX98-CG97,IF(A98&lt;'Données projet'!$A$114,$BV$205^A98,IF(A98='Données projet'!$A$114,'Données projet'!$B$114,BY97+BX98-CG97)))</f>
        <v>369.21400000000011</v>
      </c>
      <c r="BZ98" s="13">
        <f>BY98*VLOOKUP('Données projet'!$B$12,Paramètres!$A$1:$I$89,3,0)*VLOOKUP('Données projet'!$B$12,Paramètres!$A$1:$I$89,5,0)</f>
        <v>334.06482720000008</v>
      </c>
      <c r="CA98" s="13">
        <f t="shared" si="93"/>
        <v>78.272448157632951</v>
      </c>
      <c r="CB98" s="20">
        <f t="shared" si="64"/>
        <v>718.15408791454411</v>
      </c>
      <c r="CC98" s="59">
        <f t="shared" si="65"/>
        <v>1006.7932316459442</v>
      </c>
      <c r="CD98" s="59">
        <f ca="1">AVERAGE(OFFSET($CC$3,0,0,'Données projet'!$E$12+1,1))-AVERAGE(OFFSET($H$3,0,0,'Données projet'!$E$12+1,1))</f>
        <v>471.03166569378629</v>
      </c>
      <c r="CE98" s="59">
        <f t="shared" si="94"/>
        <v>259.15709238853287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48.287150881040915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48.287150881040915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538.28</v>
      </c>
      <c r="CR98" s="12">
        <f>VLOOKUP(A98,'Données projet'!$A$139:$I$159,9,0)</f>
        <v>13.159999999999997</v>
      </c>
      <c r="CS98" s="12">
        <f t="array" ref="CS98">INDEX(CR:CR,MIN(IF(ISNUMBER(CR98:CR294),ROW(CR98:CR294),"")))</f>
        <v>13.159999999999997</v>
      </c>
      <c r="CT98" s="12">
        <f>IF('Données projet'!$A$140&gt;35,CT97+CS98-DB97,IF(A98&lt;'Données projet'!$A$140,$CQ$205^A98,IF(A98='Données projet'!$A$140,'Données projet'!$B$140,CT97+CS98-DB97)))</f>
        <v>538.27999999999952</v>
      </c>
      <c r="CU98" s="17">
        <f>CT98*VLOOKUP('Données projet'!$B$13,Paramètres!$A$1:$I$89,3,0)*VLOOKUP('Données projet'!$B$13,Paramètres!$A$1:$I$89,5,0)</f>
        <v>251.91503999999978</v>
      </c>
      <c r="CV98" s="13">
        <f t="shared" si="95"/>
        <v>60.995835543729605</v>
      </c>
      <c r="CW98" s="20">
        <f t="shared" si="67"/>
        <v>544.98644157199533</v>
      </c>
      <c r="CX98" s="59">
        <f t="shared" si="68"/>
        <v>833.62558530339538</v>
      </c>
      <c r="CY98" s="59">
        <f ca="1">AVERAGE(OFFSET($CX$3,0,0,'Données projet'!$E$13+1,1))-AVERAGE(OFFSET($H$3,0,0,'Données projet'!$E$13+1,1))</f>
        <v>364.67256251031029</v>
      </c>
      <c r="CZ98" s="59">
        <f t="shared" si="96"/>
        <v>347.4139588390766</v>
      </c>
      <c r="DA98" s="15">
        <f>IF(ISNA(VLOOKUP(A98,'Données projet'!$A$139:$I$159,3,0)),0,VLOOKUP(A98,'Données projet'!$A$139:$I$159,3,0))</f>
        <v>8</v>
      </c>
      <c r="DB98" s="15">
        <f>IF(ISNA(VLOOKUP(A98,'Données projet'!$A$139:$I$159,4,0)),0,VLOOKUP(A98,'Données projet'!$A$139:$I$159,4,0))</f>
        <v>268.81</v>
      </c>
      <c r="DC98" s="16">
        <f>IF(ISNA(VLOOKUP(A98,'Données projet'!$A$139:$I$159,5,0)),0%,VLOOKUP(A98,'Données projet'!$A$139:$I$159,5,0)*VLOOKUP('Données projet'!$B$13,Paramètres!$A$1:$I$89,7,0))</f>
        <v>0.38500000000000001</v>
      </c>
      <c r="DD98" s="16">
        <f>IF(ISNA(VLOOKUP(A98,'Données projet'!$A$139:$I$159,6,0)),0%,VLOOKUP(A98,'Données projet'!$A$139:$I$159,6,0)*VLOOKUP('Données projet'!$B$13,Paramètres!$A$1:$I$89,7,0))</f>
        <v>0.16500000000000001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147.71659930732619</v>
      </c>
      <c r="DG98" s="21">
        <f>EXP(-LN(2)/25)*DG97+(1-EXP(-LN(2)/25))/(LN(2)/25)*Calculateur!DB98*Calculateur!DD98*VLOOKUP('Données projet'!$B$13,Paramètres!$A$1:$I$89,3,0)*0.475*44/12</f>
        <v>63.158853060406258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210.87545236773246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68.719766472200035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1.35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4.95</v>
      </c>
      <c r="H99" s="67">
        <f t="shared" si="56"/>
        <v>236.86666666666665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51.998489924038495</v>
      </c>
      <c r="T99" s="59">
        <f t="shared" si="88"/>
        <v>206.32767973856241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9.4202997459909525</v>
      </c>
      <c r="AA99" s="21">
        <f>EXP(-LN(2)/25)*AA98+(1-EXP(-LN(2)/25))/(LN(2)/25)*Calculateur!V99*Calculateur!X99*VLOOKUP('Données projet'!$B$9,Paramètres!$A$1:$I$89,3,0)*0.475*44/12</f>
        <v>1.4257906312898079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10.84609037728076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356.02637444732096</v>
      </c>
      <c r="AO99" s="59">
        <f t="shared" si="90"/>
        <v>263.30053404008095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125.32401229803786</v>
      </c>
      <c r="AV99" s="21">
        <f>EXP(-LN(2)/25)*AV98+(1-EXP(-LN(2)/25))/(LN(2)/25)*Calculateur!AQ99*Calculateur!AS99*VLOOKUP('Données projet'!$B$10,Paramètres!$A$1:$I$89,3,0)*0.475*44/12</f>
        <v>51.813118704977342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177.13713100301521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6.3777777777777782</v>
      </c>
      <c r="BD99" s="12">
        <f>IF('Données projet'!$A$88&gt;35,BD98+BC99-BL98,IF(A99&lt;'Données projet'!$A$88,$BA$205^A99,IF(A99='Données projet'!$A$88,'Données projet'!$B$88,BD98+BC99-BL98)))</f>
        <v>251.62222222222223</v>
      </c>
      <c r="BE99" s="13">
        <f>BD99*VLOOKUP('Données projet'!$B$11,Paramètres!$A$1:$I$89,3,0)*VLOOKUP('Données projet'!$B$11,Paramètres!$A$1:$I$89,5,0)</f>
        <v>255.14493333333337</v>
      </c>
      <c r="BF99" s="13">
        <f t="shared" si="91"/>
        <v>61.686341325467417</v>
      </c>
      <c r="BG99" s="20">
        <f t="shared" si="61"/>
        <v>551.8144700307447</v>
      </c>
      <c r="BH99" s="59">
        <f t="shared" si="62"/>
        <v>840.53504745710268</v>
      </c>
      <c r="BI99" s="59">
        <f ca="1">AVERAGE(OFFSET($BH$3,0,0,'Données projet'!$E$11+1,1))-AVERAGE(OFFSET($H$3,0,0,'Données projet'!$E$11+1,1))</f>
        <v>478.2340976873212</v>
      </c>
      <c r="BJ99" s="59">
        <f t="shared" si="92"/>
        <v>342.90128902463823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41.956349406111784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41.956349406111784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9.2589999999999968</v>
      </c>
      <c r="BY99" s="12">
        <f>IF('Données projet'!$A$114&gt;35,BY98+BX99-CG98,IF(A99&lt;'Données projet'!$A$114,$BV$205^A99,IF(A99='Données projet'!$A$114,'Données projet'!$B$114,BY98+BX99-CG98)))</f>
        <v>378.47300000000013</v>
      </c>
      <c r="BZ99" s="13">
        <f>BY99*VLOOKUP('Données projet'!$B$12,Paramètres!$A$1:$I$89,3,0)*VLOOKUP('Données projet'!$B$12,Paramètres!$A$1:$I$89,5,0)</f>
        <v>342.44237040000013</v>
      </c>
      <c r="CA99" s="13">
        <f t="shared" si="93"/>
        <v>80.004345206585086</v>
      </c>
      <c r="CB99" s="20">
        <f t="shared" si="64"/>
        <v>735.76136301480255</v>
      </c>
      <c r="CC99" s="59">
        <f t="shared" si="65"/>
        <v>1024.4819404411605</v>
      </c>
      <c r="CD99" s="59">
        <f ca="1">AVERAGE(OFFSET($CC$3,0,0,'Données projet'!$E$12+1,1))-AVERAGE(OFFSET($H$3,0,0,'Données projet'!$E$12+1,1))</f>
        <v>471.03166569378629</v>
      </c>
      <c r="CE99" s="59">
        <f t="shared" si="94"/>
        <v>259.15709238853287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47.34026930451757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47.34026930451757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8.7210000000000036</v>
      </c>
      <c r="CT99" s="12">
        <f>IF('Données projet'!$A$140&gt;35,CT98+CS99-DB98,IF(A99&lt;'Données projet'!$A$140,$CQ$205^A99,IF(A99='Données projet'!$A$140,'Données projet'!$B$140,CT98+CS99-DB98)))</f>
        <v>278.19099999999952</v>
      </c>
      <c r="CU99" s="17">
        <f>CT99*VLOOKUP('Données projet'!$B$13,Paramètres!$A$1:$I$89,3,0)*VLOOKUP('Données projet'!$B$13,Paramètres!$A$1:$I$89,5,0)</f>
        <v>130.19338799999977</v>
      </c>
      <c r="CV99" s="13">
        <f t="shared" si="95"/>
        <v>34.041041754414536</v>
      </c>
      <c r="CW99" s="20">
        <f t="shared" si="67"/>
        <v>286.04163182227154</v>
      </c>
      <c r="CX99" s="59">
        <f t="shared" si="68"/>
        <v>574.76220924862946</v>
      </c>
      <c r="CY99" s="59">
        <f ca="1">AVERAGE(OFFSET($CX$3,0,0,'Données projet'!$E$13+1,1))-AVERAGE(OFFSET($H$3,0,0,'Données projet'!$E$13+1,1))</f>
        <v>364.67256251031029</v>
      </c>
      <c r="CZ99" s="59">
        <f t="shared" si="96"/>
        <v>347.4139588390766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144.81996689313866</v>
      </c>
      <c r="DG99" s="21">
        <f>EXP(-LN(2)/25)*DG98+(1-EXP(-LN(2)/25))/(LN(2)/25)*Calculateur!DB99*Calculateur!DD99*VLOOKUP('Données projet'!$B$13,Paramètres!$A$1:$I$89,3,0)*0.475*44/12</f>
        <v>61.431770902089717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206.25173779522837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68.741975661733989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1.35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4.95</v>
      </c>
      <c r="H100" s="67">
        <f t="shared" si="56"/>
        <v>236.86666666666665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51.998489924038495</v>
      </c>
      <c r="T100" s="59">
        <f t="shared" si="88"/>
        <v>206.32767973856241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9.2355734137875629</v>
      </c>
      <c r="AA100" s="21">
        <f>EXP(-LN(2)/25)*AA99+(1-EXP(-LN(2)/25))/(LN(2)/25)*Calculateur!V100*Calculateur!X100*VLOOKUP('Données projet'!$B$9,Paramètres!$A$1:$I$89,3,0)*0.475*44/12</f>
        <v>1.3868023114981174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10.62237572528568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356.02637444732096</v>
      </c>
      <c r="AO100" s="59">
        <f t="shared" si="90"/>
        <v>263.30053404008095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122.866484856973</v>
      </c>
      <c r="AV100" s="21">
        <f>EXP(-LN(2)/25)*AV99+(1-EXP(-LN(2)/25))/(LN(2)/25)*Calculateur!AQ100*Calculateur!AS100*VLOOKUP('Données projet'!$B$10,Paramètres!$A$1:$I$89,3,0)*0.475*44/12</f>
        <v>50.396286249256242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173.26277110622925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258</v>
      </c>
      <c r="BB100" s="12">
        <f>VLOOKUP(A100,'Données projet'!$A$87:$I$107,9,0)</f>
        <v>6.3777777777777782</v>
      </c>
      <c r="BC100" s="12">
        <f t="array" ref="BC100">INDEX(BB:BB,MIN(IF(ISNUMBER(BB100:BB296),ROW(BB100:BB296),"")))</f>
        <v>6.3777777777777782</v>
      </c>
      <c r="BD100" s="12">
        <f>IF('Données projet'!$A$88&gt;35,BD99+BC100-BL99,IF(A100&lt;'Données projet'!$A$88,$BA$205^A100,IF(A100='Données projet'!$A$88,'Données projet'!$B$88,BD99+BC100-BL99)))</f>
        <v>258</v>
      </c>
      <c r="BE100" s="13">
        <f>BD100*VLOOKUP('Données projet'!$B$11,Paramètres!$A$1:$I$89,3,0)*VLOOKUP('Données projet'!$B$11,Paramètres!$A$1:$I$89,5,0)</f>
        <v>261.61200000000002</v>
      </c>
      <c r="BF100" s="13">
        <f t="shared" si="91"/>
        <v>63.065867509496442</v>
      </c>
      <c r="BG100" s="20">
        <f t="shared" si="61"/>
        <v>565.48061924570629</v>
      </c>
      <c r="BH100" s="59">
        <f t="shared" si="62"/>
        <v>854.28121767447306</v>
      </c>
      <c r="BI100" s="59">
        <f ca="1">AVERAGE(OFFSET($BH$3,0,0,'Données projet'!$E$11+1,1))-AVERAGE(OFFSET($H$3,0,0,'Données projet'!$E$11+1,1))</f>
        <v>478.2340976873212</v>
      </c>
      <c r="BJ100" s="59">
        <f t="shared" si="92"/>
        <v>342.90128902463823</v>
      </c>
      <c r="BK100" s="15">
        <f>IF(ISNA(VLOOKUP(A100,'Données projet'!$A$87:$I$107,3,0)),0,VLOOKUP(A100,'Données projet'!$A$87:$I$107,3,0))</f>
        <v>8</v>
      </c>
      <c r="BL100" s="15">
        <f>IF(ISNA(VLOOKUP(A100,'Données projet'!$A$87:$I$107,4,0)),0,VLOOKUP(A100,'Données projet'!$A$87:$I$107,4,0))</f>
        <v>44.17</v>
      </c>
      <c r="BM100" s="16">
        <f>IF(ISNA(VLOOKUP(A100,'Données projet'!$A$87:$I$107,5,0)),0%,VLOOKUP(A100,'Données projet'!$A$87:$I$107,5,0)*VLOOKUP('Données projet'!$B$11,Paramètres!$A$1:$I$89,7,0))</f>
        <v>0.25800000000000001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53.907765663918809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53.907765663918809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9.2589999999999968</v>
      </c>
      <c r="BY100" s="12">
        <f>IF('Données projet'!$A$114&gt;35,BY99+BX100-CG99,IF(A100&lt;'Données projet'!$A$114,$BV$205^A100,IF(A100='Données projet'!$A$114,'Données projet'!$B$114,BY99+BX100-CG99)))</f>
        <v>387.73200000000014</v>
      </c>
      <c r="BZ100" s="13">
        <f>BY100*VLOOKUP('Données projet'!$B$12,Paramètres!$A$1:$I$89,3,0)*VLOOKUP('Données projet'!$B$12,Paramètres!$A$1:$I$89,5,0)</f>
        <v>350.81991360000012</v>
      </c>
      <c r="CA100" s="13">
        <f t="shared" si="93"/>
        <v>81.731316965466036</v>
      </c>
      <c r="CB100" s="20">
        <f t="shared" si="64"/>
        <v>753.36005990152023</v>
      </c>
      <c r="CC100" s="59">
        <f t="shared" si="65"/>
        <v>1042.1606583302869</v>
      </c>
      <c r="CD100" s="59">
        <f ca="1">AVERAGE(OFFSET($CC$3,0,0,'Données projet'!$E$12+1,1))-AVERAGE(OFFSET($H$3,0,0,'Données projet'!$E$12+1,1))</f>
        <v>471.03166569378629</v>
      </c>
      <c r="CE100" s="59">
        <f t="shared" si="94"/>
        <v>259.15709238853287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46.411955498169114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46.411955498169114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8.7210000000000036</v>
      </c>
      <c r="CT100" s="12">
        <f>IF('Données projet'!$A$140&gt;35,CT99+CS100-DB99,IF(A100&lt;'Données projet'!$A$140,$CQ$205^A100,IF(A100='Données projet'!$A$140,'Données projet'!$B$140,CT99+CS100-DB99)))</f>
        <v>286.91199999999952</v>
      </c>
      <c r="CU100" s="17">
        <f>CT100*VLOOKUP('Données projet'!$B$13,Paramètres!$A$1:$I$89,3,0)*VLOOKUP('Données projet'!$B$13,Paramètres!$A$1:$I$89,5,0)</f>
        <v>134.27481599999979</v>
      </c>
      <c r="CV100" s="13">
        <f t="shared" si="95"/>
        <v>34.982276112724144</v>
      </c>
      <c r="CW100" s="20">
        <f t="shared" si="67"/>
        <v>294.78943542966084</v>
      </c>
      <c r="CX100" s="59">
        <f t="shared" si="68"/>
        <v>583.59003385842755</v>
      </c>
      <c r="CY100" s="59">
        <f ca="1">AVERAGE(OFFSET($CX$3,0,0,'Données projet'!$E$13+1,1))-AVERAGE(OFFSET($H$3,0,0,'Données projet'!$E$13+1,1))</f>
        <v>364.67256251031029</v>
      </c>
      <c r="CZ100" s="59">
        <f t="shared" si="96"/>
        <v>347.4139588390766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141.98013567382199</v>
      </c>
      <c r="DG100" s="21">
        <f>EXP(-LN(2)/25)*DG99+(1-EXP(-LN(2)/25))/(LN(2)/25)*Calculateur!DB100*Calculateur!DD100*VLOOKUP('Données projet'!$B$13,Paramètres!$A$1:$I$89,3,0)*0.475*44/12</f>
        <v>59.75191589621565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201.73205157003764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68.763799571481826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1.35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4.95</v>
      </c>
      <c r="H101" s="67">
        <f t="shared" si="56"/>
        <v>236.86666666666665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51.998489924038495</v>
      </c>
      <c r="T101" s="59">
        <f t="shared" si="88"/>
        <v>206.32767973856241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9.0544694522867442</v>
      </c>
      <c r="AA101" s="21">
        <f>EXP(-LN(2)/25)*AA100+(1-EXP(-LN(2)/25))/(LN(2)/25)*Calculateur!V101*Calculateur!X101*VLOOKUP('Données projet'!$B$9,Paramètres!$A$1:$I$89,3,0)*0.475*44/12</f>
        <v>1.3488801293614374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10.403349581648182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356.02637444732096</v>
      </c>
      <c r="AO101" s="59">
        <f t="shared" si="90"/>
        <v>263.30053404008095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120.4571480300837</v>
      </c>
      <c r="AV101" s="21">
        <f>EXP(-LN(2)/25)*AV100+(1-EXP(-LN(2)/25))/(LN(2)/25)*Calculateur!AQ101*Calculateur!AS101*VLOOKUP('Données projet'!$B$10,Paramètres!$A$1:$I$89,3,0)*0.475*44/12</f>
        <v>49.018197151544818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169.47534518162851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6.2180000000000009</v>
      </c>
      <c r="BD101" s="12">
        <f>IF('Données projet'!$A$88&gt;35,BD100+BC101-BL100,IF(A101&lt;'Données projet'!$A$88,$BA$205^A101,IF(A101='Données projet'!$A$88,'Données projet'!$B$88,BD100+BC101-BL100)))</f>
        <v>220.048</v>
      </c>
      <c r="BE101" s="13">
        <f>BD101*VLOOKUP('Données projet'!$B$11,Paramètres!$A$1:$I$89,3,0)*VLOOKUP('Données projet'!$B$11,Paramètres!$A$1:$I$89,5,0)</f>
        <v>223.12867200000002</v>
      </c>
      <c r="BF101" s="13">
        <f t="shared" si="91"/>
        <v>54.794327257168007</v>
      </c>
      <c r="BG101" s="20">
        <f t="shared" si="61"/>
        <v>484.04922370623427</v>
      </c>
      <c r="BH101" s="59">
        <f t="shared" si="62"/>
        <v>772.92845495191807</v>
      </c>
      <c r="BI101" s="59">
        <f ca="1">AVERAGE(OFFSET($BH$3,0,0,'Données projet'!$E$11+1,1))-AVERAGE(OFFSET($H$3,0,0,'Données projet'!$E$11+1,1))</f>
        <v>478.2340976873212</v>
      </c>
      <c r="BJ101" s="59">
        <f t="shared" si="92"/>
        <v>342.90128902463823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52.850667259739737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52.850667259739737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9.2589999999999968</v>
      </c>
      <c r="BY101" s="12">
        <f>IF('Données projet'!$A$114&gt;35,BY100+BX101-CG100,IF(A101&lt;'Données projet'!$A$114,$BV$205^A101,IF(A101='Données projet'!$A$114,'Données projet'!$B$114,BY100+BX101-CG100)))</f>
        <v>396.99100000000016</v>
      </c>
      <c r="BZ101" s="13">
        <f>BY101*VLOOKUP('Données projet'!$B$12,Paramètres!$A$1:$I$89,3,0)*VLOOKUP('Données projet'!$B$12,Paramètres!$A$1:$I$89,5,0)</f>
        <v>359.19745680000011</v>
      </c>
      <c r="CA101" s="13">
        <f t="shared" si="93"/>
        <v>83.453494583008592</v>
      </c>
      <c r="CB101" s="20">
        <f t="shared" si="64"/>
        <v>770.95040699207345</v>
      </c>
      <c r="CC101" s="59">
        <f t="shared" si="65"/>
        <v>1059.8296382377573</v>
      </c>
      <c r="CD101" s="59">
        <f ca="1">AVERAGE(OFFSET($CC$3,0,0,'Données projet'!$E$12+1,1))-AVERAGE(OFFSET($H$3,0,0,'Données projet'!$E$12+1,1))</f>
        <v>471.03166569378629</v>
      </c>
      <c r="CE101" s="59">
        <f t="shared" si="94"/>
        <v>259.15709238853287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45.501845359347641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45.501845359347641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8.7210000000000036</v>
      </c>
      <c r="CT101" s="12">
        <f>IF('Données projet'!$A$140&gt;35,CT100+CS101-DB100,IF(A101&lt;'Données projet'!$A$140,$CQ$205^A101,IF(A101='Données projet'!$A$140,'Données projet'!$B$140,CT100+CS101-DB100)))</f>
        <v>295.63299999999953</v>
      </c>
      <c r="CU101" s="17">
        <f>CT101*VLOOKUP('Données projet'!$B$13,Paramètres!$A$1:$I$89,3,0)*VLOOKUP('Données projet'!$B$13,Paramètres!$A$1:$I$89,5,0)</f>
        <v>138.35624399999978</v>
      </c>
      <c r="CV101" s="13">
        <f t="shared" si="95"/>
        <v>35.920185629681562</v>
      </c>
      <c r="CW101" s="20">
        <f t="shared" si="67"/>
        <v>303.53144827169496</v>
      </c>
      <c r="CX101" s="59">
        <f t="shared" si="68"/>
        <v>592.41067951737875</v>
      </c>
      <c r="CY101" s="59">
        <f ca="1">AVERAGE(OFFSET($CX$3,0,0,'Données projet'!$E$13+1,1))-AVERAGE(OFFSET($H$3,0,0,'Données projet'!$E$13+1,1))</f>
        <v>364.67256251031029</v>
      </c>
      <c r="CZ101" s="59">
        <f t="shared" si="96"/>
        <v>347.4139588390766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139.19599181259014</v>
      </c>
      <c r="DG101" s="21">
        <f>EXP(-LN(2)/25)*DG100+(1-EXP(-LN(2)/25))/(LN(2)/25)*Calculateur!DB101*Calculateur!DD101*VLOOKUP('Données projet'!$B$13,Paramètres!$A$1:$I$89,3,0)*0.475*44/12</f>
        <v>58.117996613816942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197.31398842640709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68.785244885186501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1.35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4.95</v>
      </c>
      <c r="H102" s="67">
        <f t="shared" si="56"/>
        <v>236.86666666666665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51.998489924038495</v>
      </c>
      <c r="T102" s="59">
        <f t="shared" si="88"/>
        <v>206.32767973856241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8.8769168290084473</v>
      </c>
      <c r="AA102" s="21">
        <f>EXP(-LN(2)/25)*AA101+(1-EXP(-LN(2)/25))/(LN(2)/25)*Calculateur!V102*Calculateur!X102*VLOOKUP('Données projet'!$B$9,Paramètres!$A$1:$I$89,3,0)*0.475*44/12</f>
        <v>1.3119949312895258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10.188911760297973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356.02637444732096</v>
      </c>
      <c r="AO102" s="59">
        <f t="shared" si="90"/>
        <v>263.30053404008095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118.09505682881934</v>
      </c>
      <c r="AV102" s="21">
        <f>EXP(-LN(2)/25)*AV101+(1-EXP(-LN(2)/25))/(LN(2)/25)*Calculateur!AQ102*Calculateur!AS102*VLOOKUP('Données projet'!$B$10,Paramètres!$A$1:$I$89,3,0)*0.475*44/12</f>
        <v>47.677791972680872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165.7728488015002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6.2180000000000009</v>
      </c>
      <c r="BD102" s="12">
        <f>IF('Données projet'!$A$88&gt;35,BD101+BC102-BL101,IF(A102&lt;'Données projet'!$A$88,$BA$205^A102,IF(A102='Données projet'!$A$88,'Données projet'!$B$88,BD101+BC102-BL101)))</f>
        <v>226.26599999999999</v>
      </c>
      <c r="BE102" s="13">
        <f>BD102*VLOOKUP('Données projet'!$B$11,Paramètres!$A$1:$I$89,3,0)*VLOOKUP('Données projet'!$B$11,Paramètres!$A$1:$I$89,5,0)</f>
        <v>229.43372400000001</v>
      </c>
      <c r="BF102" s="13">
        <f t="shared" si="91"/>
        <v>56.160221859279929</v>
      </c>
      <c r="BG102" s="20">
        <f t="shared" si="61"/>
        <v>497.40945570491255</v>
      </c>
      <c r="BH102" s="59">
        <f t="shared" si="62"/>
        <v>786.36595566393657</v>
      </c>
      <c r="BI102" s="59">
        <f ca="1">AVERAGE(OFFSET($BH$3,0,0,'Données projet'!$E$11+1,1))-AVERAGE(OFFSET($H$3,0,0,'Données projet'!$E$11+1,1))</f>
        <v>478.2340976873212</v>
      </c>
      <c r="BJ102" s="59">
        <f t="shared" si="92"/>
        <v>342.90128902463823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51.814297910500258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51.814297910500258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406.25</v>
      </c>
      <c r="BW102" s="12">
        <f>VLOOKUP(A102,'Données projet'!$A$113:$I$133,9,0)</f>
        <v>9.2589999999999968</v>
      </c>
      <c r="BX102" s="12">
        <f t="array" ref="BX102">INDEX(BW:BW,MIN(IF(ISNUMBER(BW102:BW298),ROW(BW102:BW298),"")))</f>
        <v>9.2589999999999968</v>
      </c>
      <c r="BY102" s="12">
        <f>IF('Données projet'!$A$114&gt;35,BY101+BX102-CG101,IF(A102&lt;'Données projet'!$A$114,$BV$205^A102,IF(A102='Données projet'!$A$114,'Données projet'!$B$114,BY101+BX102-CG101)))</f>
        <v>406.25000000000017</v>
      </c>
      <c r="BZ102" s="13">
        <f>BY102*VLOOKUP('Données projet'!$B$12,Paramètres!$A$1:$I$89,3,0)*VLOOKUP('Données projet'!$B$12,Paramètres!$A$1:$I$89,5,0)</f>
        <v>367.57500000000016</v>
      </c>
      <c r="CA102" s="13">
        <f t="shared" si="93"/>
        <v>85.171002741368952</v>
      </c>
      <c r="CB102" s="20">
        <f t="shared" si="64"/>
        <v>788.53262144121788</v>
      </c>
      <c r="CC102" s="59">
        <f t="shared" si="65"/>
        <v>1077.4891214002419</v>
      </c>
      <c r="CD102" s="59">
        <f ca="1">AVERAGE(OFFSET($CC$3,0,0,'Données projet'!$E$12+1,1))-AVERAGE(OFFSET($H$3,0,0,'Données projet'!$E$12+1,1))</f>
        <v>471.03166569378629</v>
      </c>
      <c r="CE102" s="59">
        <f t="shared" si="94"/>
        <v>259.15709238853287</v>
      </c>
      <c r="CF102" s="15">
        <f>IF(ISNA(VLOOKUP(A102,'Données projet'!$A$113:$I$133,3,0)),0,VLOOKUP(A102,'Données projet'!$A$113:$I$133,3,0))</f>
        <v>10</v>
      </c>
      <c r="CG102" s="15">
        <f>IF(ISNA(VLOOKUP(A102,'Données projet'!$A$113:$I$133,4,0)),0,VLOOKUP(A102,'Données projet'!$A$113:$I$133,4,0))</f>
        <v>62.89</v>
      </c>
      <c r="CH102" s="16">
        <f>IF(ISNA(VLOOKUP(A102,'Données projet'!$A$113:$I$133,5,0)),0%,VLOOKUP(A102,'Données projet'!$A$113:$I$133,5,0)*VLOOKUP('Données projet'!$B$12,Paramètres!$A$1:$I$89,7,0))</f>
        <v>0.25800000000000001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60.838927317875644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60.838927317875644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8.7210000000000036</v>
      </c>
      <c r="CT102" s="12">
        <f>IF('Données projet'!$A$140&gt;35,CT101+CS102-DB101,IF(A102&lt;'Données projet'!$A$140,$CQ$205^A102,IF(A102='Données projet'!$A$140,'Données projet'!$B$140,CT101+CS102-DB101)))</f>
        <v>304.35399999999953</v>
      </c>
      <c r="CU102" s="17">
        <f>CT102*VLOOKUP('Données projet'!$B$13,Paramètres!$A$1:$I$89,3,0)*VLOOKUP('Données projet'!$B$13,Paramètres!$A$1:$I$89,5,0)</f>
        <v>142.43767199999976</v>
      </c>
      <c r="CV102" s="13">
        <f t="shared" si="95"/>
        <v>36.854879647142347</v>
      </c>
      <c r="CW102" s="20">
        <f t="shared" si="67"/>
        <v>312.26786078543915</v>
      </c>
      <c r="CX102" s="59">
        <f t="shared" si="68"/>
        <v>601.22436074446318</v>
      </c>
      <c r="CY102" s="59">
        <f ca="1">AVERAGE(OFFSET($CX$3,0,0,'Données projet'!$E$13+1,1))-AVERAGE(OFFSET($H$3,0,0,'Données projet'!$E$13+1,1))</f>
        <v>364.67256251031029</v>
      </c>
      <c r="CZ102" s="59">
        <f t="shared" si="96"/>
        <v>347.4139588390766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136.46644331431696</v>
      </c>
      <c r="DG102" s="21">
        <f>EXP(-LN(2)/25)*DG101+(1-EXP(-LN(2)/25))/(LN(2)/25)*Calculateur!DB102*Calculateur!DD102*VLOOKUP('Données projet'!$B$13,Paramètres!$A$1:$I$89,3,0)*0.475*44/12</f>
        <v>56.528756940119507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192.99520025443647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68.806318170642925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1.35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4.95</v>
      </c>
      <c r="H103" s="67">
        <f t="shared" si="56"/>
        <v>236.86666666666665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51.998489924038495</v>
      </c>
      <c r="T103" s="59">
        <f t="shared" si="88"/>
        <v>206.32767973856241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8.7028459043762307</v>
      </c>
      <c r="AA103" s="21">
        <f>EXP(-LN(2)/25)*AA102+(1-EXP(-LN(2)/25))/(LN(2)/25)*Calculateur!V103*Calculateur!X103*VLOOKUP('Données projet'!$B$9,Paramètres!$A$1:$I$89,3,0)*0.475*44/12</f>
        <v>1.2761183608985989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9.9789642652748292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356.02637444732096</v>
      </c>
      <c r="AO103" s="59">
        <f t="shared" si="90"/>
        <v>263.30053404008095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115.7792847952784</v>
      </c>
      <c r="AV103" s="21">
        <f>EXP(-LN(2)/25)*AV102+(1-EXP(-LN(2)/25))/(LN(2)/25)*Calculateur!AQ103*Calculateur!AS103*VLOOKUP('Données projet'!$B$10,Paramètres!$A$1:$I$89,3,0)*0.475*44/12</f>
        <v>46.374040243921804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162.15332503920021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6.2180000000000009</v>
      </c>
      <c r="BD103" s="12">
        <f>IF('Données projet'!$A$88&gt;35,BD102+BC103-BL102,IF(A103&lt;'Données projet'!$A$88,$BA$205^A103,IF(A103='Données projet'!$A$88,'Données projet'!$B$88,BD102+BC103-BL102)))</f>
        <v>232.48399999999998</v>
      </c>
      <c r="BE103" s="13">
        <f>BD103*VLOOKUP('Données projet'!$B$11,Paramètres!$A$1:$I$89,3,0)*VLOOKUP('Données projet'!$B$11,Paramètres!$A$1:$I$89,5,0)</f>
        <v>235.738776</v>
      </c>
      <c r="BF103" s="13">
        <f t="shared" si="91"/>
        <v>57.521753665123917</v>
      </c>
      <c r="BG103" s="20">
        <f t="shared" si="61"/>
        <v>510.76208916675745</v>
      </c>
      <c r="BH103" s="59">
        <f t="shared" si="62"/>
        <v>799.79451739969227</v>
      </c>
      <c r="BI103" s="59">
        <f ca="1">AVERAGE(OFFSET($BH$3,0,0,'Données projet'!$E$11+1,1))-AVERAGE(OFFSET($H$3,0,0,'Données projet'!$E$11+1,1))</f>
        <v>478.2340976873212</v>
      </c>
      <c r="BJ103" s="59">
        <f t="shared" si="92"/>
        <v>342.90128902463823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50.79825113207648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50.79825113207648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9.0440000000000005</v>
      </c>
      <c r="BY103" s="12">
        <f>IF('Données projet'!$A$114&gt;35,BY102+BX103-CG102,IF(A103&lt;'Données projet'!$A$114,$BV$205^A103,IF(A103='Données projet'!$A$114,'Données projet'!$B$114,BY102+BX103-CG102)))</f>
        <v>352.40400000000017</v>
      </c>
      <c r="BZ103" s="13">
        <f>BY103*VLOOKUP('Données projet'!$B$12,Paramètres!$A$1:$I$89,3,0)*VLOOKUP('Données projet'!$B$12,Paramètres!$A$1:$I$89,5,0)</f>
        <v>318.85513920000011</v>
      </c>
      <c r="CA103" s="13">
        <f t="shared" si="93"/>
        <v>75.115093441628431</v>
      </c>
      <c r="CB103" s="20">
        <f t="shared" si="64"/>
        <v>686.16482185083635</v>
      </c>
      <c r="CC103" s="59">
        <f t="shared" si="65"/>
        <v>975.19725008377122</v>
      </c>
      <c r="CD103" s="59">
        <f ca="1">AVERAGE(OFFSET($CC$3,0,0,'Données projet'!$E$12+1,1))-AVERAGE(OFFSET($H$3,0,0,'Données projet'!$E$12+1,1))</f>
        <v>471.03166569378629</v>
      </c>
      <c r="CE103" s="59">
        <f t="shared" si="94"/>
        <v>259.15709238853287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59.645913061253651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59.645913061253651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8.7210000000000036</v>
      </c>
      <c r="CT103" s="12">
        <f>IF('Données projet'!$A$140&gt;35,CT102+CS103-DB102,IF(A103&lt;'Données projet'!$A$140,$CQ$205^A103,IF(A103='Données projet'!$A$140,'Données projet'!$B$140,CT102+CS103-DB102)))</f>
        <v>313.07499999999953</v>
      </c>
      <c r="CU103" s="17">
        <f>CT103*VLOOKUP('Données projet'!$B$13,Paramètres!$A$1:$I$89,3,0)*VLOOKUP('Données projet'!$B$13,Paramètres!$A$1:$I$89,5,0)</f>
        <v>146.51909999999978</v>
      </c>
      <c r="CV103" s="13">
        <f t="shared" si="95"/>
        <v>37.786460884380837</v>
      </c>
      <c r="CW103" s="20">
        <f t="shared" si="67"/>
        <v>320.99885187362952</v>
      </c>
      <c r="CX103" s="59">
        <f t="shared" si="68"/>
        <v>610.03128010656428</v>
      </c>
      <c r="CY103" s="59">
        <f ca="1">AVERAGE(OFFSET($CX$3,0,0,'Données projet'!$E$13+1,1))-AVERAGE(OFFSET($H$3,0,0,'Données projet'!$E$13+1,1))</f>
        <v>364.67256251031029</v>
      </c>
      <c r="CZ103" s="59">
        <f t="shared" si="96"/>
        <v>347.4139588390766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133.79041959723472</v>
      </c>
      <c r="DG103" s="21">
        <f>EXP(-LN(2)/25)*DG102+(1-EXP(-LN(2)/25))/(LN(2)/25)*Calculateur!DB103*Calculateur!DD103*VLOOKUP('Données projet'!$B$13,Paramètres!$A$1:$I$89,3,0)*0.475*44/12</f>
        <v>54.982975108873809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188.77339470610852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68.827025881709488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1.35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4.95</v>
      </c>
      <c r="H104" s="67">
        <f t="shared" si="56"/>
        <v>236.86666666666665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51.998489924038495</v>
      </c>
      <c r="T104" s="59">
        <f t="shared" si="88"/>
        <v>206.32767973856241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8.5321884044032714</v>
      </c>
      <c r="AA104" s="21">
        <f>EXP(-LN(2)/25)*AA103+(1-EXP(-LN(2)/25))/(LN(2)/25)*Calculateur!V104*Calculateur!X104*VLOOKUP('Données projet'!$B$9,Paramètres!$A$1:$I$89,3,0)*0.475*44/12</f>
        <v>1.2412228372116787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9.7734112416149497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356.02637444732096</v>
      </c>
      <c r="AO104" s="59">
        <f t="shared" si="90"/>
        <v>263.30053404008095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113.50892363883374</v>
      </c>
      <c r="AV104" s="21">
        <f>EXP(-LN(2)/25)*AV103+(1-EXP(-LN(2)/25))/(LN(2)/25)*Calculateur!AQ104*Calculateur!AS104*VLOOKUP('Données projet'!$B$10,Paramètres!$A$1:$I$89,3,0)*0.475*44/12</f>
        <v>45.105939674746978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158.61486331358071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6.2180000000000009</v>
      </c>
      <c r="BD104" s="12">
        <f>IF('Données projet'!$A$88&gt;35,BD103+BC104-BL103,IF(A104&lt;'Données projet'!$A$88,$BA$205^A104,IF(A104='Données projet'!$A$88,'Données projet'!$B$88,BD103+BC104-BL103)))</f>
        <v>238.70199999999997</v>
      </c>
      <c r="BE104" s="13">
        <f>BD104*VLOOKUP('Données projet'!$B$11,Paramètres!$A$1:$I$89,3,0)*VLOOKUP('Données projet'!$B$11,Paramètres!$A$1:$I$89,5,0)</f>
        <v>242.04382799999999</v>
      </c>
      <c r="BF104" s="13">
        <f t="shared" si="91"/>
        <v>58.879052772934983</v>
      </c>
      <c r="BG104" s="20">
        <f t="shared" si="61"/>
        <v>524.10735067952828</v>
      </c>
      <c r="BH104" s="59">
        <f t="shared" si="62"/>
        <v>813.21439000057171</v>
      </c>
      <c r="BI104" s="59">
        <f ca="1">AVERAGE(OFFSET($BH$3,0,0,'Données projet'!$E$11+1,1))-AVERAGE(OFFSET($H$3,0,0,'Données projet'!$E$11+1,1))</f>
        <v>478.2340976873212</v>
      </c>
      <c r="BJ104" s="59">
        <f t="shared" si="92"/>
        <v>342.90128902463823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49.802128411250244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49.802128411250244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9.0440000000000005</v>
      </c>
      <c r="BY104" s="12">
        <f>IF('Données projet'!$A$114&gt;35,BY103+BX104-CG103,IF(A104&lt;'Données projet'!$A$114,$BV$205^A104,IF(A104='Données projet'!$A$114,'Données projet'!$B$114,BY103+BX104-CG103)))</f>
        <v>361.44800000000015</v>
      </c>
      <c r="BZ104" s="13">
        <f>BY104*VLOOKUP('Données projet'!$B$12,Paramètres!$A$1:$I$89,3,0)*VLOOKUP('Données projet'!$B$12,Paramètres!$A$1:$I$89,5,0)</f>
        <v>327.03815040000012</v>
      </c>
      <c r="CA104" s="13">
        <f t="shared" si="93"/>
        <v>76.815918340848725</v>
      </c>
      <c r="CB104" s="20">
        <f t="shared" si="64"/>
        <v>703.37916972364508</v>
      </c>
      <c r="CC104" s="59">
        <f t="shared" si="65"/>
        <v>992.48620904468851</v>
      </c>
      <c r="CD104" s="59">
        <f ca="1">AVERAGE(OFFSET($CC$3,0,0,'Données projet'!$E$12+1,1))-AVERAGE(OFFSET($H$3,0,0,'Données projet'!$E$12+1,1))</f>
        <v>471.03166569378629</v>
      </c>
      <c r="CE104" s="59">
        <f t="shared" si="94"/>
        <v>259.15709238853287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58.476293086537169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58.476293086537169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8.7210000000000036</v>
      </c>
      <c r="CT104" s="12">
        <f>IF('Données projet'!$A$140&gt;35,CT103+CS104-DB103,IF(A104&lt;'Données projet'!$A$140,$CQ$205^A104,IF(A104='Données projet'!$A$140,'Données projet'!$B$140,CT103+CS104-DB103)))</f>
        <v>321.79599999999954</v>
      </c>
      <c r="CU104" s="17">
        <f>CT104*VLOOKUP('Données projet'!$B$13,Paramètres!$A$1:$I$89,3,0)*VLOOKUP('Données projet'!$B$13,Paramètres!$A$1:$I$89,5,0)</f>
        <v>150.60052799999977</v>
      </c>
      <c r="CV104" s="13">
        <f t="shared" si="95"/>
        <v>38.715026012368448</v>
      </c>
      <c r="CW104" s="20">
        <f t="shared" si="67"/>
        <v>329.72458990487462</v>
      </c>
      <c r="CX104" s="59">
        <f t="shared" si="68"/>
        <v>618.83162922591805</v>
      </c>
      <c r="CY104" s="59">
        <f ca="1">AVERAGE(OFFSET($CX$3,0,0,'Données projet'!$E$13+1,1))-AVERAGE(OFFSET($H$3,0,0,'Données projet'!$E$13+1,1))</f>
        <v>364.67256251031029</v>
      </c>
      <c r="CZ104" s="59">
        <f t="shared" si="96"/>
        <v>347.4139588390766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131.16687107303116</v>
      </c>
      <c r="DG104" s="21">
        <f>EXP(-LN(2)/25)*DG103+(1-EXP(-LN(2)/25))/(LN(2)/25)*Calculateur!DB104*Calculateur!DD104*VLOOKUP('Données projet'!$B$13,Paramètres!$A$1:$I$89,3,0)*0.475*44/12</f>
        <v>53.479462763092663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184.64633383612383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68.847374360284576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1.35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4.95</v>
      </c>
      <c r="H105" s="67">
        <f t="shared" si="56"/>
        <v>236.86666666666665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51.998489924038495</v>
      </c>
      <c r="T105" s="59">
        <f t="shared" si="88"/>
        <v>206.32767973856241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8.3648773939139858</v>
      </c>
      <c r="AA105" s="21">
        <f>EXP(-LN(2)/25)*AA104+(1-EXP(-LN(2)/25))/(LN(2)/25)*Calculateur!V105*Calculateur!X105*VLOOKUP('Données projet'!$B$9,Paramètres!$A$1:$I$89,3,0)*0.475*44/12</f>
        <v>1.2072815334550533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9.5721589273690384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356.02637444732096</v>
      </c>
      <c r="AO105" s="59">
        <f t="shared" si="90"/>
        <v>263.30053404008095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111.28308287988338</v>
      </c>
      <c r="AV105" s="21">
        <f>EXP(-LN(2)/25)*AV104+(1-EXP(-LN(2)/25))/(LN(2)/25)*Calculateur!AQ105*Calculateur!AS105*VLOOKUP('Données projet'!$B$10,Paramètres!$A$1:$I$89,3,0)*0.475*44/12</f>
        <v>43.872515382322746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155.15559826220613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6.2180000000000009</v>
      </c>
      <c r="BD105" s="12">
        <f>IF('Données projet'!$A$88&gt;35,BD104+BC105-BL104,IF(A105&lt;'Données projet'!$A$88,$BA$205^A105,IF(A105='Données projet'!$A$88,'Données projet'!$B$88,BD104+BC105-BL104)))</f>
        <v>244.91999999999996</v>
      </c>
      <c r="BE105" s="13">
        <f>BD105*VLOOKUP('Données projet'!$B$11,Paramètres!$A$1:$I$89,3,0)*VLOOKUP('Données projet'!$B$11,Paramètres!$A$1:$I$89,5,0)</f>
        <v>248.34887999999998</v>
      </c>
      <c r="BF105" s="13">
        <f t="shared" si="91"/>
        <v>60.232242116977098</v>
      </c>
      <c r="BG105" s="20">
        <f t="shared" si="61"/>
        <v>537.44545435373504</v>
      </c>
      <c r="BH105" s="59">
        <f t="shared" si="62"/>
        <v>826.62581042731381</v>
      </c>
      <c r="BI105" s="59">
        <f ca="1">AVERAGE(OFFSET($BH$3,0,0,'Données projet'!$E$11+1,1))-AVERAGE(OFFSET($H$3,0,0,'Données projet'!$E$11+1,1))</f>
        <v>478.2340976873212</v>
      </c>
      <c r="BJ105" s="59">
        <f t="shared" si="92"/>
        <v>342.90128902463823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48.825539049404547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48.825539049404547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9.0440000000000005</v>
      </c>
      <c r="BY105" s="12">
        <f>IF('Données projet'!$A$114&gt;35,BY104+BX105-CG104,IF(A105&lt;'Données projet'!$A$114,$BV$205^A105,IF(A105='Données projet'!$A$114,'Données projet'!$B$114,BY104+BX105-CG104)))</f>
        <v>370.49200000000013</v>
      </c>
      <c r="BZ105" s="13">
        <f>BY105*VLOOKUP('Données projet'!$B$12,Paramètres!$A$1:$I$89,3,0)*VLOOKUP('Données projet'!$B$12,Paramètres!$A$1:$I$89,5,0)</f>
        <v>335.22116160000007</v>
      </c>
      <c r="CA105" s="13">
        <f t="shared" si="93"/>
        <v>78.511796228598641</v>
      </c>
      <c r="CB105" s="20">
        <f t="shared" si="64"/>
        <v>720.58490155147604</v>
      </c>
      <c r="CC105" s="59">
        <f t="shared" si="65"/>
        <v>1009.7652576250548</v>
      </c>
      <c r="CD105" s="59">
        <f ca="1">AVERAGE(OFFSET($CC$3,0,0,'Données projet'!$E$12+1,1))-AVERAGE(OFFSET($H$3,0,0,'Données projet'!$E$12+1,1))</f>
        <v>471.03166569378629</v>
      </c>
      <c r="CE105" s="59">
        <f t="shared" si="94"/>
        <v>259.15709238853287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57.329608646127134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57.329608646127134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8.7210000000000036</v>
      </c>
      <c r="CT105" s="12">
        <f>IF('Données projet'!$A$140&gt;35,CT104+CS105-DB104,IF(A105&lt;'Données projet'!$A$140,$CQ$205^A105,IF(A105='Données projet'!$A$140,'Données projet'!$B$140,CT104+CS105-DB104)))</f>
        <v>330.51699999999954</v>
      </c>
      <c r="CU105" s="17">
        <f>CT105*VLOOKUP('Données projet'!$B$13,Paramètres!$A$1:$I$89,3,0)*VLOOKUP('Données projet'!$B$13,Paramètres!$A$1:$I$89,5,0)</f>
        <v>154.68195599999979</v>
      </c>
      <c r="CV105" s="13">
        <f t="shared" si="95"/>
        <v>39.640666164046536</v>
      </c>
      <c r="CW105" s="20">
        <f t="shared" si="67"/>
        <v>338.44523360238071</v>
      </c>
      <c r="CX105" s="59">
        <f t="shared" si="68"/>
        <v>627.62558967595942</v>
      </c>
      <c r="CY105" s="59">
        <f ca="1">AVERAGE(OFFSET($CX$3,0,0,'Données projet'!$E$13+1,1))-AVERAGE(OFFSET($H$3,0,0,'Données projet'!$E$13+1,1))</f>
        <v>364.67256251031029</v>
      </c>
      <c r="CZ105" s="59">
        <f t="shared" si="96"/>
        <v>347.4139588390766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128.59476873518065</v>
      </c>
      <c r="DG105" s="21">
        <f>EXP(-LN(2)/25)*DG104+(1-EXP(-LN(2)/25))/(LN(2)/25)*Calculateur!DB105*Calculateur!DD105*VLOOKUP('Données projet'!$B$13,Paramètres!$A$1:$I$89,3,0)*0.475*44/12</f>
        <v>52.017064041473176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180.61183277665384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68.867369838248749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1.35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4.95</v>
      </c>
      <c r="H106" s="67">
        <f t="shared" si="56"/>
        <v>236.86666666666665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51.998489924038495</v>
      </c>
      <c r="T106" s="59">
        <f t="shared" si="88"/>
        <v>206.32767973856241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8.2008472502907548</v>
      </c>
      <c r="AA106" s="21">
        <f>EXP(-LN(2)/25)*AA105+(1-EXP(-LN(2)/25))/(LN(2)/25)*Calculateur!V106*Calculateur!X106*VLOOKUP('Données projet'!$B$9,Paramètres!$A$1:$I$89,3,0)*0.475*44/12</f>
        <v>1.1742683564345482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9.3751156067253021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356.02637444732096</v>
      </c>
      <c r="AO106" s="59">
        <f t="shared" si="90"/>
        <v>263.30053404008095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109.10088950058723</v>
      </c>
      <c r="AV106" s="21">
        <f>EXP(-LN(2)/25)*AV105+(1-EXP(-LN(2)/25))/(LN(2)/25)*Calculateur!AQ106*Calculateur!AS106*VLOOKUP('Données projet'!$B$10,Paramètres!$A$1:$I$89,3,0)*0.475*44/12</f>
        <v>42.672819142037817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151.77370864262505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6.2180000000000009</v>
      </c>
      <c r="BD106" s="12">
        <f>IF('Données projet'!$A$88&gt;35,BD105+BC106-BL105,IF(A106&lt;'Données projet'!$A$88,$BA$205^A106,IF(A106='Données projet'!$A$88,'Données projet'!$B$88,BD105+BC106-BL105)))</f>
        <v>251.13799999999995</v>
      </c>
      <c r="BE106" s="13">
        <f>BD106*VLOOKUP('Données projet'!$B$11,Paramètres!$A$1:$I$89,3,0)*VLOOKUP('Données projet'!$B$11,Paramètres!$A$1:$I$89,5,0)</f>
        <v>254.65393199999997</v>
      </c>
      <c r="BF106" s="13">
        <f t="shared" si="91"/>
        <v>61.581438033756811</v>
      </c>
      <c r="BG106" s="20">
        <f t="shared" si="61"/>
        <v>550.77660280879297</v>
      </c>
      <c r="BH106" s="59">
        <f t="shared" si="62"/>
        <v>840.02900375316221</v>
      </c>
      <c r="BI106" s="59">
        <f ca="1">AVERAGE(OFFSET($BH$3,0,0,'Données projet'!$E$11+1,1))-AVERAGE(OFFSET($H$3,0,0,'Données projet'!$E$11+1,1))</f>
        <v>478.2340976873212</v>
      </c>
      <c r="BJ106" s="59">
        <f t="shared" si="92"/>
        <v>342.90128902463823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47.86810000928395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47.86810000928395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9.0440000000000005</v>
      </c>
      <c r="BY106" s="12">
        <f>IF('Données projet'!$A$114&gt;35,BY105+BX106-CG105,IF(A106&lt;'Données projet'!$A$114,$BV$205^A106,IF(A106='Données projet'!$A$114,'Données projet'!$B$114,BY105+BX106-CG105)))</f>
        <v>379.53600000000012</v>
      </c>
      <c r="BZ106" s="13">
        <f>BY106*VLOOKUP('Données projet'!$B$12,Paramètres!$A$1:$I$89,3,0)*VLOOKUP('Données projet'!$B$12,Paramètres!$A$1:$I$89,5,0)</f>
        <v>343.40417280000008</v>
      </c>
      <c r="CA106" s="13">
        <f t="shared" si="93"/>
        <v>80.202861757509595</v>
      </c>
      <c r="CB106" s="20">
        <f t="shared" si="64"/>
        <v>737.78225185432927</v>
      </c>
      <c r="CC106" s="59">
        <f t="shared" si="65"/>
        <v>1027.0346527986985</v>
      </c>
      <c r="CD106" s="59">
        <f ca="1">AVERAGE(OFFSET($CC$3,0,0,'Données projet'!$E$12+1,1))-AVERAGE(OFFSET($H$3,0,0,'Données projet'!$E$12+1,1))</f>
        <v>471.03166569378629</v>
      </c>
      <c r="CE106" s="59">
        <f t="shared" si="94"/>
        <v>259.15709238853287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56.205409988185089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56.205409988185089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8.7210000000000036</v>
      </c>
      <c r="CT106" s="12">
        <f>IF('Données projet'!$A$140&gt;35,CT105+CS106-DB105,IF(A106&lt;'Données projet'!$A$140,$CQ$205^A106,IF(A106='Données projet'!$A$140,'Données projet'!$B$140,CT105+CS106-DB105)))</f>
        <v>339.23799999999954</v>
      </c>
      <c r="CU106" s="17">
        <f>CT106*VLOOKUP('Données projet'!$B$13,Paramètres!$A$1:$I$89,3,0)*VLOOKUP('Données projet'!$B$13,Paramètres!$A$1:$I$89,5,0)</f>
        <v>158.76338399999977</v>
      </c>
      <c r="CV106" s="13">
        <f t="shared" si="95"/>
        <v>40.563467389228563</v>
      </c>
      <c r="CW106" s="20">
        <f t="shared" si="67"/>
        <v>347.1609328362394</v>
      </c>
      <c r="CX106" s="59">
        <f t="shared" si="68"/>
        <v>636.4133337806087</v>
      </c>
      <c r="CY106" s="59">
        <f ca="1">AVERAGE(OFFSET($CX$3,0,0,'Données projet'!$E$13+1,1))-AVERAGE(OFFSET($H$3,0,0,'Données projet'!$E$13+1,1))</f>
        <v>364.67256251031029</v>
      </c>
      <c r="CZ106" s="59">
        <f t="shared" si="96"/>
        <v>347.4139588390766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126.07310375534787</v>
      </c>
      <c r="DG106" s="21">
        <f>EXP(-LN(2)/25)*DG105+(1-EXP(-LN(2)/25))/(LN(2)/25)*Calculateur!DB106*Calculateur!DD106*VLOOKUP('Données projet'!$B$13,Paramètres!$A$1:$I$89,3,0)*0.475*44/12</f>
        <v>50.594654689800578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176.66775844514845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68.887018439373435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1.35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4.95</v>
      </c>
      <c r="H107" s="67">
        <f t="shared" si="56"/>
        <v>236.86666666666665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51.998489924038495</v>
      </c>
      <c r="T107" s="59">
        <f t="shared" si="88"/>
        <v>206.32767973856241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8.0400336377354673</v>
      </c>
      <c r="AA107" s="21">
        <f>EXP(-LN(2)/25)*AA106+(1-EXP(-LN(2)/25))/(LN(2)/25)*Calculateur!V107*Calculateur!X107*VLOOKUP('Données projet'!$B$9,Paramètres!$A$1:$I$89,3,0)*0.475*44/12</f>
        <v>1.1421579264757564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9.1821915642112231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356.02637444732096</v>
      </c>
      <c r="AO107" s="59">
        <f t="shared" si="90"/>
        <v>263.30053404008095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106.96148760245254</v>
      </c>
      <c r="AV107" s="21">
        <f>EXP(-LN(2)/25)*AV106+(1-EXP(-LN(2)/25))/(LN(2)/25)*Calculateur!AQ107*Calculateur!AS107*VLOOKUP('Données projet'!$B$10,Paramètres!$A$1:$I$89,3,0)*0.475*44/12</f>
        <v>41.505928658532767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148.46741626098532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6.2180000000000009</v>
      </c>
      <c r="BD107" s="12">
        <f>IF('Données projet'!$A$88&gt;35,BD106+BC107-BL106,IF(A107&lt;'Données projet'!$A$88,$BA$205^A107,IF(A107='Données projet'!$A$88,'Données projet'!$B$88,BD106+BC107-BL106)))</f>
        <v>257.35599999999994</v>
      </c>
      <c r="BE107" s="13">
        <f>BD107*VLOOKUP('Données projet'!$B$11,Paramètres!$A$1:$I$89,3,0)*VLOOKUP('Données projet'!$B$11,Paramètres!$A$1:$I$89,5,0)</f>
        <v>260.95898399999993</v>
      </c>
      <c r="BF107" s="13">
        <f t="shared" si="91"/>
        <v>62.926750770582004</v>
      </c>
      <c r="BG107" s="20">
        <f t="shared" si="61"/>
        <v>564.10098805876362</v>
      </c>
      <c r="BH107" s="59">
        <f t="shared" si="62"/>
        <v>853.42418405648345</v>
      </c>
      <c r="BI107" s="59">
        <f ca="1">AVERAGE(OFFSET($BH$3,0,0,'Données projet'!$E$11+1,1))-AVERAGE(OFFSET($H$3,0,0,'Données projet'!$E$11+1,1))</f>
        <v>478.2340976873212</v>
      </c>
      <c r="BJ107" s="59">
        <f t="shared" si="92"/>
        <v>342.90128902463823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46.929435764759965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46.929435764759965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9.0440000000000005</v>
      </c>
      <c r="BY107" s="12">
        <f>IF('Données projet'!$A$114&gt;35,BY106+BX107-CG106,IF(A107&lt;'Données projet'!$A$114,$BV$205^A107,IF(A107='Données projet'!$A$114,'Données projet'!$B$114,BY106+BX107-CG106)))</f>
        <v>388.5800000000001</v>
      </c>
      <c r="BZ107" s="13">
        <f>BY107*VLOOKUP('Données projet'!$B$12,Paramètres!$A$1:$I$89,3,0)*VLOOKUP('Données projet'!$B$12,Paramètres!$A$1:$I$89,5,0)</f>
        <v>351.58718400000009</v>
      </c>
      <c r="CA107" s="13">
        <f t="shared" si="93"/>
        <v>81.889242796901328</v>
      </c>
      <c r="CB107" s="20">
        <f t="shared" si="64"/>
        <v>754.97144333793665</v>
      </c>
      <c r="CC107" s="59">
        <f t="shared" si="65"/>
        <v>1044.2946393356565</v>
      </c>
      <c r="CD107" s="59">
        <f ca="1">AVERAGE(OFFSET($CC$3,0,0,'Données projet'!$E$12+1,1))-AVERAGE(OFFSET($H$3,0,0,'Données projet'!$E$12+1,1))</f>
        <v>471.03166569378629</v>
      </c>
      <c r="CE107" s="59">
        <f t="shared" si="94"/>
        <v>259.15709238853287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55.103256180231817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55.103256180231817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8.7210000000000036</v>
      </c>
      <c r="CT107" s="12">
        <f>IF('Données projet'!$A$140&gt;35,CT106+CS107-DB106,IF(A107&lt;'Données projet'!$A$140,$CQ$205^A107,IF(A107='Données projet'!$A$140,'Données projet'!$B$140,CT106+CS107-DB106)))</f>
        <v>347.95899999999955</v>
      </c>
      <c r="CU107" s="17">
        <f>CT107*VLOOKUP('Données projet'!$B$13,Paramètres!$A$1:$I$89,3,0)*VLOOKUP('Données projet'!$B$13,Paramètres!$A$1:$I$89,5,0)</f>
        <v>162.84481199999979</v>
      </c>
      <c r="CV107" s="13">
        <f t="shared" si="95"/>
        <v>41.483511061408436</v>
      </c>
      <c r="CW107" s="20">
        <f t="shared" si="67"/>
        <v>355.87182933195271</v>
      </c>
      <c r="CX107" s="59">
        <f t="shared" si="68"/>
        <v>645.19502532967249</v>
      </c>
      <c r="CY107" s="59">
        <f ca="1">AVERAGE(OFFSET($CX$3,0,0,'Données projet'!$E$13+1,1))-AVERAGE(OFFSET($H$3,0,0,'Données projet'!$E$13+1,1))</f>
        <v>364.67256251031029</v>
      </c>
      <c r="CZ107" s="59">
        <f t="shared" si="96"/>
        <v>347.4139588390766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123.60088708770584</v>
      </c>
      <c r="DG107" s="21">
        <f>EXP(-LN(2)/25)*DG106+(1-EXP(-LN(2)/25))/(LN(2)/25)*Calculateur!DB107*Calculateur!DD107*VLOOKUP('Données projet'!$B$13,Paramètres!$A$1:$I$89,3,0)*0.475*44/12</f>
        <v>49.211141196650729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172.81202828435659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68.906326181196306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1.35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4.95</v>
      </c>
      <c r="H108" s="67">
        <f t="shared" si="56"/>
        <v>236.86666666666665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51.998489924038495</v>
      </c>
      <c r="T108" s="59">
        <f t="shared" si="88"/>
        <v>206.32767973856241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7.8823734820357707</v>
      </c>
      <c r="AA108" s="21">
        <f>EXP(-LN(2)/25)*AA107+(1-EXP(-LN(2)/25))/(LN(2)/25)*Calculateur!V108*Calculateur!X108*VLOOKUP('Données projet'!$B$9,Paramètres!$A$1:$I$89,3,0)*0.475*44/12</f>
        <v>1.1109255579128019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8.9932990399485728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356.02637444732096</v>
      </c>
      <c r="AO108" s="59">
        <f t="shared" si="90"/>
        <v>263.30053404008095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104.86403807063395</v>
      </c>
      <c r="AV108" s="21">
        <f>EXP(-LN(2)/25)*AV107+(1-EXP(-LN(2)/25))/(LN(2)/25)*Calculateur!AQ108*Calculateur!AS108*VLOOKUP('Données projet'!$B$10,Paramètres!$A$1:$I$89,3,0)*0.475*44/12</f>
        <v>40.370946856663267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145.23498492729721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6.2180000000000009</v>
      </c>
      <c r="BD108" s="12">
        <f>IF('Données projet'!$A$88&gt;35,BD107+BC108-BL107,IF(A108&lt;'Données projet'!$A$88,$BA$205^A108,IF(A108='Données projet'!$A$88,'Données projet'!$B$88,BD107+BC108-BL107)))</f>
        <v>263.57399999999996</v>
      </c>
      <c r="BE108" s="13">
        <f>BD108*VLOOKUP('Données projet'!$B$11,Paramètres!$A$1:$I$89,3,0)*VLOOKUP('Données projet'!$B$11,Paramètres!$A$1:$I$89,5,0)</f>
        <v>267.26403599999998</v>
      </c>
      <c r="BF108" s="13">
        <f t="shared" si="91"/>
        <v>64.268284943586906</v>
      </c>
      <c r="BG108" s="20">
        <f t="shared" si="61"/>
        <v>577.41879231008045</v>
      </c>
      <c r="BH108" s="59">
        <f t="shared" si="62"/>
        <v>866.81155522524909</v>
      </c>
      <c r="BI108" s="59">
        <f ca="1">AVERAGE(OFFSET($BH$3,0,0,'Données projet'!$E$11+1,1))-AVERAGE(OFFSET($H$3,0,0,'Données projet'!$E$11+1,1))</f>
        <v>478.2340976873212</v>
      </c>
      <c r="BJ108" s="59">
        <f t="shared" si="92"/>
        <v>342.90128902463823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46.009178153542443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46.009178153542443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9.0440000000000005</v>
      </c>
      <c r="BY108" s="12">
        <f>IF('Données projet'!$A$114&gt;35,BY107+BX108-CG107,IF(A108&lt;'Données projet'!$A$114,$BV$205^A108,IF(A108='Données projet'!$A$114,'Données projet'!$B$114,BY107+BX108-CG107)))</f>
        <v>397.62400000000008</v>
      </c>
      <c r="BZ108" s="13">
        <f>BY108*VLOOKUP('Données projet'!$B$12,Paramètres!$A$1:$I$89,3,0)*VLOOKUP('Données projet'!$B$12,Paramètres!$A$1:$I$89,5,0)</f>
        <v>359.77019520000005</v>
      </c>
      <c r="CA108" s="13">
        <f t="shared" si="93"/>
        <v>83.5710609243053</v>
      </c>
      <c r="CB108" s="20">
        <f t="shared" si="64"/>
        <v>772.15268774983178</v>
      </c>
      <c r="CC108" s="59">
        <f t="shared" si="65"/>
        <v>1061.5454506650005</v>
      </c>
      <c r="CD108" s="59">
        <f ca="1">AVERAGE(OFFSET($CC$3,0,0,'Données projet'!$E$12+1,1))-AVERAGE(OFFSET($H$3,0,0,'Données projet'!$E$12+1,1))</f>
        <v>471.03166569378629</v>
      </c>
      <c r="CE108" s="59">
        <f t="shared" si="94"/>
        <v>259.15709238853287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54.022714936205062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54.022714936205062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356.68</v>
      </c>
      <c r="CR108" s="12">
        <f>VLOOKUP(A108,'Données projet'!$A$139:$I$159,9,0)</f>
        <v>8.7210000000000036</v>
      </c>
      <c r="CS108" s="12">
        <f t="array" ref="CS108">INDEX(CR:CR,MIN(IF(ISNUMBER(CR108:CR304),ROW(CR108:CR304),"")))</f>
        <v>8.7210000000000036</v>
      </c>
      <c r="CT108" s="12">
        <f>IF('Données projet'!$A$140&gt;35,CT107+CS108-DB107,IF(A108&lt;'Données projet'!$A$140,$CQ$205^A108,IF(A108='Données projet'!$A$140,'Données projet'!$B$140,CT107+CS108-DB107)))</f>
        <v>356.67999999999955</v>
      </c>
      <c r="CU108" s="17">
        <f>CT108*VLOOKUP('Données projet'!$B$13,Paramètres!$A$1:$I$89,3,0)*VLOOKUP('Données projet'!$B$13,Paramètres!$A$1:$I$89,5,0)</f>
        <v>166.92623999999978</v>
      </c>
      <c r="CV108" s="13">
        <f t="shared" si="95"/>
        <v>42.400874242636554</v>
      </c>
      <c r="CW108" s="20">
        <f t="shared" si="67"/>
        <v>364.57805730592491</v>
      </c>
      <c r="CX108" s="59">
        <f t="shared" si="68"/>
        <v>653.97082022109362</v>
      </c>
      <c r="CY108" s="59">
        <f ca="1">AVERAGE(OFFSET($CX$3,0,0,'Données projet'!$E$13+1,1))-AVERAGE(OFFSET($H$3,0,0,'Données projet'!$E$13+1,1))</f>
        <v>364.67256251031029</v>
      </c>
      <c r="CZ108" s="59">
        <f t="shared" si="96"/>
        <v>347.4139588390766</v>
      </c>
      <c r="DA108" s="15">
        <f>IF(ISNA(VLOOKUP(A108,'Données projet'!$A$139:$I$159,3,0)),0,VLOOKUP(A108,'Données projet'!$A$139:$I$159,3,0))</f>
        <v>9</v>
      </c>
      <c r="DB108" s="15">
        <f>IF(ISNA(VLOOKUP(A108,'Données projet'!$A$139:$I$159,4,0)),0,VLOOKUP(A108,'Données projet'!$A$139:$I$159,4,0))</f>
        <v>356.68</v>
      </c>
      <c r="DC108" s="16">
        <f>IF(ISNA(VLOOKUP(A108,'Données projet'!$A$139:$I$159,5,0)),0%,VLOOKUP(A108,'Données projet'!$A$139:$I$159,5,0)*VLOOKUP('Données projet'!$B$13,Paramètres!$A$1:$I$89,7,0))</f>
        <v>0.38500000000000001</v>
      </c>
      <c r="DD108" s="16">
        <f>IF(ISNA(VLOOKUP(A108,'Données projet'!$A$139:$I$159,6,0)),0%,VLOOKUP(A108,'Données projet'!$A$139:$I$159,6,0)*VLOOKUP('Données projet'!$B$13,Paramètres!$A$1:$I$89,7,0))</f>
        <v>0.16500000000000001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206.43093949671845</v>
      </c>
      <c r="DG108" s="21">
        <f>EXP(-LN(2)/25)*DG107+(1-EXP(-LN(2)/25))/(LN(2)/25)*Calculateur!DB108*Calculateur!DD108*VLOOKUP('Données projet'!$B$13,Paramètres!$A$1:$I$89,3,0)*0.475*44/12</f>
        <v>84.258937277840289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290.68987677455874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68.925298976864198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1.35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4.95</v>
      </c>
      <c r="H109" s="67">
        <f t="shared" si="56"/>
        <v>236.86666666666665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51.998489924038495</v>
      </c>
      <c r="T109" s="59">
        <f t="shared" si="88"/>
        <v>206.32767973856241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7.7278049458261453</v>
      </c>
      <c r="AA109" s="21">
        <f>EXP(-LN(2)/25)*AA108+(1-EXP(-LN(2)/25))/(LN(2)/25)*Calculateur!V109*Calculateur!X109*VLOOKUP('Données projet'!$B$9,Paramètres!$A$1:$I$89,3,0)*0.475*44/12</f>
        <v>1.0805472401106402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8.8083521859367853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356.02637444732096</v>
      </c>
      <c r="AO109" s="59">
        <f t="shared" si="90"/>
        <v>263.30053404008095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102.80771824481644</v>
      </c>
      <c r="AV109" s="21">
        <f>EXP(-LN(2)/25)*AV108+(1-EXP(-LN(2)/25))/(LN(2)/25)*Calculateur!AQ109*Calculateur!AS109*VLOOKUP('Données projet'!$B$10,Paramètres!$A$1:$I$89,3,0)*0.475*44/12</f>
        <v>39.267001191851982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142.07471943666843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6.2180000000000009</v>
      </c>
      <c r="BD109" s="12">
        <f>IF('Données projet'!$A$88&gt;35,BD108+BC109-BL108,IF(A109&lt;'Données projet'!$A$88,$BA$205^A109,IF(A109='Données projet'!$A$88,'Données projet'!$B$88,BD108+BC109-BL108)))</f>
        <v>269.79199999999997</v>
      </c>
      <c r="BE109" s="13">
        <f>BD109*VLOOKUP('Données projet'!$B$11,Paramètres!$A$1:$I$89,3,0)*VLOOKUP('Données projet'!$B$11,Paramètres!$A$1:$I$89,5,0)</f>
        <v>273.56908800000002</v>
      </c>
      <c r="BF109" s="13">
        <f t="shared" si="91"/>
        <v>65.606139951318852</v>
      </c>
      <c r="BG109" s="20">
        <f t="shared" si="61"/>
        <v>590.73018868188035</v>
      </c>
      <c r="BH109" s="59">
        <f t="shared" si="62"/>
        <v>880.1913116840085</v>
      </c>
      <c r="BI109" s="59">
        <f ca="1">AVERAGE(OFFSET($BH$3,0,0,'Données projet'!$E$11+1,1))-AVERAGE(OFFSET($H$3,0,0,'Données projet'!$E$11+1,1))</f>
        <v>478.2340976873212</v>
      </c>
      <c r="BJ109" s="59">
        <f t="shared" si="92"/>
        <v>342.90128902463823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45.106966232779172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45.106966232779172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9.0440000000000005</v>
      </c>
      <c r="BY109" s="12">
        <f>IF('Données projet'!$A$114&gt;35,BY108+BX109-CG108,IF(A109&lt;'Données projet'!$A$114,$BV$205^A109,IF(A109='Données projet'!$A$114,'Données projet'!$B$114,BY108+BX109-CG108)))</f>
        <v>406.66800000000006</v>
      </c>
      <c r="BZ109" s="13">
        <f>BY109*VLOOKUP('Données projet'!$B$12,Paramètres!$A$1:$I$89,3,0)*VLOOKUP('Données projet'!$B$12,Paramètres!$A$1:$I$89,5,0)</f>
        <v>367.95320640000006</v>
      </c>
      <c r="CA109" s="13">
        <f t="shared" si="93"/>
        <v>85.248431871009672</v>
      </c>
      <c r="CB109" s="20">
        <f t="shared" si="64"/>
        <v>789.32618665534198</v>
      </c>
      <c r="CC109" s="59">
        <f t="shared" si="65"/>
        <v>1078.7873096574701</v>
      </c>
      <c r="CD109" s="59">
        <f ca="1">AVERAGE(OFFSET($CC$3,0,0,'Données projet'!$E$12+1,1))-AVERAGE(OFFSET($H$3,0,0,'Données projet'!$E$12+1,1))</f>
        <v>471.03166569378629</v>
      </c>
      <c r="CE109" s="59">
        <f t="shared" si="94"/>
        <v>259.15709238853287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52.96336244690859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52.96336244690859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-4.5474735088646412E-13</v>
      </c>
      <c r="CU109" s="17">
        <f>CT109*VLOOKUP('Données projet'!$B$13,Paramètres!$A$1:$I$89,3,0)*VLOOKUP('Données projet'!$B$13,Paramètres!$A$1:$I$89,5,0)</f>
        <v>-2.1282176021486519E-13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364.67256251031029</v>
      </c>
      <c r="CZ109" s="59">
        <f t="shared" si="96"/>
        <v>347.4139588390766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202.38295468362827</v>
      </c>
      <c r="DG109" s="21">
        <f>EXP(-LN(2)/25)*DG108+(1-EXP(-LN(2)/25))/(LN(2)/25)*Calculateur!DB109*Calculateur!DD109*VLOOKUP('Données projet'!$B$13,Paramètres!$A$1:$I$89,3,0)*0.475*44/12</f>
        <v>81.954872206992817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284.3378268906211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68.943942636944058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1.35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4.95</v>
      </c>
      <c r="H110" s="67">
        <f t="shared" si="56"/>
        <v>236.86666666666665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51.998489924038495</v>
      </c>
      <c r="T110" s="59">
        <f t="shared" si="88"/>
        <v>206.32767973856241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7.5762674043340921</v>
      </c>
      <c r="AA110" s="21">
        <f>EXP(-LN(2)/25)*AA109+(1-EXP(-LN(2)/25))/(LN(2)/25)*Calculateur!V110*Calculateur!X110*VLOOKUP('Données projet'!$B$9,Paramètres!$A$1:$I$89,3,0)*0.475*44/12</f>
        <v>1.0509996190063049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8.6272670233403979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356.02637444732096</v>
      </c>
      <c r="AO110" s="59">
        <f t="shared" si="90"/>
        <v>263.30053404008095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100.79172159655197</v>
      </c>
      <c r="AV110" s="21">
        <f>EXP(-LN(2)/25)*AV109+(1-EXP(-LN(2)/25))/(LN(2)/25)*Calculateur!AQ110*Calculateur!AS110*VLOOKUP('Données projet'!$B$10,Paramètres!$A$1:$I$89,3,0)*0.475*44/12</f>
        <v>38.193242979298944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138.98496457585091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>
        <f>VLOOKUP(A110,'Données projet'!$A$87:$I$107,2,0)</f>
        <v>276.01</v>
      </c>
      <c r="BB110" s="12">
        <f>VLOOKUP(A110,'Données projet'!$A$87:$I$107,9,0)</f>
        <v>6.2180000000000009</v>
      </c>
      <c r="BC110" s="12">
        <f t="array" ref="BC110">INDEX(BB:BB,MIN(IF(ISNUMBER(BB110:BB306),ROW(BB110:BB306),"")))</f>
        <v>6.2180000000000009</v>
      </c>
      <c r="BD110" s="12">
        <f>IF('Données projet'!$A$88&gt;35,BD109+BC110-BL109,IF(A110&lt;'Données projet'!$A$88,$BA$205^A110,IF(A110='Données projet'!$A$88,'Données projet'!$B$88,BD109+BC110-BL109)))</f>
        <v>276.01</v>
      </c>
      <c r="BE110" s="13">
        <f>BD110*VLOOKUP('Données projet'!$B$11,Paramètres!$A$1:$I$89,3,0)*VLOOKUP('Données projet'!$B$11,Paramètres!$A$1:$I$89,5,0)</f>
        <v>279.87414000000001</v>
      </c>
      <c r="BF110" s="13">
        <f t="shared" si="91"/>
        <v>66.940410349121478</v>
      </c>
      <c r="BG110" s="20">
        <f t="shared" si="61"/>
        <v>604.03534185805313</v>
      </c>
      <c r="BH110" s="59">
        <f t="shared" si="62"/>
        <v>893.56363905246235</v>
      </c>
      <c r="BI110" s="59">
        <f ca="1">AVERAGE(OFFSET($BH$3,0,0,'Données projet'!$E$11+1,1))-AVERAGE(OFFSET($H$3,0,0,'Données projet'!$E$11+1,1))</f>
        <v>478.2340976873212</v>
      </c>
      <c r="BJ110" s="59">
        <f t="shared" si="92"/>
        <v>342.90128902463823</v>
      </c>
      <c r="BK110" s="15">
        <f>IF(ISNA(VLOOKUP(A110,'Données projet'!$A$87:$I$107,3,0)),0,VLOOKUP(A110,'Données projet'!$A$87:$I$107,3,0))</f>
        <v>9</v>
      </c>
      <c r="BL110" s="15">
        <f>IF(ISNA(VLOOKUP(A110,'Données projet'!$A$87:$I$107,4,0)),0,VLOOKUP(A110,'Données projet'!$A$87:$I$107,4,0))</f>
        <v>40.71</v>
      </c>
      <c r="BM110" s="16">
        <f>IF(ISNA(VLOOKUP(A110,'Données projet'!$A$87:$I$107,5,0)),0%,VLOOKUP(A110,'Données projet'!$A$87:$I$107,5,0)*VLOOKUP('Données projet'!$B$11,Paramètres!$A$1:$I$89,7,0))</f>
        <v>0.25800000000000001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55.99595387972267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55.99595387972267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9.0440000000000005</v>
      </c>
      <c r="BY110" s="12">
        <f>IF('Données projet'!$A$114&gt;35,BY109+BX110-CG109,IF(A110&lt;'Données projet'!$A$114,$BV$205^A110,IF(A110='Données projet'!$A$114,'Données projet'!$B$114,BY109+BX110-CG109)))</f>
        <v>415.71200000000005</v>
      </c>
      <c r="BZ110" s="13">
        <f>BY110*VLOOKUP('Données projet'!$B$12,Paramètres!$A$1:$I$89,3,0)*VLOOKUP('Données projet'!$B$12,Paramètres!$A$1:$I$89,5,0)</f>
        <v>376.13621760000001</v>
      </c>
      <c r="CA110" s="13">
        <f t="shared" si="93"/>
        <v>86.921465926851283</v>
      </c>
      <c r="CB110" s="20">
        <f t="shared" si="64"/>
        <v>806.49213214259942</v>
      </c>
      <c r="CC110" s="59">
        <f t="shared" si="65"/>
        <v>1096.0204293370086</v>
      </c>
      <c r="CD110" s="59">
        <f ca="1">AVERAGE(OFFSET($CC$3,0,0,'Données projet'!$E$12+1,1))-AVERAGE(OFFSET($H$3,0,0,'Données projet'!$E$12+1,1))</f>
        <v>471.03166569378629</v>
      </c>
      <c r="CE110" s="59">
        <f t="shared" si="94"/>
        <v>259.15709238853287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51.924783213786007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51.924783213786007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-4.5474735088646412E-13</v>
      </c>
      <c r="CU110" s="17">
        <f>CT110*VLOOKUP('Données projet'!$B$13,Paramètres!$A$1:$I$89,3,0)*VLOOKUP('Données projet'!$B$13,Paramètres!$A$1:$I$89,5,0)</f>
        <v>-2.1282176021486519E-13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364.67256251031029</v>
      </c>
      <c r="CZ110" s="59">
        <f t="shared" si="96"/>
        <v>347.4139588390766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198.41434838369585</v>
      </c>
      <c r="DG110" s="21">
        <f>EXP(-LN(2)/25)*DG109+(1-EXP(-LN(2)/25))/(LN(2)/25)*Calculateur!DB110*Calculateur!DD110*VLOOKUP('Données projet'!$B$13,Paramètres!$A$1:$I$89,3,0)*0.475*44/12</f>
        <v>79.71381191667318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278.12816030036902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68.962262871202512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1.35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4.95</v>
      </c>
      <c r="H111" s="67">
        <f t="shared" si="56"/>
        <v>236.86666666666665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51.998489924038495</v>
      </c>
      <c r="T111" s="59">
        <f t="shared" si="88"/>
        <v>206.32767973856241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7.4277014216019248</v>
      </c>
      <c r="AA111" s="21">
        <f>EXP(-LN(2)/25)*AA110+(1-EXP(-LN(2)/25))/(LN(2)/25)*Calculateur!V111*Calculateur!X111*VLOOKUP('Données projet'!$B$9,Paramètres!$A$1:$I$89,3,0)*0.475*44/12</f>
        <v>1.0222599791549096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8.449961400756834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356.02637444732096</v>
      </c>
      <c r="AO111" s="59">
        <f t="shared" si="90"/>
        <v>263.30053404008095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98.815257412923415</v>
      </c>
      <c r="AV111" s="21">
        <f>EXP(-LN(2)/25)*AV110+(1-EXP(-LN(2)/25))/(LN(2)/25)*Calculateur!AQ111*Calculateur!AS111*VLOOKUP('Données projet'!$B$10,Paramètres!$A$1:$I$89,3,0)*0.475*44/12</f>
        <v>37.148846741534655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135.96410415445808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6.2580000000000009</v>
      </c>
      <c r="BD111" s="12">
        <f>IF('Données projet'!$A$88&gt;35,BD110+BC111-BL110,IF(A111&lt;'Données projet'!$A$88,$BA$205^A111,IF(A111='Données projet'!$A$88,'Données projet'!$B$88,BD110+BC111-BL110)))</f>
        <v>241.55799999999996</v>
      </c>
      <c r="BE111" s="13">
        <f>BD111*VLOOKUP('Données projet'!$B$11,Paramètres!$A$1:$I$89,3,0)*VLOOKUP('Données projet'!$B$11,Paramètres!$A$1:$I$89,5,0)</f>
        <v>244.93981199999999</v>
      </c>
      <c r="BF111" s="13">
        <f t="shared" si="91"/>
        <v>59.501091582352856</v>
      </c>
      <c r="BG111" s="20">
        <f t="shared" si="61"/>
        <v>530.23457373926465</v>
      </c>
      <c r="BH111" s="59">
        <f t="shared" si="62"/>
        <v>819.82887980389785</v>
      </c>
      <c r="BI111" s="59">
        <f ca="1">AVERAGE(OFFSET($BH$3,0,0,'Données projet'!$E$11+1,1))-AVERAGE(OFFSET($H$3,0,0,'Données projet'!$E$11+1,1))</f>
        <v>478.2340976873212</v>
      </c>
      <c r="BJ111" s="59">
        <f t="shared" si="92"/>
        <v>342.90128902463823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54.897907378300729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54.897907378300729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9.0440000000000005</v>
      </c>
      <c r="BY111" s="12">
        <f>IF('Données projet'!$A$114&gt;35,BY110+BX111-CG110,IF(A111&lt;'Données projet'!$A$114,$BV$205^A111,IF(A111='Données projet'!$A$114,'Données projet'!$B$114,BY110+BX111-CG110)))</f>
        <v>424.75600000000003</v>
      </c>
      <c r="BZ111" s="13">
        <f>BY111*VLOOKUP('Données projet'!$B$12,Paramètres!$A$1:$I$89,3,0)*VLOOKUP('Données projet'!$B$12,Paramètres!$A$1:$I$89,5,0)</f>
        <v>384.31922880000002</v>
      </c>
      <c r="CA111" s="13">
        <f t="shared" si="93"/>
        <v>88.590268308789092</v>
      </c>
      <c r="CB111" s="20">
        <f t="shared" si="64"/>
        <v>823.65070746447418</v>
      </c>
      <c r="CC111" s="59">
        <f t="shared" si="65"/>
        <v>1113.2450135291074</v>
      </c>
      <c r="CD111" s="59">
        <f ca="1">AVERAGE(OFFSET($CC$3,0,0,'Données projet'!$E$12+1,1))-AVERAGE(OFFSET($H$3,0,0,'Données projet'!$E$12+1,1))</f>
        <v>471.03166569378629</v>
      </c>
      <c r="CE111" s="59">
        <f t="shared" si="94"/>
        <v>259.15709238853287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50.906569885954177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50.906569885954177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-4.5474735088646412E-13</v>
      </c>
      <c r="CU111" s="17">
        <f>CT111*VLOOKUP('Données projet'!$B$13,Paramètres!$A$1:$I$89,3,0)*VLOOKUP('Données projet'!$B$13,Paramètres!$A$1:$I$89,5,0)</f>
        <v>-2.1282176021486519E-13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364.67256251031029</v>
      </c>
      <c r="CZ111" s="59">
        <f t="shared" si="96"/>
        <v>347.4139588390766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194.52356403269428</v>
      </c>
      <c r="DG111" s="21">
        <f>EXP(-LN(2)/25)*DG110+(1-EXP(-LN(2)/25))/(LN(2)/25)*Calculateur!DB111*Calculateur!DD111*VLOOKUP('Données projet'!$B$13,Paramètres!$A$1:$I$89,3,0)*0.475*44/12</f>
        <v>77.534033537844564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272.05759757053886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68.980265290354509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1.35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4.95</v>
      </c>
      <c r="H112" s="67">
        <f t="shared" si="56"/>
        <v>236.86666666666665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51.998489924038495</v>
      </c>
      <c r="T112" s="59">
        <f t="shared" si="88"/>
        <v>206.32767973856241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7.2820487271748338</v>
      </c>
      <c r="AA112" s="21">
        <f>EXP(-LN(2)/25)*AA111+(1-EXP(-LN(2)/25))/(LN(2)/25)*Calculateur!V112*Calculateur!X112*VLOOKUP('Données projet'!$B$9,Paramètres!$A$1:$I$89,3,0)*0.475*44/12</f>
        <v>0.9943062262666027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8.2763549534414373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356.02637444732096</v>
      </c>
      <c r="AO112" s="59">
        <f t="shared" si="90"/>
        <v>263.30053404008095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96.877550486411707</v>
      </c>
      <c r="AV112" s="21">
        <f>EXP(-LN(2)/25)*AV111+(1-EXP(-LN(2)/25))/(LN(2)/25)*Calculateur!AQ112*Calculateur!AS112*VLOOKUP('Données projet'!$B$10,Paramètres!$A$1:$I$89,3,0)*0.475*44/12</f>
        <v>36.133009573814448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133.01056006022617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6.2580000000000009</v>
      </c>
      <c r="BD112" s="12">
        <f>IF('Données projet'!$A$88&gt;35,BD111+BC112-BL111,IF(A112&lt;'Données projet'!$A$88,$BA$205^A112,IF(A112='Données projet'!$A$88,'Données projet'!$B$88,BD111+BC112-BL111)))</f>
        <v>247.81599999999997</v>
      </c>
      <c r="BE112" s="13">
        <f>BD112*VLOOKUP('Données projet'!$B$11,Paramètres!$A$1:$I$89,3,0)*VLOOKUP('Données projet'!$B$11,Paramètres!$A$1:$I$89,5,0)</f>
        <v>251.28542400000001</v>
      </c>
      <c r="BF112" s="13">
        <f t="shared" si="91"/>
        <v>60.861112843739214</v>
      </c>
      <c r="BG112" s="20">
        <f t="shared" si="61"/>
        <v>543.65521833617913</v>
      </c>
      <c r="BH112" s="59">
        <f t="shared" si="62"/>
        <v>833.31438816471154</v>
      </c>
      <c r="BI112" s="59">
        <f ca="1">AVERAGE(OFFSET($BH$3,0,0,'Données projet'!$E$11+1,1))-AVERAGE(OFFSET($H$3,0,0,'Données projet'!$E$11+1,1))</f>
        <v>478.2340976873212</v>
      </c>
      <c r="BJ112" s="59">
        <f t="shared" si="92"/>
        <v>342.90128902463823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53.821392899029441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53.821392899029441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433.8</v>
      </c>
      <c r="BW112" s="12">
        <f>VLOOKUP(A112,'Données projet'!$A$113:$I$133,9,0)</f>
        <v>9.0440000000000005</v>
      </c>
      <c r="BX112" s="12">
        <f t="array" ref="BX112">INDEX(BW:BW,MIN(IF(ISNUMBER(BW112:BW308),ROW(BW112:BW308),"")))</f>
        <v>9.0440000000000005</v>
      </c>
      <c r="BY112" s="12">
        <f>IF('Données projet'!$A$114&gt;35,BY111+BX112-CG111,IF(A112&lt;'Données projet'!$A$114,$BV$205^A112,IF(A112='Données projet'!$A$114,'Données projet'!$B$114,BY111+BX112-CG111)))</f>
        <v>433.8</v>
      </c>
      <c r="BZ112" s="13">
        <f>BY112*VLOOKUP('Données projet'!$B$12,Paramètres!$A$1:$I$89,3,0)*VLOOKUP('Données projet'!$B$12,Paramètres!$A$1:$I$89,5,0)</f>
        <v>392.50223999999997</v>
      </c>
      <c r="CA112" s="13">
        <f t="shared" si="93"/>
        <v>90.254939497200368</v>
      </c>
      <c r="CB112" s="20">
        <f t="shared" si="64"/>
        <v>840.80208762429049</v>
      </c>
      <c r="CC112" s="59">
        <f t="shared" si="65"/>
        <v>1130.461257452823</v>
      </c>
      <c r="CD112" s="59">
        <f ca="1">AVERAGE(OFFSET($CC$3,0,0,'Données projet'!$E$12+1,1))-AVERAGE(OFFSET($H$3,0,0,'Données projet'!$E$12+1,1))</f>
        <v>471.03166569378629</v>
      </c>
      <c r="CE112" s="59">
        <f t="shared" si="94"/>
        <v>259.15709238853287</v>
      </c>
      <c r="CF112" s="15">
        <f>IF(ISNA(VLOOKUP(A112,'Données projet'!$A$113:$I$133,3,0)),0,VLOOKUP(A112,'Données projet'!$A$113:$I$133,3,0))</f>
        <v>11</v>
      </c>
      <c r="CG112" s="15">
        <f>IF(ISNA(VLOOKUP(A112,'Données projet'!$A$113:$I$133,4,0)),0,VLOOKUP(A112,'Données projet'!$A$113:$I$133,4,0))</f>
        <v>64.41</v>
      </c>
      <c r="CH112" s="16">
        <f>IF(ISNA(VLOOKUP(A112,'Données projet'!$A$113:$I$133,5,0)),0%,VLOOKUP(A112,'Données projet'!$A$113:$I$133,5,0)*VLOOKUP('Données projet'!$B$12,Paramètres!$A$1:$I$89,7,0))</f>
        <v>0.25800000000000001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66.529918532773138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66.529918532773138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-4.5474735088646412E-13</v>
      </c>
      <c r="CU112" s="17">
        <f>CT112*VLOOKUP('Données projet'!$B$13,Paramètres!$A$1:$I$89,3,0)*VLOOKUP('Données projet'!$B$13,Paramètres!$A$1:$I$89,5,0)</f>
        <v>-2.1282176021486519E-13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364.67256251031029</v>
      </c>
      <c r="CZ112" s="59">
        <f t="shared" si="96"/>
        <v>347.4139588390766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190.70907558967173</v>
      </c>
      <c r="DG112" s="21">
        <f>EXP(-LN(2)/25)*DG111+(1-EXP(-LN(2)/25))/(LN(2)/25)*Calculateur!DB112*Calculateur!DD112*VLOOKUP('Données projet'!$B$13,Paramètres!$A$1:$I$89,3,0)*0.475*44/12</f>
        <v>75.413861313414586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266.12293690308633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68.997955407781575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1.35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4.95</v>
      </c>
      <c r="H113" s="67">
        <f t="shared" si="56"/>
        <v>236.86666666666665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51.998489924038495</v>
      </c>
      <c r="T113" s="59">
        <f t="shared" si="88"/>
        <v>206.32767973856241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7.1392521932460857</v>
      </c>
      <c r="AA113" s="21">
        <f>EXP(-LN(2)/25)*AA112+(1-EXP(-LN(2)/25))/(LN(2)/25)*Calculateur!V113*Calculateur!X113*VLOOKUP('Données projet'!$B$9,Paramètres!$A$1:$I$89,3,0)*0.475*44/12</f>
        <v>0.96711687022105053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8.1063690634671364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356.02637444732096</v>
      </c>
      <c r="AO113" s="59">
        <f t="shared" si="90"/>
        <v>263.30053404008095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94.97784081084437</v>
      </c>
      <c r="AV113" s="21">
        <f>EXP(-LN(2)/25)*AV112+(1-EXP(-LN(2)/25))/(LN(2)/25)*Calculateur!AQ113*Calculateur!AS113*VLOOKUP('Données projet'!$B$10,Paramètres!$A$1:$I$89,3,0)*0.475*44/12</f>
        <v>35.144950526866104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130.12279133771048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6.2580000000000009</v>
      </c>
      <c r="BD113" s="12">
        <f>IF('Données projet'!$A$88&gt;35,BD112+BC113-BL112,IF(A113&lt;'Données projet'!$A$88,$BA$205^A113,IF(A113='Données projet'!$A$88,'Données projet'!$B$88,BD112+BC113-BL112)))</f>
        <v>254.07399999999998</v>
      </c>
      <c r="BE113" s="13">
        <f>BD113*VLOOKUP('Données projet'!$B$11,Paramètres!$A$1:$I$89,3,0)*VLOOKUP('Données projet'!$B$11,Paramètres!$A$1:$I$89,5,0)</f>
        <v>257.63103599999999</v>
      </c>
      <c r="BF113" s="13">
        <f t="shared" si="91"/>
        <v>62.217141875161737</v>
      </c>
      <c r="BG113" s="20">
        <f t="shared" si="61"/>
        <v>557.06890979924003</v>
      </c>
      <c r="BH113" s="59">
        <f t="shared" si="62"/>
        <v>846.79181815038169</v>
      </c>
      <c r="BI113" s="59">
        <f ca="1">AVERAGE(OFFSET($BH$3,0,0,'Données projet'!$E$11+1,1))-AVERAGE(OFFSET($H$3,0,0,'Données projet'!$E$11+1,1))</f>
        <v>478.2340976873212</v>
      </c>
      <c r="BJ113" s="59">
        <f t="shared" si="92"/>
        <v>342.90128902463823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52.765988212087663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52.765988212087663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8.8910000000000018</v>
      </c>
      <c r="BY113" s="12">
        <f>IF('Données projet'!$A$114&gt;35,BY112+BX113-CG112,IF(A113&lt;'Données projet'!$A$114,$BV$205^A113,IF(A113='Données projet'!$A$114,'Données projet'!$B$114,BY112+BX113-CG112)))</f>
        <v>378.28100000000006</v>
      </c>
      <c r="BZ113" s="13">
        <f>BY113*VLOOKUP('Données projet'!$B$12,Paramètres!$A$1:$I$89,3,0)*VLOOKUP('Données projet'!$B$12,Paramètres!$A$1:$I$89,5,0)</f>
        <v>342.26864880000005</v>
      </c>
      <c r="CA113" s="13">
        <f t="shared" si="93"/>
        <v>79.968482056551835</v>
      </c>
      <c r="CB113" s="20">
        <f t="shared" si="64"/>
        <v>735.39633624182773</v>
      </c>
      <c r="CC113" s="59">
        <f t="shared" si="65"/>
        <v>1025.1192445929694</v>
      </c>
      <c r="CD113" s="59">
        <f ca="1">AVERAGE(OFFSET($CC$3,0,0,'Données projet'!$E$12+1,1))-AVERAGE(OFFSET($H$3,0,0,'Données projet'!$E$12+1,1))</f>
        <v>471.03166569378629</v>
      </c>
      <c r="CE113" s="59">
        <f t="shared" si="94"/>
        <v>259.15709238853287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65.225307409588893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65.225307409588893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-4.5474735088646412E-13</v>
      </c>
      <c r="CU113" s="17">
        <f>CT113*VLOOKUP('Données projet'!$B$13,Paramètres!$A$1:$I$89,3,0)*VLOOKUP('Données projet'!$B$13,Paramètres!$A$1:$I$89,5,0)</f>
        <v>-2.1282176021486519E-13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364.67256251031029</v>
      </c>
      <c r="CZ113" s="59">
        <f t="shared" si="96"/>
        <v>347.4139588390766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186.96938693840863</v>
      </c>
      <c r="DG113" s="21">
        <f>EXP(-LN(2)/25)*DG112+(1-EXP(-LN(2)/25))/(LN(2)/25)*Calculateur!DB113*Calculateur!DD113*VLOOKUP('Données projet'!$B$13,Paramètres!$A$1:$I$89,3,0)*0.475*44/12</f>
        <v>73.351665309956658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260.32105224836528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69.015338641220467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1.35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4.95</v>
      </c>
      <c r="H114" s="67">
        <f t="shared" si="56"/>
        <v>236.86666666666665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51.998489924038495</v>
      </c>
      <c r="T114" s="59">
        <f t="shared" si="88"/>
        <v>206.32767973856241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6.9992558122503956</v>
      </c>
      <c r="AA114" s="21">
        <f>EXP(-LN(2)/25)*AA113+(1-EXP(-LN(2)/25))/(LN(2)/25)*Calculateur!V114*Calculateur!X114*VLOOKUP('Données projet'!$B$9,Paramètres!$A$1:$I$89,3,0)*0.475*44/12</f>
        <v>0.94067100854639008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7.9399268207967859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356.02637444732096</v>
      </c>
      <c r="AO114" s="59">
        <f t="shared" si="90"/>
        <v>263.30053404008095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93.115383283306414</v>
      </c>
      <c r="AV114" s="21">
        <f>EXP(-LN(2)/25)*AV113+(1-EXP(-LN(2)/25))/(LN(2)/25)*Calculateur!AQ114*Calculateur!AS114*VLOOKUP('Données projet'!$B$10,Paramètres!$A$1:$I$89,3,0)*0.475*44/12</f>
        <v>34.183910006516328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127.29929328982274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6.2580000000000009</v>
      </c>
      <c r="BD114" s="12">
        <f>IF('Données projet'!$A$88&gt;35,BD113+BC114-BL113,IF(A114&lt;'Données projet'!$A$88,$BA$205^A114,IF(A114='Données projet'!$A$88,'Données projet'!$B$88,BD113+BC114-BL113)))</f>
        <v>260.33199999999999</v>
      </c>
      <c r="BE114" s="13">
        <f>BD114*VLOOKUP('Données projet'!$B$11,Paramètres!$A$1:$I$89,3,0)*VLOOKUP('Données projet'!$B$11,Paramètres!$A$1:$I$89,5,0)</f>
        <v>263.97664800000001</v>
      </c>
      <c r="BF114" s="13">
        <f t="shared" si="91"/>
        <v>63.569288318665208</v>
      </c>
      <c r="BG114" s="20">
        <f t="shared" si="61"/>
        <v>570.4758390883419</v>
      </c>
      <c r="BH114" s="59">
        <f t="shared" si="62"/>
        <v>860.26138024122361</v>
      </c>
      <c r="BI114" s="59">
        <f ca="1">AVERAGE(OFFSET($BH$3,0,0,'Données projet'!$E$11+1,1))-AVERAGE(OFFSET($H$3,0,0,'Données projet'!$E$11+1,1))</f>
        <v>478.2340976873212</v>
      </c>
      <c r="BJ114" s="59">
        <f t="shared" si="92"/>
        <v>342.90128902463823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51.731279367323523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51.731279367323523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8.8910000000000018</v>
      </c>
      <c r="BY114" s="12">
        <f>IF('Données projet'!$A$114&gt;35,BY113+BX114-CG113,IF(A114&lt;'Données projet'!$A$114,$BV$205^A114,IF(A114='Données projet'!$A$114,'Données projet'!$B$114,BY113+BX114-CG113)))</f>
        <v>387.17200000000008</v>
      </c>
      <c r="BZ114" s="13">
        <f>BY114*VLOOKUP('Données projet'!$B$12,Paramètres!$A$1:$I$89,3,0)*VLOOKUP('Données projet'!$B$12,Paramètres!$A$1:$I$89,5,0)</f>
        <v>350.31322560000007</v>
      </c>
      <c r="CA114" s="13">
        <f t="shared" si="93"/>
        <v>81.62700428393056</v>
      </c>
      <c r="CB114" s="20">
        <f t="shared" si="64"/>
        <v>752.29590038117919</v>
      </c>
      <c r="CC114" s="59">
        <f t="shared" si="65"/>
        <v>1042.081441534061</v>
      </c>
      <c r="CD114" s="59">
        <f ca="1">AVERAGE(OFFSET($CC$3,0,0,'Données projet'!$E$12+1,1))-AVERAGE(OFFSET($H$3,0,0,'Données projet'!$E$12+1,1))</f>
        <v>471.03166569378629</v>
      </c>
      <c r="CE114" s="59">
        <f t="shared" si="94"/>
        <v>259.15709238853287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63.946278914796082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63.946278914796082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-4.5474735088646412E-13</v>
      </c>
      <c r="CU114" s="17">
        <f>CT114*VLOOKUP('Données projet'!$B$13,Paramètres!$A$1:$I$89,3,0)*VLOOKUP('Données projet'!$B$13,Paramètres!$A$1:$I$89,5,0)</f>
        <v>-2.1282176021486519E-13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364.67256251031029</v>
      </c>
      <c r="CZ114" s="59">
        <f t="shared" si="96"/>
        <v>347.4139588390766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183.30303130061196</v>
      </c>
      <c r="DG114" s="21">
        <f>EXP(-LN(2)/25)*DG113+(1-EXP(-LN(2)/25))/(LN(2)/25)*Calculateur!DB114*Calculateur!DD114*VLOOKUP('Données projet'!$B$13,Paramètres!$A$1:$I$89,3,0)*0.475*44/12</f>
        <v>71.345860164659456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254.64889146527142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69.032420314422282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1.35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4.95</v>
      </c>
      <c r="H115" s="67">
        <f t="shared" si="56"/>
        <v>236.86666666666665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51.998489924038495</v>
      </c>
      <c r="T115" s="59">
        <f t="shared" si="88"/>
        <v>206.32767973856241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6.8620046748966699</v>
      </c>
      <c r="AA115" s="21">
        <f>EXP(-LN(2)/25)*AA114+(1-EXP(-LN(2)/25))/(LN(2)/25)*Calculateur!V115*Calculateur!X115*VLOOKUP('Données projet'!$B$9,Paramètres!$A$1:$I$89,3,0)*0.475*44/12</f>
        <v>0.91494831034995061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7.7769529852466208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356.02637444732096</v>
      </c>
      <c r="AO115" s="59">
        <f t="shared" si="90"/>
        <v>263.30053404008095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91.28944741189656</v>
      </c>
      <c r="AV115" s="21">
        <f>EXP(-LN(2)/25)*AV114+(1-EXP(-LN(2)/25))/(LN(2)/25)*Calculateur!AQ115*Calculateur!AS115*VLOOKUP('Données projet'!$B$10,Paramètres!$A$1:$I$89,3,0)*0.475*44/12</f>
        <v>33.249149189734439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124.538596601631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6.2580000000000009</v>
      </c>
      <c r="BD115" s="12">
        <f>IF('Données projet'!$A$88&gt;35,BD114+BC115-BL114,IF(A115&lt;'Données projet'!$A$88,$BA$205^A115,IF(A115='Données projet'!$A$88,'Données projet'!$B$88,BD114+BC115-BL114)))</f>
        <v>266.58999999999997</v>
      </c>
      <c r="BE115" s="13">
        <f>BD115*VLOOKUP('Données projet'!$B$11,Paramètres!$A$1:$I$89,3,0)*VLOOKUP('Données projet'!$B$11,Paramètres!$A$1:$I$89,5,0)</f>
        <v>270.32226000000003</v>
      </c>
      <c r="BF115" s="13">
        <f t="shared" si="91"/>
        <v>64.917656244418922</v>
      </c>
      <c r="BG115" s="20">
        <f t="shared" si="61"/>
        <v>583.87618745902967</v>
      </c>
      <c r="BH115" s="59">
        <f t="shared" si="62"/>
        <v>873.7232748745671</v>
      </c>
      <c r="BI115" s="59">
        <f ca="1">AVERAGE(OFFSET($BH$3,0,0,'Données projet'!$E$11+1,1))-AVERAGE(OFFSET($H$3,0,0,'Données projet'!$E$11+1,1))</f>
        <v>478.2340976873212</v>
      </c>
      <c r="BJ115" s="59">
        <f t="shared" si="92"/>
        <v>342.90128902463823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50.716860531895129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50.716860531895129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8.8910000000000018</v>
      </c>
      <c r="BY115" s="12">
        <f>IF('Données projet'!$A$114&gt;35,BY114+BX115-CG114,IF(A115&lt;'Données projet'!$A$114,$BV$205^A115,IF(A115='Données projet'!$A$114,'Données projet'!$B$114,BY114+BX115-CG114)))</f>
        <v>396.0630000000001</v>
      </c>
      <c r="BZ115" s="13">
        <f>BY115*VLOOKUP('Données projet'!$B$12,Paramètres!$A$1:$I$89,3,0)*VLOOKUP('Données projet'!$B$12,Paramètres!$A$1:$I$89,5,0)</f>
        <v>358.35780240000008</v>
      </c>
      <c r="CA115" s="13">
        <f t="shared" si="93"/>
        <v>83.281098782801436</v>
      </c>
      <c r="CB115" s="20">
        <f t="shared" si="64"/>
        <v>769.1877528933793</v>
      </c>
      <c r="CC115" s="59">
        <f t="shared" si="65"/>
        <v>1059.0348403089167</v>
      </c>
      <c r="CD115" s="59">
        <f ca="1">AVERAGE(OFFSET($CC$3,0,0,'Données projet'!$E$12+1,1))-AVERAGE(OFFSET($H$3,0,0,'Données projet'!$E$12+1,1))</f>
        <v>471.03166569378629</v>
      </c>
      <c r="CE115" s="59">
        <f t="shared" si="94"/>
        <v>259.15709238853287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62.692331388655802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62.692331388655802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-4.5474735088646412E-13</v>
      </c>
      <c r="CU115" s="17">
        <f>CT115*VLOOKUP('Données projet'!$B$13,Paramètres!$A$1:$I$89,3,0)*VLOOKUP('Données projet'!$B$13,Paramètres!$A$1:$I$89,5,0)</f>
        <v>-2.1282176021486519E-13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364.67256251031029</v>
      </c>
      <c r="CZ115" s="59">
        <f t="shared" si="96"/>
        <v>347.4139588390766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179.70857066061635</v>
      </c>
      <c r="DG115" s="21">
        <f>EXP(-LN(2)/25)*DG114+(1-EXP(-LN(2)/25))/(LN(2)/25)*Calculateur!DB115*Calculateur!DD115*VLOOKUP('Données projet'!$B$13,Paramètres!$A$1:$I$89,3,0)*0.475*44/12</f>
        <v>69.394903866541114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249.10347452715746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69.049205658782952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1.35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4.95</v>
      </c>
      <c r="H116" s="67">
        <f t="shared" si="56"/>
        <v>236.86666666666665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51.998489924038495</v>
      </c>
      <c r="T116" s="59">
        <f t="shared" si="88"/>
        <v>206.32767973856241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6.7274449486315229</v>
      </c>
      <c r="AA116" s="21">
        <f>EXP(-LN(2)/25)*AA115+(1-EXP(-LN(2)/25))/(LN(2)/25)*Calculateur!V116*Calculateur!X116*VLOOKUP('Données projet'!$B$9,Paramètres!$A$1:$I$89,3,0)*0.475*44/12</f>
        <v>0.88992900068839076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7.617373949319914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356.02637444732096</v>
      </c>
      <c r="AO116" s="59">
        <f t="shared" si="90"/>
        <v>263.30053404008095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89.49931702921414</v>
      </c>
      <c r="AV116" s="21">
        <f>EXP(-LN(2)/25)*AV115+(1-EXP(-LN(2)/25))/(LN(2)/25)*Calculateur!AQ116*Calculateur!AS116*VLOOKUP('Données projet'!$B$10,Paramètres!$A$1:$I$89,3,0)*0.475*44/12</f>
        <v>32.339949456644383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121.83926648585853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6.2580000000000009</v>
      </c>
      <c r="BD116" s="12">
        <f>IF('Données projet'!$A$88&gt;35,BD115+BC116-BL115,IF(A116&lt;'Données projet'!$A$88,$BA$205^A116,IF(A116='Données projet'!$A$88,'Données projet'!$B$88,BD115+BC116-BL115)))</f>
        <v>272.84799999999996</v>
      </c>
      <c r="BE116" s="13">
        <f>BD116*VLOOKUP('Données projet'!$B$11,Paramètres!$A$1:$I$89,3,0)*VLOOKUP('Données projet'!$B$11,Paramètres!$A$1:$I$89,5,0)</f>
        <v>276.66787199999999</v>
      </c>
      <c r="BF116" s="13">
        <f t="shared" si="91"/>
        <v>66.262344557921764</v>
      </c>
      <c r="BG116" s="20">
        <f t="shared" si="61"/>
        <v>597.27012717171363</v>
      </c>
      <c r="BH116" s="59">
        <f t="shared" si="62"/>
        <v>887.17769315984663</v>
      </c>
      <c r="BI116" s="59">
        <f ca="1">AVERAGE(OFFSET($BH$3,0,0,'Données projet'!$E$11+1,1))-AVERAGE(OFFSET($H$3,0,0,'Données projet'!$E$11+1,1))</f>
        <v>478.2340976873212</v>
      </c>
      <c r="BJ116" s="59">
        <f t="shared" si="92"/>
        <v>342.90128902463823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49.722333831095092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49.722333831095092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8.8910000000000018</v>
      </c>
      <c r="BY116" s="12">
        <f>IF('Données projet'!$A$114&gt;35,BY115+BX116-CG115,IF(A116&lt;'Données projet'!$A$114,$BV$205^A116,IF(A116='Données projet'!$A$114,'Données projet'!$B$114,BY115+BX116-CG115)))</f>
        <v>404.95400000000012</v>
      </c>
      <c r="BZ116" s="13">
        <f>BY116*VLOOKUP('Données projet'!$B$12,Paramètres!$A$1:$I$89,3,0)*VLOOKUP('Données projet'!$B$12,Paramètres!$A$1:$I$89,5,0)</f>
        <v>366.4023792000001</v>
      </c>
      <c r="CA116" s="13">
        <f t="shared" si="93"/>
        <v>84.930876392413481</v>
      </c>
      <c r="CB116" s="20">
        <f t="shared" si="64"/>
        <v>786.07208682345356</v>
      </c>
      <c r="CC116" s="59">
        <f t="shared" si="65"/>
        <v>1075.9796528115867</v>
      </c>
      <c r="CD116" s="59">
        <f ca="1">AVERAGE(OFFSET($CC$3,0,0,'Données projet'!$E$12+1,1))-AVERAGE(OFFSET($H$3,0,0,'Données projet'!$E$12+1,1))</f>
        <v>471.03166569378629</v>
      </c>
      <c r="CE116" s="59">
        <f t="shared" si="94"/>
        <v>259.15709238853287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61.462973008670666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61.462973008670666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-4.5474735088646412E-13</v>
      </c>
      <c r="CU116" s="17">
        <f>CT116*VLOOKUP('Données projet'!$B$13,Paramètres!$A$1:$I$89,3,0)*VLOOKUP('Données projet'!$B$13,Paramètres!$A$1:$I$89,5,0)</f>
        <v>-2.1282176021486519E-13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364.67256251031029</v>
      </c>
      <c r="CZ116" s="59">
        <f t="shared" si="96"/>
        <v>347.4139588390766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176.18459520136653</v>
      </c>
      <c r="DG116" s="21">
        <f>EXP(-LN(2)/25)*DG115+(1-EXP(-LN(2)/25))/(LN(2)/25)*Calculateur!DB116*Calculateur!DD116*VLOOKUP('Données projet'!$B$13,Paramètres!$A$1:$I$89,3,0)*0.475*44/12</f>
        <v>67.497296570991153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243.68189177235769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69.065699814945361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1.35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4.95</v>
      </c>
      <c r="H117" s="67">
        <f t="shared" si="56"/>
        <v>236.86666666666665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51.998489924038495</v>
      </c>
      <c r="T117" s="59">
        <f t="shared" si="88"/>
        <v>206.32767973856241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6.5955238565251069</v>
      </c>
      <c r="AA117" s="21">
        <f>EXP(-LN(2)/25)*AA116+(1-EXP(-LN(2)/25))/(LN(2)/25)*Calculateur!V117*Calculateur!X117*VLOOKUP('Données projet'!$B$9,Paramètres!$A$1:$I$89,3,0)*0.475*44/12</f>
        <v>0.86559384536523454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7.4611177018903412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356.02637444732096</v>
      </c>
      <c r="AO117" s="59">
        <f t="shared" si="90"/>
        <v>263.30053404008095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87.7442900114644</v>
      </c>
      <c r="AV117" s="21">
        <f>EXP(-LN(2)/25)*AV116+(1-EXP(-LN(2)/25))/(LN(2)/25)*Calculateur!AQ117*Calculateur!AS117*VLOOKUP('Données projet'!$B$10,Paramètres!$A$1:$I$89,3,0)*0.475*44/12</f>
        <v>31.455611838068414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119.19990184953281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6.2580000000000009</v>
      </c>
      <c r="BD117" s="12">
        <f>IF('Données projet'!$A$88&gt;35,BD116+BC117-BL116,IF(A117&lt;'Données projet'!$A$88,$BA$205^A117,IF(A117='Données projet'!$A$88,'Données projet'!$B$88,BD116+BC117-BL116)))</f>
        <v>279.10599999999994</v>
      </c>
      <c r="BE117" s="13">
        <f>BD117*VLOOKUP('Données projet'!$B$11,Paramètres!$A$1:$I$89,3,0)*VLOOKUP('Données projet'!$B$11,Paramètres!$A$1:$I$89,5,0)</f>
        <v>283.01348400000001</v>
      </c>
      <c r="BF117" s="13">
        <f t="shared" si="91"/>
        <v>67.60344736879685</v>
      </c>
      <c r="BG117" s="20">
        <f t="shared" si="61"/>
        <v>610.65782213398779</v>
      </c>
      <c r="BH117" s="59">
        <f t="shared" si="62"/>
        <v>900.62481752669169</v>
      </c>
      <c r="BI117" s="59">
        <f ca="1">AVERAGE(OFFSET($BH$3,0,0,'Données projet'!$E$11+1,1))-AVERAGE(OFFSET($H$3,0,0,'Données projet'!$E$11+1,1))</f>
        <v>478.2340976873212</v>
      </c>
      <c r="BJ117" s="59">
        <f t="shared" si="92"/>
        <v>342.90128902463823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48.747309192296349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48.747309192296349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8.8910000000000018</v>
      </c>
      <c r="BY117" s="12">
        <f>IF('Données projet'!$A$114&gt;35,BY116+BX117-CG116,IF(A117&lt;'Données projet'!$A$114,$BV$205^A117,IF(A117='Données projet'!$A$114,'Données projet'!$B$114,BY116+BX117-CG116)))</f>
        <v>413.84500000000014</v>
      </c>
      <c r="BZ117" s="13">
        <f>BY117*VLOOKUP('Données projet'!$B$12,Paramètres!$A$1:$I$89,3,0)*VLOOKUP('Données projet'!$B$12,Paramètres!$A$1:$I$89,5,0)</f>
        <v>374.44695600000011</v>
      </c>
      <c r="CA117" s="13">
        <f t="shared" si="93"/>
        <v>86.576442807005265</v>
      </c>
      <c r="CB117" s="20">
        <f t="shared" si="64"/>
        <v>802.94908625553433</v>
      </c>
      <c r="CC117" s="59">
        <f t="shared" si="65"/>
        <v>1092.9160816482381</v>
      </c>
      <c r="CD117" s="59">
        <f ca="1">AVERAGE(OFFSET($CC$3,0,0,'Données projet'!$E$12+1,1))-AVERAGE(OFFSET($H$3,0,0,'Données projet'!$E$12+1,1))</f>
        <v>471.03166569378629</v>
      </c>
      <c r="CE117" s="59">
        <f t="shared" si="94"/>
        <v>259.15709238853287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60.257721596682465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60.257721596682465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-4.5474735088646412E-13</v>
      </c>
      <c r="CU117" s="17">
        <f>CT117*VLOOKUP('Données projet'!$B$13,Paramètres!$A$1:$I$89,3,0)*VLOOKUP('Données projet'!$B$13,Paramètres!$A$1:$I$89,5,0)</f>
        <v>-2.1282176021486519E-13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364.67256251031029</v>
      </c>
      <c r="CZ117" s="59">
        <f t="shared" si="96"/>
        <v>347.4139588390766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172.72972275145983</v>
      </c>
      <c r="DG117" s="21">
        <f>EXP(-LN(2)/25)*DG116+(1-EXP(-LN(2)/25))/(LN(2)/25)*Calculateur!DB117*Calculateur!DD117*VLOOKUP('Données projet'!$B$13,Paramètres!$A$1:$I$89,3,0)*0.475*44/12</f>
        <v>65.651579446728846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238.38130219818868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69.081907834373766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1.35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4.95</v>
      </c>
      <c r="H118" s="67">
        <f t="shared" si="56"/>
        <v>236.86666666666665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51.998489924038495</v>
      </c>
      <c r="T118" s="59">
        <f t="shared" si="88"/>
        <v>206.32767973856241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6.4661896565709762</v>
      </c>
      <c r="AA118" s="21">
        <f>EXP(-LN(2)/25)*AA117+(1-EXP(-LN(2)/25))/(LN(2)/25)*Calculateur!V118*Calculateur!X118*VLOOKUP('Données projet'!$B$9,Paramètres!$A$1:$I$89,3,0)*0.475*44/12</f>
        <v>0.84192413614412021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7.3081137927150968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356.02637444732096</v>
      </c>
      <c r="AO118" s="59">
        <f t="shared" si="90"/>
        <v>263.30053404008095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86.02367800307195</v>
      </c>
      <c r="AV118" s="21">
        <f>EXP(-LN(2)/25)*AV117+(1-EXP(-LN(2)/25))/(LN(2)/25)*Calculateur!AQ118*Calculateur!AS118*VLOOKUP('Données projet'!$B$10,Paramètres!$A$1:$I$89,3,0)*0.475*44/12</f>
        <v>30.595456478177699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116.61913448124965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6.2580000000000009</v>
      </c>
      <c r="BD118" s="12">
        <f>IF('Données projet'!$A$88&gt;35,BD117+BC118-BL117,IF(A118&lt;'Données projet'!$A$88,$BA$205^A118,IF(A118='Données projet'!$A$88,'Données projet'!$B$88,BD117+BC118-BL117)))</f>
        <v>285.36399999999992</v>
      </c>
      <c r="BE118" s="13">
        <f>BD118*VLOOKUP('Données projet'!$B$11,Paramètres!$A$1:$I$89,3,0)*VLOOKUP('Données projet'!$B$11,Paramètres!$A$1:$I$89,5,0)</f>
        <v>289.35909599999991</v>
      </c>
      <c r="BF118" s="13">
        <f t="shared" si="91"/>
        <v>68.94105432557717</v>
      </c>
      <c r="BG118" s="20">
        <f t="shared" si="61"/>
        <v>624.03942848371332</v>
      </c>
      <c r="BH118" s="59">
        <f t="shared" si="62"/>
        <v>914.06482231368295</v>
      </c>
      <c r="BI118" s="59">
        <f ca="1">AVERAGE(OFFSET($BH$3,0,0,'Données projet'!$E$11+1,1))-AVERAGE(OFFSET($H$3,0,0,'Données projet'!$E$11+1,1))</f>
        <v>478.2340976873212</v>
      </c>
      <c r="BJ118" s="59">
        <f t="shared" si="92"/>
        <v>342.90128902463823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47.791404191958144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47.791404191958144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8.8910000000000018</v>
      </c>
      <c r="BY118" s="12">
        <f>IF('Données projet'!$A$114&gt;35,BY117+BX118-CG117,IF(A118&lt;'Données projet'!$A$114,$BV$205^A118,IF(A118='Données projet'!$A$114,'Données projet'!$B$114,BY117+BX118-CG117)))</f>
        <v>422.73600000000016</v>
      </c>
      <c r="BZ118" s="13">
        <f>BY118*VLOOKUP('Données projet'!$B$12,Paramètres!$A$1:$I$89,3,0)*VLOOKUP('Données projet'!$B$12,Paramètres!$A$1:$I$89,5,0)</f>
        <v>382.49153280000013</v>
      </c>
      <c r="CA118" s="13">
        <f t="shared" si="93"/>
        <v>88.217898919950926</v>
      </c>
      <c r="CB118" s="20">
        <f t="shared" si="64"/>
        <v>819.818926912248</v>
      </c>
      <c r="CC118" s="59">
        <f t="shared" si="65"/>
        <v>1109.8443207422176</v>
      </c>
      <c r="CD118" s="59">
        <f ca="1">AVERAGE(OFFSET($CC$3,0,0,'Données projet'!$E$12+1,1))-AVERAGE(OFFSET($H$3,0,0,'Données projet'!$E$12+1,1))</f>
        <v>471.03166569378629</v>
      </c>
      <c r="CE118" s="59">
        <f t="shared" si="94"/>
        <v>259.15709238853287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59.076104429752583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59.076104429752583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-4.5474735088646412E-13</v>
      </c>
      <c r="CU118" s="17">
        <f>CT118*VLOOKUP('Données projet'!$B$13,Paramètres!$A$1:$I$89,3,0)*VLOOKUP('Données projet'!$B$13,Paramètres!$A$1:$I$89,5,0)</f>
        <v>-2.1282176021486519E-13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364.67256251031029</v>
      </c>
      <c r="CZ118" s="59">
        <f t="shared" si="96"/>
        <v>347.4139588390766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169.34259824303166</v>
      </c>
      <c r="DG118" s="21">
        <f>EXP(-LN(2)/25)*DG117+(1-EXP(-LN(2)/25))/(LN(2)/25)*Calculateur!DB118*Calculateur!DD118*VLOOKUP('Données projet'!$B$13,Paramètres!$A$1:$I$89,3,0)*0.475*44/12</f>
        <v>63.856333554291531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233.19893179732318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69.097834680900803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1.35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4.95</v>
      </c>
      <c r="H119" s="67">
        <f t="shared" si="56"/>
        <v>236.86666666666665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51.998489924038495</v>
      </c>
      <c r="T119" s="59">
        <f t="shared" si="88"/>
        <v>206.32767973856241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6.339391621391874</v>
      </c>
      <c r="AA119" s="21">
        <f>EXP(-LN(2)/25)*AA118+(1-EXP(-LN(2)/25))/(LN(2)/25)*Calculateur!V119*Calculateur!X119*VLOOKUP('Données projet'!$B$9,Paramètres!$A$1:$I$89,3,0)*0.475*44/12</f>
        <v>0.81890167636639322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7.1582932977582674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356.02637444732096</v>
      </c>
      <c r="AO119" s="59">
        <f t="shared" si="90"/>
        <v>263.30053404008095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84.336806146694386</v>
      </c>
      <c r="AV119" s="21">
        <f>EXP(-LN(2)/25)*AV118+(1-EXP(-LN(2)/25))/(LN(2)/25)*Calculateur!AQ119*Calculateur!AS119*VLOOKUP('Données projet'!$B$10,Paramètres!$A$1:$I$89,3,0)*0.475*44/12</f>
        <v>29.7588221118368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114.09562825853118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6.2580000000000009</v>
      </c>
      <c r="BD119" s="12">
        <f>IF('Données projet'!$A$88&gt;35,BD118+BC119-BL118,IF(A119&lt;'Données projet'!$A$88,$BA$205^A119,IF(A119='Données projet'!$A$88,'Données projet'!$B$88,BD118+BC119-BL118)))</f>
        <v>291.6219999999999</v>
      </c>
      <c r="BE119" s="13">
        <f>BD119*VLOOKUP('Données projet'!$B$11,Paramètres!$A$1:$I$89,3,0)*VLOOKUP('Données projet'!$B$11,Paramètres!$A$1:$I$89,5,0)</f>
        <v>295.70470799999993</v>
      </c>
      <c r="BF119" s="13">
        <f t="shared" si="91"/>
        <v>70.275250920295719</v>
      </c>
      <c r="BG119" s="20">
        <f t="shared" si="61"/>
        <v>637.41509511951483</v>
      </c>
      <c r="BH119" s="59">
        <f t="shared" si="62"/>
        <v>927.49787430442302</v>
      </c>
      <c r="BI119" s="59">
        <f ca="1">AVERAGE(OFFSET($BH$3,0,0,'Données projet'!$E$11+1,1))-AVERAGE(OFFSET($H$3,0,0,'Données projet'!$E$11+1,1))</f>
        <v>478.2340976873212</v>
      </c>
      <c r="BJ119" s="59">
        <f t="shared" si="92"/>
        <v>342.90128902463823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46.854243905632089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46.854243905632089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8.8910000000000018</v>
      </c>
      <c r="BY119" s="12">
        <f>IF('Données projet'!$A$114&gt;35,BY118+BX119-CG118,IF(A119&lt;'Données projet'!$A$114,$BV$205^A119,IF(A119='Données projet'!$A$114,'Données projet'!$B$114,BY118+BX119-CG118)))</f>
        <v>431.62700000000018</v>
      </c>
      <c r="BZ119" s="13">
        <f>BY119*VLOOKUP('Données projet'!$B$12,Paramètres!$A$1:$I$89,3,0)*VLOOKUP('Données projet'!$B$12,Paramètres!$A$1:$I$89,5,0)</f>
        <v>390.53610960000015</v>
      </c>
      <c r="CA119" s="13">
        <f t="shared" si="93"/>
        <v>89.855341138137547</v>
      </c>
      <c r="CB119" s="20">
        <f t="shared" si="64"/>
        <v>836.68177670225657</v>
      </c>
      <c r="CC119" s="59">
        <f t="shared" si="65"/>
        <v>1126.7645558871648</v>
      </c>
      <c r="CD119" s="59">
        <f ca="1">AVERAGE(OFFSET($CC$3,0,0,'Données projet'!$E$12+1,1))-AVERAGE(OFFSET($H$3,0,0,'Données projet'!$E$12+1,1))</f>
        <v>471.03166569378629</v>
      </c>
      <c r="CE119" s="59">
        <f t="shared" si="94"/>
        <v>259.15709238853287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57.917658054750888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57.917658054750888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-4.5474735088646412E-13</v>
      </c>
      <c r="CU119" s="17">
        <f>CT119*VLOOKUP('Données projet'!$B$13,Paramètres!$A$1:$I$89,3,0)*VLOOKUP('Données projet'!$B$13,Paramètres!$A$1:$I$89,5,0)</f>
        <v>-2.1282176021486519E-13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364.67256251031029</v>
      </c>
      <c r="CZ119" s="59">
        <f t="shared" si="96"/>
        <v>347.4139588390766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166.0218931802718</v>
      </c>
      <c r="DG119" s="21">
        <f>EXP(-LN(2)/25)*DG118+(1-EXP(-LN(2)/25))/(LN(2)/25)*Calculateur!DB119*Calculateur!DD119*VLOOKUP('Données projet'!$B$13,Paramètres!$A$1:$I$89,3,0)*0.475*44/12</f>
        <v>62.110178755190795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228.13207193546259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69.113485232247683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1.35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4.95</v>
      </c>
      <c r="H120" s="67">
        <f t="shared" si="56"/>
        <v>236.86666666666665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51.998489924038495</v>
      </c>
      <c r="T120" s="59">
        <f t="shared" si="88"/>
        <v>206.32767973856241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6.2150800183434685</v>
      </c>
      <c r="AA120" s="21">
        <f>EXP(-LN(2)/25)*AA119+(1-EXP(-LN(2)/25))/(LN(2)/25)*Calculateur!V120*Calculateur!X120*VLOOKUP('Données projet'!$B$9,Paramètres!$A$1:$I$89,3,0)*0.475*44/12</f>
        <v>0.79650876696198669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7.011588785305455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356.02637444732096</v>
      </c>
      <c r="AO120" s="59">
        <f t="shared" si="90"/>
        <v>263.30053404008095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82.683012818530145</v>
      </c>
      <c r="AV120" s="21">
        <f>EXP(-LN(2)/25)*AV119+(1-EXP(-LN(2)/25))/(LN(2)/25)*Calculateur!AQ120*Calculateur!AS120*VLOOKUP('Données projet'!$B$10,Paramètres!$A$1:$I$89,3,0)*0.475*44/12</f>
        <v>28.945065556240181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111.62807837477033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>
        <f>VLOOKUP(A120,'Données projet'!$A$87:$I$107,2,0)</f>
        <v>297.88</v>
      </c>
      <c r="BB120" s="12">
        <f>VLOOKUP(A120,'Données projet'!$A$87:$I$107,9,0)</f>
        <v>6.2580000000000009</v>
      </c>
      <c r="BC120" s="12">
        <f t="array" ref="BC120">INDEX(BB:BB,MIN(IF(ISNUMBER(BB120:BB316),ROW(BB120:BB316),"")))</f>
        <v>6.2580000000000009</v>
      </c>
      <c r="BD120" s="12">
        <f>IF('Données projet'!$A$88&gt;35,BD119+BC120-BL119,IF(A120&lt;'Données projet'!$A$88,$BA$205^A120,IF(A120='Données projet'!$A$88,'Données projet'!$B$88,BD119+BC120-BL119)))</f>
        <v>297.87999999999988</v>
      </c>
      <c r="BE120" s="13">
        <f>BD120*VLOOKUP('Données projet'!$B$11,Paramètres!$A$1:$I$89,3,0)*VLOOKUP('Données projet'!$B$11,Paramètres!$A$1:$I$89,5,0)</f>
        <v>302.05031999999989</v>
      </c>
      <c r="BF120" s="13">
        <f t="shared" si="91"/>
        <v>71.606118766193447</v>
      </c>
      <c r="BG120" s="20">
        <f t="shared" si="61"/>
        <v>650.78496418445332</v>
      </c>
      <c r="BH120" s="59">
        <f t="shared" si="62"/>
        <v>940.92413321668619</v>
      </c>
      <c r="BI120" s="59">
        <f ca="1">AVERAGE(OFFSET($BH$3,0,0,'Données projet'!$E$11+1,1))-AVERAGE(OFFSET($H$3,0,0,'Données projet'!$E$11+1,1))</f>
        <v>478.2340976873212</v>
      </c>
      <c r="BJ120" s="59">
        <f t="shared" si="92"/>
        <v>342.90128902463823</v>
      </c>
      <c r="BK120" s="15">
        <f>IF(ISNA(VLOOKUP(A120,'Données projet'!$A$87:$I$107,3,0)),0,VLOOKUP(A120,'Données projet'!$A$87:$I$107,3,0))</f>
        <v>10</v>
      </c>
      <c r="BL120" s="15">
        <f>IF(ISNA(VLOOKUP(A120,'Données projet'!$A$87:$I$107,4,0)),0,VLOOKUP(A120,'Données projet'!$A$87:$I$107,4,0))</f>
        <v>42.89</v>
      </c>
      <c r="BM120" s="16">
        <f>IF(ISNA(VLOOKUP(A120,'Données projet'!$A$87:$I$107,5,0)),0%,VLOOKUP(A120,'Données projet'!$A$87:$I$107,5,0)*VLOOKUP('Données projet'!$B$11,Paramètres!$A$1:$I$89,7,0))</f>
        <v>0.25800000000000001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58.339433914053302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58.339433914053302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8.8910000000000018</v>
      </c>
      <c r="BY120" s="12">
        <f>IF('Données projet'!$A$114&gt;35,BY119+BX120-CG119,IF(A120&lt;'Données projet'!$A$114,$BV$205^A120,IF(A120='Données projet'!$A$114,'Données projet'!$B$114,BY119+BX120-CG119)))</f>
        <v>440.5180000000002</v>
      </c>
      <c r="BZ120" s="13">
        <f>BY120*VLOOKUP('Données projet'!$B$12,Paramètres!$A$1:$I$89,3,0)*VLOOKUP('Données projet'!$B$12,Paramètres!$A$1:$I$89,5,0)</f>
        <v>398.58068640000016</v>
      </c>
      <c r="CA120" s="13">
        <f t="shared" si="93"/>
        <v>91.488861669707461</v>
      </c>
      <c r="CB120" s="20">
        <f t="shared" si="64"/>
        <v>853.53779622140735</v>
      </c>
      <c r="CC120" s="59">
        <f t="shared" si="65"/>
        <v>1143.6769652536402</v>
      </c>
      <c r="CD120" s="59">
        <f ca="1">AVERAGE(OFFSET($CC$3,0,0,'Données projet'!$E$12+1,1))-AVERAGE(OFFSET($H$3,0,0,'Données projet'!$E$12+1,1))</f>
        <v>471.03166569378629</v>
      </c>
      <c r="CE120" s="59">
        <f t="shared" si="94"/>
        <v>259.15709238853287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56.781928106580459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56.781928106580459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-4.5474735088646412E-13</v>
      </c>
      <c r="CU120" s="17">
        <f>CT120*VLOOKUP('Données projet'!$B$13,Paramètres!$A$1:$I$89,3,0)*VLOOKUP('Données projet'!$B$13,Paramètres!$A$1:$I$89,5,0)</f>
        <v>-2.1282176021486519E-13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364.67256251031029</v>
      </c>
      <c r="CZ120" s="59">
        <f t="shared" si="96"/>
        <v>347.4139588390766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162.7663051183626</v>
      </c>
      <c r="DG120" s="21">
        <f>EXP(-LN(2)/25)*DG119+(1-EXP(-LN(2)/25))/(LN(2)/25)*Calculateur!DB120*Calculateur!DD120*VLOOKUP('Données projet'!$B$13,Paramètres!$A$1:$I$89,3,0)*0.475*44/12</f>
        <v>60.41177265089776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223.17807776926037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69.128864281518076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1.35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4.95</v>
      </c>
      <c r="H121" s="67">
        <f t="shared" si="56"/>
        <v>236.86666666666665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51.998489924038495</v>
      </c>
      <c r="T121" s="59">
        <f t="shared" si="88"/>
        <v>206.32767973856241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6.093206090008251</v>
      </c>
      <c r="AA121" s="21">
        <f>EXP(-LN(2)/25)*AA120+(1-EXP(-LN(2)/25))/(LN(2)/25)*Calculateur!V121*Calculateur!X121*VLOOKUP('Données projet'!$B$9,Paramètres!$A$1:$I$89,3,0)*0.475*44/12</f>
        <v>0.77472819284283556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6.8679342828510865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356.02637444732096</v>
      </c>
      <c r="AO121" s="59">
        <f t="shared" si="90"/>
        <v>263.30053404008095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81.061649368816873</v>
      </c>
      <c r="AV121" s="21">
        <f>EXP(-LN(2)/25)*AV120+(1-EXP(-LN(2)/25))/(LN(2)/25)*Calculateur!AQ121*Calculateur!AS121*VLOOKUP('Données projet'!$B$10,Paramètres!$A$1:$I$89,3,0)*0.475*44/12</f>
        <v>28.153561216449951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109.21521058526682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6.4216666666666669</v>
      </c>
      <c r="BD121" s="12">
        <f>IF('Données projet'!$A$88&gt;35,BD120+BC121-BL120,IF(A121&lt;'Données projet'!$A$88,$BA$205^A121,IF(A121='Données projet'!$A$88,'Données projet'!$B$88,BD120+BC121-BL120)))</f>
        <v>261.41166666666658</v>
      </c>
      <c r="BE121" s="13">
        <f>BD121*VLOOKUP('Données projet'!$B$11,Paramètres!$A$1:$I$89,3,0)*VLOOKUP('Données projet'!$B$11,Paramètres!$A$1:$I$89,5,0)</f>
        <v>265.07142999999991</v>
      </c>
      <c r="BF121" s="13">
        <f t="shared" si="91"/>
        <v>63.802183507918961</v>
      </c>
      <c r="BG121" s="20">
        <f t="shared" si="61"/>
        <v>572.78821019295867</v>
      </c>
      <c r="BH121" s="59">
        <f t="shared" si="62"/>
        <v>862.98279083473415</v>
      </c>
      <c r="BI121" s="59">
        <f ca="1">AVERAGE(OFFSET($BH$3,0,0,'Données projet'!$E$11+1,1))-AVERAGE(OFFSET($H$3,0,0,'Données projet'!$E$11+1,1))</f>
        <v>478.2340976873212</v>
      </c>
      <c r="BJ121" s="59">
        <f t="shared" si="92"/>
        <v>342.90128902463823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57.195433198539824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57.195433198539824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8.8910000000000018</v>
      </c>
      <c r="BY121" s="12">
        <f>IF('Données projet'!$A$114&gt;35,BY120+BX121-CG120,IF(A121&lt;'Données projet'!$A$114,$BV$205^A121,IF(A121='Données projet'!$A$114,'Données projet'!$B$114,BY120+BX121-CG120)))</f>
        <v>449.40900000000022</v>
      </c>
      <c r="BZ121" s="13">
        <f>BY121*VLOOKUP('Données projet'!$B$12,Paramètres!$A$1:$I$89,3,0)*VLOOKUP('Données projet'!$B$12,Paramètres!$A$1:$I$89,5,0)</f>
        <v>406.62526320000018</v>
      </c>
      <c r="CA121" s="13">
        <f t="shared" si="93"/>
        <v>93.118548787915188</v>
      </c>
      <c r="CB121" s="20">
        <f t="shared" si="64"/>
        <v>870.38713921228589</v>
      </c>
      <c r="CC121" s="59">
        <f t="shared" si="65"/>
        <v>1160.5817198540612</v>
      </c>
      <c r="CD121" s="59">
        <f ca="1">AVERAGE(OFFSET($CC$3,0,0,'Données projet'!$E$12+1,1))-AVERAGE(OFFSET($H$3,0,0,'Données projet'!$E$12+1,1))</f>
        <v>471.03166569378629</v>
      </c>
      <c r="CE121" s="59">
        <f t="shared" si="94"/>
        <v>259.15709238853287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55.66846912996678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55.66846912996678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-4.5474735088646412E-13</v>
      </c>
      <c r="CU121" s="17">
        <f>CT121*VLOOKUP('Données projet'!$B$13,Paramètres!$A$1:$I$89,3,0)*VLOOKUP('Données projet'!$B$13,Paramètres!$A$1:$I$89,5,0)</f>
        <v>-2.1282176021486519E-13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364.67256251031029</v>
      </c>
      <c r="CZ121" s="59">
        <f t="shared" si="96"/>
        <v>347.4139588390766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159.57455715263478</v>
      </c>
      <c r="DG121" s="21">
        <f>EXP(-LN(2)/25)*DG120+(1-EXP(-LN(2)/25))/(LN(2)/25)*Calculateur!DB121*Calculateur!DD121*VLOOKUP('Données projet'!$B$13,Paramètres!$A$1:$I$89,3,0)*0.475*44/12</f>
        <v>58.759809550841908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218.33436670347669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69.143976538666038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1.35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4.95</v>
      </c>
      <c r="H122" s="67">
        <f t="shared" si="56"/>
        <v>236.86666666666665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51.998489924038495</v>
      </c>
      <c r="T122" s="59">
        <f t="shared" si="88"/>
        <v>206.32767973856241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5.9737220350719316</v>
      </c>
      <c r="AA122" s="21">
        <f>EXP(-LN(2)/25)*AA121+(1-EXP(-LN(2)/25))/(LN(2)/25)*Calculateur!V122*Calculateur!X122*VLOOKUP('Données projet'!$B$9,Paramètres!$A$1:$I$89,3,0)*0.475*44/12</f>
        <v>0.75354320966836319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6.7272652447402947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356.02637444732096</v>
      </c>
      <c r="AO122" s="59">
        <f t="shared" si="90"/>
        <v>263.30053404008095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79.472079867418429</v>
      </c>
      <c r="AV122" s="21">
        <f>EXP(-LN(2)/25)*AV121+(1-EXP(-LN(2)/25))/(LN(2)/25)*Calculateur!AQ122*Calculateur!AS122*VLOOKUP('Données projet'!$B$10,Paramètres!$A$1:$I$89,3,0)*0.475*44/12</f>
        <v>27.383700604454688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106.85578047187312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6.4216666666666669</v>
      </c>
      <c r="BD122" s="12">
        <f>IF('Données projet'!$A$88&gt;35,BD121+BC122-BL121,IF(A122&lt;'Données projet'!$A$88,$BA$205^A122,IF(A122='Données projet'!$A$88,'Données projet'!$B$88,BD121+BC122-BL121)))</f>
        <v>267.83333333333326</v>
      </c>
      <c r="BE122" s="13">
        <f>BD122*VLOOKUP('Données projet'!$B$11,Paramètres!$A$1:$I$89,3,0)*VLOOKUP('Données projet'!$B$11,Paramètres!$A$1:$I$89,5,0)</f>
        <v>271.58299999999991</v>
      </c>
      <c r="BF122" s="13">
        <f t="shared" si="91"/>
        <v>65.185107454193357</v>
      </c>
      <c r="BG122" s="20">
        <f t="shared" si="61"/>
        <v>586.53778714938653</v>
      </c>
      <c r="BH122" s="59">
        <f t="shared" si="62"/>
        <v>876.78681813316075</v>
      </c>
      <c r="BI122" s="59">
        <f ca="1">AVERAGE(OFFSET($BH$3,0,0,'Données projet'!$E$11+1,1))-AVERAGE(OFFSET($H$3,0,0,'Données projet'!$E$11+1,1))</f>
        <v>478.2340976873212</v>
      </c>
      <c r="BJ122" s="59">
        <f t="shared" si="92"/>
        <v>342.90128902463823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56.073865639286026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56.073865639286026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458.3</v>
      </c>
      <c r="BW122" s="12">
        <f>VLOOKUP(A122,'Données projet'!$A$113:$I$133,9,0)</f>
        <v>8.8910000000000018</v>
      </c>
      <c r="BX122" s="12">
        <f t="array" ref="BX122">INDEX(BW:BW,MIN(IF(ISNUMBER(BW122:BW318),ROW(BW122:BW318),"")))</f>
        <v>8.8910000000000018</v>
      </c>
      <c r="BY122" s="12">
        <f>IF('Données projet'!$A$114&gt;35,BY121+BX122-CG121,IF(A122&lt;'Données projet'!$A$114,$BV$205^A122,IF(A122='Données projet'!$A$114,'Données projet'!$B$114,BY121+BX122-CG121)))</f>
        <v>458.30000000000024</v>
      </c>
      <c r="BZ122" s="13">
        <f>BY122*VLOOKUP('Données projet'!$B$12,Paramètres!$A$1:$I$89,3,0)*VLOOKUP('Données projet'!$B$12,Paramètres!$A$1:$I$89,5,0)</f>
        <v>414.66984000000025</v>
      </c>
      <c r="CA122" s="13">
        <f t="shared" si="93"/>
        <v>94.744487073512715</v>
      </c>
      <c r="CB122" s="20">
        <f t="shared" si="64"/>
        <v>887.2299529863684</v>
      </c>
      <c r="CC122" s="59">
        <f t="shared" si="65"/>
        <v>1177.4789839701425</v>
      </c>
      <c r="CD122" s="59">
        <f ca="1">AVERAGE(OFFSET($CC$3,0,0,'Données projet'!$E$12+1,1))-AVERAGE(OFFSET($H$3,0,0,'Données projet'!$E$12+1,1))</f>
        <v>471.03166569378629</v>
      </c>
      <c r="CE122" s="59">
        <f t="shared" si="94"/>
        <v>259.15709238853287</v>
      </c>
      <c r="CF122" s="15">
        <f>IF(ISNA(VLOOKUP(A122,'Données projet'!$A$113:$I$133,3,0)),0,VLOOKUP(A122,'Données projet'!$A$113:$I$133,3,0))</f>
        <v>12</v>
      </c>
      <c r="CG122" s="15">
        <f>IF(ISNA(VLOOKUP(A122,'Données projet'!$A$113:$I$133,4,0)),0,VLOOKUP(A122,'Données projet'!$A$113:$I$133,4,0))</f>
        <v>231.19</v>
      </c>
      <c r="CH122" s="16">
        <f>IF(ISNA(VLOOKUP(A122,'Données projet'!$A$113:$I$133,5,0)),0%,VLOOKUP(A122,'Données projet'!$A$113:$I$133,5,0)*VLOOKUP('Données projet'!$B$12,Paramètres!$A$1:$I$89,7,0))</f>
        <v>0.25800000000000001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114.23755932482968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114.23755932482968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-4.5474735088646412E-13</v>
      </c>
      <c r="CU122" s="17">
        <f>CT122*VLOOKUP('Données projet'!$B$13,Paramètres!$A$1:$I$89,3,0)*VLOOKUP('Données projet'!$B$13,Paramètres!$A$1:$I$89,5,0)</f>
        <v>-2.1282176021486519E-13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364.67256251031029</v>
      </c>
      <c r="CZ122" s="59">
        <f t="shared" si="96"/>
        <v>347.4139588390766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156.44539741774085</v>
      </c>
      <c r="DG122" s="21">
        <f>EXP(-LN(2)/25)*DG121+(1-EXP(-LN(2)/25))/(LN(2)/25)*Calculateur!DB122*Calculateur!DD122*VLOOKUP('Données projet'!$B$13,Paramètres!$A$1:$I$89,3,0)*0.475*44/12</f>
        <v>57.153019468630049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213.5984168863709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69.158826631938425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1.35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4.95</v>
      </c>
      <c r="H123" s="67">
        <f t="shared" si="56"/>
        <v>236.86666666666665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51.998489924038495</v>
      </c>
      <c r="T123" s="59">
        <f t="shared" si="88"/>
        <v>206.32767973856241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5.8565809895748355</v>
      </c>
      <c r="AA123" s="21">
        <f>EXP(-LN(2)/25)*AA122+(1-EXP(-LN(2)/25))/(LN(2)/25)*Calculateur!V123*Calculateur!X123*VLOOKUP('Données projet'!$B$9,Paramètres!$A$1:$I$89,3,0)*0.475*44/12</f>
        <v>0.73293753097286662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6.5895185205477018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356.02637444732096</v>
      </c>
      <c r="AO123" s="59">
        <f t="shared" si="90"/>
        <v>263.30053404008095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77.913680854400738</v>
      </c>
      <c r="AV123" s="21">
        <f>EXP(-LN(2)/25)*AV122+(1-EXP(-LN(2)/25))/(LN(2)/25)*Calculateur!AQ123*Calculateur!AS123*VLOOKUP('Données projet'!$B$10,Paramètres!$A$1:$I$89,3,0)*0.475*44/12</f>
        <v>26.634891871379647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104.54857272578039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6.4216666666666669</v>
      </c>
      <c r="BD123" s="12">
        <f>IF('Données projet'!$A$88&gt;35,BD122+BC123-BL122,IF(A123&lt;'Données projet'!$A$88,$BA$205^A123,IF(A123='Données projet'!$A$88,'Données projet'!$B$88,BD122+BC123-BL122)))</f>
        <v>274.25499999999994</v>
      </c>
      <c r="BE123" s="13">
        <f>BD123*VLOOKUP('Données projet'!$B$11,Paramètres!$A$1:$I$89,3,0)*VLOOKUP('Données projet'!$B$11,Paramètres!$A$1:$I$89,5,0)</f>
        <v>278.09456999999998</v>
      </c>
      <c r="BF123" s="13">
        <f t="shared" si="91"/>
        <v>66.564176860934467</v>
      </c>
      <c r="BG123" s="20">
        <f t="shared" si="61"/>
        <v>600.28065078279417</v>
      </c>
      <c r="BH123" s="59">
        <f t="shared" si="62"/>
        <v>890.58318751686625</v>
      </c>
      <c r="BI123" s="59">
        <f ca="1">AVERAGE(OFFSET($BH$3,0,0,'Données projet'!$E$11+1,1))-AVERAGE(OFFSET($H$3,0,0,'Données projet'!$E$11+1,1))</f>
        <v>478.2340976873212</v>
      </c>
      <c r="BJ123" s="59">
        <f t="shared" si="92"/>
        <v>342.90128902463823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54.974291335780535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54.974291335780535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3.9449999999999932</v>
      </c>
      <c r="BY123" s="12">
        <f>IF('Données projet'!$A$114&gt;35,BY122+BX123-CG122,IF(A123&lt;'Données projet'!$A$114,$BV$205^A123,IF(A123='Données projet'!$A$114,'Données projet'!$B$114,BY122+BX123-CG122)))</f>
        <v>231.05500000000023</v>
      </c>
      <c r="BZ123" s="13">
        <f>BY123*VLOOKUP('Données projet'!$B$12,Paramètres!$A$1:$I$89,3,0)*VLOOKUP('Données projet'!$B$12,Paramètres!$A$1:$I$89,5,0)</f>
        <v>209.05856400000022</v>
      </c>
      <c r="CA123" s="13">
        <f t="shared" si="93"/>
        <v>51.729804479540071</v>
      </c>
      <c r="CB123" s="20">
        <f t="shared" si="64"/>
        <v>454.20640843519931</v>
      </c>
      <c r="CC123" s="59">
        <f t="shared" si="65"/>
        <v>744.50894516927133</v>
      </c>
      <c r="CD123" s="59">
        <f ca="1">AVERAGE(OFFSET($CC$3,0,0,'Données projet'!$E$12+1,1))-AVERAGE(OFFSET($H$3,0,0,'Données projet'!$E$12+1,1))</f>
        <v>471.03166569378629</v>
      </c>
      <c r="CE123" s="59">
        <f t="shared" si="94"/>
        <v>259.15709238853287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111.99743046450082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111.99743046450082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-4.5474735088646412E-13</v>
      </c>
      <c r="CU123" s="17">
        <f>CT123*VLOOKUP('Données projet'!$B$13,Paramètres!$A$1:$I$89,3,0)*VLOOKUP('Données projet'!$B$13,Paramètres!$A$1:$I$89,5,0)</f>
        <v>-2.1282176021486519E-13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364.67256251031029</v>
      </c>
      <c r="CZ123" s="59">
        <f t="shared" si="96"/>
        <v>347.4139588390766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153.37759859664922</v>
      </c>
      <c r="DG123" s="21">
        <f>EXP(-LN(2)/25)*DG122+(1-EXP(-LN(2)/25))/(LN(2)/25)*Calculateur!DB123*Calculateur!DD123*VLOOKUP('Données projet'!$B$13,Paramètres!$A$1:$I$89,3,0)*0.475*44/12</f>
        <v>55.590167145713693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208.96776574236293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69.173419109292382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1.35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4.95</v>
      </c>
      <c r="H124" s="67">
        <f t="shared" si="56"/>
        <v>236.86666666666665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51.998489924038495</v>
      </c>
      <c r="T124" s="59">
        <f t="shared" si="88"/>
        <v>206.32767973856241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5.7417370085309551</v>
      </c>
      <c r="AA124" s="21">
        <f>EXP(-LN(2)/25)*AA123+(1-EXP(-LN(2)/25))/(LN(2)/25)*Calculateur!V124*Calculateur!X124*VLOOKUP('Données projet'!$B$9,Paramètres!$A$1:$I$89,3,0)*0.475*44/12</f>
        <v>0.71289531564490394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6.4546323241758587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356.02637444732096</v>
      </c>
      <c r="AO124" s="59">
        <f t="shared" si="90"/>
        <v>263.30053404008095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76.38584109549879</v>
      </c>
      <c r="AV124" s="21">
        <f>EXP(-LN(2)/25)*AV123+(1-EXP(-LN(2)/25))/(LN(2)/25)*Calculateur!AQ124*Calculateur!AS124*VLOOKUP('Données projet'!$B$10,Paramètres!$A$1:$I$89,3,0)*0.475*44/12</f>
        <v>25.906559352488681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102.29240044798748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6.4216666666666669</v>
      </c>
      <c r="BD124" s="12">
        <f>IF('Données projet'!$A$88&gt;35,BD123+BC124-BL123,IF(A124&lt;'Données projet'!$A$88,$BA$205^A124,IF(A124='Données projet'!$A$88,'Données projet'!$B$88,BD123+BC124-BL123)))</f>
        <v>280.67666666666662</v>
      </c>
      <c r="BE124" s="13">
        <f>BD124*VLOOKUP('Données projet'!$B$11,Paramètres!$A$1:$I$89,3,0)*VLOOKUP('Données projet'!$B$11,Paramètres!$A$1:$I$89,5,0)</f>
        <v>284.60613999999993</v>
      </c>
      <c r="BF124" s="13">
        <f t="shared" si="91"/>
        <v>67.939492368939085</v>
      </c>
      <c r="BG124" s="20">
        <f t="shared" si="61"/>
        <v>614.01697637590212</v>
      </c>
      <c r="BH124" s="59">
        <f t="shared" si="62"/>
        <v>904.37209065512525</v>
      </c>
      <c r="BI124" s="59">
        <f ca="1">AVERAGE(OFFSET($BH$3,0,0,'Données projet'!$E$11+1,1))-AVERAGE(OFFSET($H$3,0,0,'Données projet'!$E$11+1,1))</f>
        <v>478.2340976873212</v>
      </c>
      <c r="BJ124" s="59">
        <f t="shared" si="92"/>
        <v>342.90128902463823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53.896279013692684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53.896279013692684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3.9449999999999932</v>
      </c>
      <c r="BY124" s="12">
        <f>IF('Données projet'!$A$114&gt;35,BY123+BX124-CG123,IF(A124&lt;'Données projet'!$A$114,$BV$205^A124,IF(A124='Données projet'!$A$114,'Données projet'!$B$114,BY123+BX124-CG123)))</f>
        <v>235.00000000000023</v>
      </c>
      <c r="BZ124" s="13">
        <f>BY124*VLOOKUP('Données projet'!$B$12,Paramètres!$A$1:$I$89,3,0)*VLOOKUP('Données projet'!$B$12,Paramètres!$A$1:$I$89,5,0)</f>
        <v>212.62800000000021</v>
      </c>
      <c r="CA124" s="13">
        <f t="shared" si="93"/>
        <v>52.509453483719085</v>
      </c>
      <c r="CB124" s="20">
        <f t="shared" si="64"/>
        <v>461.78106481747773</v>
      </c>
      <c r="CC124" s="59">
        <f t="shared" si="65"/>
        <v>752.13617909670086</v>
      </c>
      <c r="CD124" s="59">
        <f ca="1">AVERAGE(OFFSET($CC$3,0,0,'Données projet'!$E$12+1,1))-AVERAGE(OFFSET($H$3,0,0,'Données projet'!$E$12+1,1))</f>
        <v>471.03166569378629</v>
      </c>
      <c r="CE124" s="59">
        <f t="shared" si="94"/>
        <v>259.15709238853287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109.80122916477933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109.80122916477933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-4.5474735088646412E-13</v>
      </c>
      <c r="CU124" s="17">
        <f>CT124*VLOOKUP('Données projet'!$B$13,Paramètres!$A$1:$I$89,3,0)*VLOOKUP('Données projet'!$B$13,Paramètres!$A$1:$I$89,5,0)</f>
        <v>-2.1282176021486519E-13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364.67256251031029</v>
      </c>
      <c r="CZ124" s="59">
        <f t="shared" si="96"/>
        <v>347.4139588390766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150.36995743926667</v>
      </c>
      <c r="DG124" s="21">
        <f>EXP(-LN(2)/25)*DG123+(1-EXP(-LN(2)/25))/(LN(2)/25)*Calculateur!DB124*Calculateur!DD124*VLOOKUP('Données projet'!$B$13,Paramètres!$A$1:$I$89,3,0)*0.475*44/12</f>
        <v>54.070051101754316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204.44000854102097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69.187758439788126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1.35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4.95</v>
      </c>
      <c r="H125" s="67">
        <f t="shared" si="56"/>
        <v>236.86666666666665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51.998489924038495</v>
      </c>
      <c r="T125" s="59">
        <f t="shared" si="88"/>
        <v>206.32767973856241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5.629145047907433</v>
      </c>
      <c r="AA125" s="21">
        <f>EXP(-LN(2)/25)*AA124+(1-EXP(-LN(2)/25))/(LN(2)/25)*Calculateur!V125*Calculateur!X125*VLOOKUP('Données projet'!$B$9,Paramètres!$A$1:$I$89,3,0)*0.475*44/12</f>
        <v>0.6934011557490587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6.3225462036564917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356.02637444732096</v>
      </c>
      <c r="AO125" s="59">
        <f t="shared" si="90"/>
        <v>263.30053404008095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74.887961342378674</v>
      </c>
      <c r="AV125" s="21">
        <f>EXP(-LN(2)/25)*AV124+(1-EXP(-LN(2)/25))/(LN(2)/25)*Calculateur!AQ125*Calculateur!AS125*VLOOKUP('Données projet'!$B$10,Paramètres!$A$1:$I$89,3,0)*0.475*44/12</f>
        <v>25.198143124628132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100.08610446700681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6.4216666666666669</v>
      </c>
      <c r="BD125" s="12">
        <f>IF('Données projet'!$A$88&gt;35,BD124+BC125-BL124,IF(A125&lt;'Données projet'!$A$88,$BA$205^A125,IF(A125='Données projet'!$A$88,'Données projet'!$B$88,BD124+BC125-BL124)))</f>
        <v>287.0983333333333</v>
      </c>
      <c r="BE125" s="13">
        <f>BD125*VLOOKUP('Données projet'!$B$11,Paramètres!$A$1:$I$89,3,0)*VLOOKUP('Données projet'!$B$11,Paramètres!$A$1:$I$89,5,0)</f>
        <v>291.11770999999999</v>
      </c>
      <c r="BF125" s="13">
        <f t="shared" si="91"/>
        <v>69.311149751020295</v>
      </c>
      <c r="BG125" s="20">
        <f t="shared" si="61"/>
        <v>627.74693073302694</v>
      </c>
      <c r="BH125" s="59">
        <f t="shared" si="62"/>
        <v>918.15371045453855</v>
      </c>
      <c r="BI125" s="59">
        <f ca="1">AVERAGE(OFFSET($BH$3,0,0,'Données projet'!$E$11+1,1))-AVERAGE(OFFSET($H$3,0,0,'Données projet'!$E$11+1,1))</f>
        <v>478.2340976873212</v>
      </c>
      <c r="BJ125" s="59">
        <f t="shared" si="92"/>
        <v>342.90128902463823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52.839405855718383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52.839405855718383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3.9449999999999932</v>
      </c>
      <c r="BY125" s="12">
        <f>IF('Données projet'!$A$114&gt;35,BY124+BX125-CG124,IF(A125&lt;'Données projet'!$A$114,$BV$205^A125,IF(A125='Données projet'!$A$114,'Données projet'!$B$114,BY124+BX125-CG124)))</f>
        <v>238.94500000000022</v>
      </c>
      <c r="BZ125" s="13">
        <f>BY125*VLOOKUP('Données projet'!$B$12,Paramètres!$A$1:$I$89,3,0)*VLOOKUP('Données projet'!$B$12,Paramètres!$A$1:$I$89,5,0)</f>
        <v>216.19743600000018</v>
      </c>
      <c r="CA125" s="13">
        <f t="shared" si="93"/>
        <v>53.287580439100424</v>
      </c>
      <c r="CB125" s="20">
        <f t="shared" si="64"/>
        <v>469.35307029810019</v>
      </c>
      <c r="CC125" s="59">
        <f t="shared" si="65"/>
        <v>759.7598500196118</v>
      </c>
      <c r="CD125" s="59">
        <f ca="1">AVERAGE(OFFSET($CC$3,0,0,'Données projet'!$E$12+1,1))-AVERAGE(OFFSET($H$3,0,0,'Données projet'!$E$12+1,1))</f>
        <v>471.03166569378629</v>
      </c>
      <c r="CE125" s="59">
        <f t="shared" si="94"/>
        <v>259.15709238853287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107.64809403299485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107.64809403299485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-4.5474735088646412E-13</v>
      </c>
      <c r="CU125" s="17">
        <f>CT125*VLOOKUP('Données projet'!$B$13,Paramètres!$A$1:$I$89,3,0)*VLOOKUP('Données projet'!$B$13,Paramètres!$A$1:$I$89,5,0)</f>
        <v>-2.1282176021486519E-13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364.67256251031029</v>
      </c>
      <c r="CZ125" s="59">
        <f t="shared" si="96"/>
        <v>347.4139588390766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147.42129429050041</v>
      </c>
      <c r="DG125" s="21">
        <f>EXP(-LN(2)/25)*DG124+(1-EXP(-LN(2)/25))/(LN(2)/25)*Calculateur!DB125*Calculateur!DD125*VLOOKUP('Données projet'!$B$13,Paramètres!$A$1:$I$89,3,0)*0.475*44/12</f>
        <v>52.591502710956433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200.01279700145685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69.201849014957716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1.35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4.95</v>
      </c>
      <c r="H126" s="67">
        <f t="shared" si="56"/>
        <v>236.86666666666665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51.998489924038495</v>
      </c>
      <c r="T126" s="59">
        <f t="shared" si="88"/>
        <v>206.32767973856241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5.518760946957423</v>
      </c>
      <c r="AA126" s="21">
        <f>EXP(-LN(2)/25)*AA125+(1-EXP(-LN(2)/25))/(LN(2)/25)*Calculateur!V126*Calculateur!X126*VLOOKUP('Données projet'!$B$9,Paramètres!$A$1:$I$89,3,0)*0.475*44/12</f>
        <v>0.67444006468071871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6.1932010116381413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356.02637444732096</v>
      </c>
      <c r="AO126" s="59">
        <f t="shared" si="90"/>
        <v>263.30053404008095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73.419454097600806</v>
      </c>
      <c r="AV126" s="21">
        <f>EXP(-LN(2)/25)*AV125+(1-EXP(-LN(2)/25))/(LN(2)/25)*Calculateur!AQ126*Calculateur!AS126*VLOOKUP('Données projet'!$B$10,Paramètres!$A$1:$I$89,3,0)*0.475*44/12</f>
        <v>24.50909857577242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97.928552673373218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6.4216666666666669</v>
      </c>
      <c r="BD126" s="12">
        <f>IF('Données projet'!$A$88&gt;35,BD125+BC126-BL125,IF(A126&lt;'Données projet'!$A$88,$BA$205^A126,IF(A126='Données projet'!$A$88,'Données projet'!$B$88,BD125+BC126-BL125)))</f>
        <v>293.52</v>
      </c>
      <c r="BE126" s="13">
        <f>BD126*VLOOKUP('Données projet'!$B$11,Paramètres!$A$1:$I$89,3,0)*VLOOKUP('Données projet'!$B$11,Paramètres!$A$1:$I$89,5,0)</f>
        <v>297.62927999999999</v>
      </c>
      <c r="BF126" s="13">
        <f t="shared" si="91"/>
        <v>70.679240251007499</v>
      </c>
      <c r="BG126" s="20">
        <f t="shared" si="61"/>
        <v>641.47067277050473</v>
      </c>
      <c r="BH126" s="59">
        <f t="shared" si="62"/>
        <v>931.9282216543877</v>
      </c>
      <c r="BI126" s="59">
        <f ca="1">AVERAGE(OFFSET($BH$3,0,0,'Données projet'!$E$11+1,1))-AVERAGE(OFFSET($H$3,0,0,'Données projet'!$E$11+1,1))</f>
        <v>478.2340976873212</v>
      </c>
      <c r="BJ126" s="59">
        <f t="shared" si="92"/>
        <v>342.90128902463823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51.803257335742984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51.803257335742984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242.89</v>
      </c>
      <c r="BW126" s="12">
        <f>VLOOKUP(A126,'Données projet'!$A$113:$I$133,9,0)</f>
        <v>3.9449999999999932</v>
      </c>
      <c r="BX126" s="12">
        <f t="array" ref="BX126">INDEX(BW:BW,MIN(IF(ISNUMBER(BW126:BW322),ROW(BW126:BW322),"")))</f>
        <v>3.9449999999999932</v>
      </c>
      <c r="BY126" s="12">
        <f>IF('Données projet'!$A$114&gt;35,BY125+BX126-CG125,IF(A126&lt;'Données projet'!$A$114,$BV$205^A126,IF(A126='Données projet'!$A$114,'Données projet'!$B$114,BY125+BX126-CG125)))</f>
        <v>242.89000000000021</v>
      </c>
      <c r="BZ126" s="13">
        <f>BY126*VLOOKUP('Données projet'!$B$12,Paramètres!$A$1:$I$89,3,0)*VLOOKUP('Données projet'!$B$12,Paramètres!$A$1:$I$89,5,0)</f>
        <v>219.76687200000021</v>
      </c>
      <c r="CA126" s="13">
        <f t="shared" si="93"/>
        <v>54.064213375482893</v>
      </c>
      <c r="CB126" s="20">
        <f t="shared" si="64"/>
        <v>476.92247369563307</v>
      </c>
      <c r="CC126" s="59">
        <f t="shared" si="65"/>
        <v>767.38002257951609</v>
      </c>
      <c r="CD126" s="59">
        <f ca="1">AVERAGE(OFFSET($CC$3,0,0,'Données projet'!$E$12+1,1))-AVERAGE(OFFSET($H$3,0,0,'Données projet'!$E$12+1,1))</f>
        <v>471.03166569378629</v>
      </c>
      <c r="CE126" s="59">
        <f t="shared" si="94"/>
        <v>259.15709238853287</v>
      </c>
      <c r="CF126" s="15">
        <f>IF(ISNA(VLOOKUP(A126,'Données projet'!$A$113:$I$133,3,0)),0,VLOOKUP(A126,'Données projet'!$A$113:$I$133,3,0))</f>
        <v>13</v>
      </c>
      <c r="CG126" s="15">
        <f>IF(ISNA(VLOOKUP(A126,'Données projet'!$A$113:$I$133,4,0)),0,VLOOKUP(A126,'Données projet'!$A$113:$I$133,4,0))</f>
        <v>81.84</v>
      </c>
      <c r="CH126" s="16">
        <f>IF(ISNA(VLOOKUP(A126,'Données projet'!$A$113:$I$133,5,0)),0%,VLOOKUP(A126,'Données projet'!$A$113:$I$133,5,0)*VLOOKUP('Données projet'!$B$12,Paramètres!$A$1:$I$89,7,0))</f>
        <v>0.25800000000000001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126.65674849493492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126.65674849493492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-4.5474735088646412E-13</v>
      </c>
      <c r="CU126" s="17">
        <f>CT126*VLOOKUP('Données projet'!$B$13,Paramètres!$A$1:$I$89,3,0)*VLOOKUP('Données projet'!$B$13,Paramètres!$A$1:$I$89,5,0)</f>
        <v>-2.1282176021486519E-13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364.67256251031029</v>
      </c>
      <c r="CZ126" s="59">
        <f t="shared" si="96"/>
        <v>347.4139588390766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144.53045262757453</v>
      </c>
      <c r="DG126" s="21">
        <f>EXP(-LN(2)/25)*DG125+(1-EXP(-LN(2)/25))/(LN(2)/25)*Calculateur!DB126*Calculateur!DD126*VLOOKUP('Données projet'!$B$13,Paramètres!$A$1:$I$89,3,0)*0.475*44/12</f>
        <v>51.153385303658403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195.68383793123294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69.215695150149912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1.35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4.95</v>
      </c>
      <c r="H127" s="67">
        <f t="shared" si="56"/>
        <v>236.86666666666665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51.998489924038495</v>
      </c>
      <c r="T127" s="59">
        <f t="shared" si="88"/>
        <v>206.32767973856241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5.4105414108993894</v>
      </c>
      <c r="AA127" s="21">
        <f>EXP(-LN(2)/25)*AA126+(1-EXP(-LN(2)/25))/(LN(2)/25)*Calculateur!V127*Calculateur!X127*VLOOKUP('Données projet'!$B$9,Paramètres!$A$1:$I$89,3,0)*0.475*44/12</f>
        <v>0.65599746564476291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6.0665388765441524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356.02637444732096</v>
      </c>
      <c r="AO127" s="59">
        <f t="shared" si="90"/>
        <v>263.30053404008095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71.979743384192048</v>
      </c>
      <c r="AV127" s="21">
        <f>EXP(-LN(2)/25)*AV126+(1-EXP(-LN(2)/25))/(LN(2)/25)*Calculateur!AQ127*Calculateur!AS127*VLOOKUP('Données projet'!$B$10,Paramètres!$A$1:$I$89,3,0)*0.475*44/12</f>
        <v>23.838895986340447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95.818639370532495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6.4216666666666669</v>
      </c>
      <c r="BD127" s="12">
        <f>IF('Données projet'!$A$88&gt;35,BD126+BC127-BL126,IF(A127&lt;'Données projet'!$A$88,$BA$205^A127,IF(A127='Données projet'!$A$88,'Données projet'!$B$88,BD126+BC127-BL126)))</f>
        <v>299.94166666666666</v>
      </c>
      <c r="BE127" s="13">
        <f>BD127*VLOOKUP('Données projet'!$B$11,Paramètres!$A$1:$I$89,3,0)*VLOOKUP('Données projet'!$B$11,Paramètres!$A$1:$I$89,5,0)</f>
        <v>304.14085</v>
      </c>
      <c r="BF127" s="13">
        <f t="shared" si="91"/>
        <v>72.043850892243256</v>
      </c>
      <c r="BG127" s="20">
        <f t="shared" si="61"/>
        <v>655.18835405399034</v>
      </c>
      <c r="BH127" s="59">
        <f t="shared" si="62"/>
        <v>945.69579136878042</v>
      </c>
      <c r="BI127" s="59">
        <f ca="1">AVERAGE(OFFSET($BH$3,0,0,'Données projet'!$E$11+1,1))-AVERAGE(OFFSET($H$3,0,0,'Données projet'!$E$11+1,1))</f>
        <v>478.2340976873212</v>
      </c>
      <c r="BJ127" s="59">
        <f t="shared" si="92"/>
        <v>342.90128902463823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50.787427056256107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50.787427056256107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2.4025000000000034</v>
      </c>
      <c r="BY127" s="12">
        <f>IF('Données projet'!$A$114&gt;35,BY126+BX127-CG126,IF(A127&lt;'Données projet'!$A$114,$BV$205^A127,IF(A127='Données projet'!$A$114,'Données projet'!$B$114,BY126+BX127-CG126)))</f>
        <v>163.45250000000021</v>
      </c>
      <c r="BZ127" s="13">
        <f>BY127*VLOOKUP('Données projet'!$B$12,Paramètres!$A$1:$I$89,3,0)*VLOOKUP('Données projet'!$B$12,Paramètres!$A$1:$I$89,5,0)</f>
        <v>147.89182200000019</v>
      </c>
      <c r="CA127" s="13">
        <f t="shared" si="93"/>
        <v>38.099100656910004</v>
      </c>
      <c r="CB127" s="20">
        <f t="shared" si="64"/>
        <v>323.93419029411859</v>
      </c>
      <c r="CC127" s="59">
        <f t="shared" si="65"/>
        <v>614.44162760890868</v>
      </c>
      <c r="CD127" s="59">
        <f ca="1">AVERAGE(OFFSET($CC$3,0,0,'Données projet'!$E$12+1,1))-AVERAGE(OFFSET($H$3,0,0,'Données projet'!$E$12+1,1))</f>
        <v>471.03166569378629</v>
      </c>
      <c r="CE127" s="59">
        <f t="shared" si="94"/>
        <v>259.15709238853287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124.17308690993772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124.17308690993772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-4.5474735088646412E-13</v>
      </c>
      <c r="CU127" s="17">
        <f>CT127*VLOOKUP('Données projet'!$B$13,Paramètres!$A$1:$I$89,3,0)*VLOOKUP('Données projet'!$B$13,Paramètres!$A$1:$I$89,5,0)</f>
        <v>-2.1282176021486519E-13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364.67256251031029</v>
      </c>
      <c r="CZ127" s="59">
        <f t="shared" si="96"/>
        <v>347.4139588390766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141.69629860641933</v>
      </c>
      <c r="DG127" s="21">
        <f>EXP(-LN(2)/25)*DG126+(1-EXP(-LN(2)/25))/(LN(2)/25)*Calculateur!DB127*Calculateur!DD127*VLOOKUP('Données projet'!$B$13,Paramètres!$A$1:$I$89,3,0)*0.475*44/12</f>
        <v>49.754593292490242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191.45089189890956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69.229301085851858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1.35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4.95</v>
      </c>
      <c r="H128" s="67">
        <f t="shared" si="56"/>
        <v>236.86666666666665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51.998489924038495</v>
      </c>
      <c r="T128" s="59">
        <f t="shared" si="88"/>
        <v>206.32767973856241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5.3044439939360553</v>
      </c>
      <c r="AA128" s="21">
        <f>EXP(-LN(2)/25)*AA127+(1-EXP(-LN(2)/25))/(LN(2)/25)*Calculateur!V128*Calculateur!X128*VLOOKUP('Données projet'!$B$9,Paramètres!$A$1:$I$89,3,0)*0.475*44/12</f>
        <v>0.63805918044929943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5.9425031743853545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356.02637444732096</v>
      </c>
      <c r="AO128" s="59">
        <f t="shared" si="90"/>
        <v>263.30053404008095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70.568264519736417</v>
      </c>
      <c r="AV128" s="21">
        <f>EXP(-LN(2)/25)*AV127+(1-EXP(-LN(2)/25))/(LN(2)/25)*Calculateur!AQ128*Calculateur!AS128*VLOOKUP('Données projet'!$B$10,Paramètres!$A$1:$I$89,3,0)*0.475*44/12</f>
        <v>23.187020121960913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93.75528464169733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6.4216666666666669</v>
      </c>
      <c r="BD128" s="12">
        <f>IF('Données projet'!$A$88&gt;35,BD127+BC128-BL127,IF(A128&lt;'Données projet'!$A$88,$BA$205^A128,IF(A128='Données projet'!$A$88,'Données projet'!$B$88,BD127+BC128-BL127)))</f>
        <v>306.36333333333334</v>
      </c>
      <c r="BE128" s="13">
        <f>BD128*VLOOKUP('Données projet'!$B$11,Paramètres!$A$1:$I$89,3,0)*VLOOKUP('Données projet'!$B$11,Paramètres!$A$1:$I$89,5,0)</f>
        <v>310.65242000000001</v>
      </c>
      <c r="BF128" s="13">
        <f t="shared" si="91"/>
        <v>73.405064758914818</v>
      </c>
      <c r="BG128" s="20">
        <f t="shared" si="61"/>
        <v>668.90011928844331</v>
      </c>
      <c r="BH128" s="59">
        <f t="shared" si="62"/>
        <v>959.45657958139816</v>
      </c>
      <c r="BI128" s="59">
        <f ca="1">AVERAGE(OFFSET($BH$3,0,0,'Données projet'!$E$11+1,1))-AVERAGE(OFFSET($H$3,0,0,'Données projet'!$E$11+1,1))</f>
        <v>478.2340976873212</v>
      </c>
      <c r="BJ128" s="59">
        <f t="shared" si="92"/>
        <v>342.90128902463823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49.791516588954678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49.791516588954678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2.4025000000000034</v>
      </c>
      <c r="BY128" s="12">
        <f>IF('Données projet'!$A$114&gt;35,BY127+BX128-CG127,IF(A128&lt;'Données projet'!$A$114,$BV$205^A128,IF(A128='Données projet'!$A$114,'Données projet'!$B$114,BY127+BX128-CG127)))</f>
        <v>165.85500000000022</v>
      </c>
      <c r="BZ128" s="13">
        <f>BY128*VLOOKUP('Données projet'!$B$12,Paramètres!$A$1:$I$89,3,0)*VLOOKUP('Données projet'!$B$12,Paramètres!$A$1:$I$89,5,0)</f>
        <v>150.06560400000021</v>
      </c>
      <c r="CA128" s="13">
        <f t="shared" si="93"/>
        <v>38.59349398583408</v>
      </c>
      <c r="CB128" s="20">
        <f t="shared" si="64"/>
        <v>328.581262325328</v>
      </c>
      <c r="CC128" s="59">
        <f t="shared" si="65"/>
        <v>619.13772261828285</v>
      </c>
      <c r="CD128" s="59">
        <f ca="1">AVERAGE(OFFSET($CC$3,0,0,'Données projet'!$E$12+1,1))-AVERAGE(OFFSET($H$3,0,0,'Données projet'!$E$12+1,1))</f>
        <v>471.03166569378629</v>
      </c>
      <c r="CE128" s="59">
        <f t="shared" si="94"/>
        <v>259.15709238853287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121.73812841373834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121.73812841373834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-4.5474735088646412E-13</v>
      </c>
      <c r="CU128" s="17">
        <f>CT128*VLOOKUP('Données projet'!$B$13,Paramètres!$A$1:$I$89,3,0)*VLOOKUP('Données projet'!$B$13,Paramètres!$A$1:$I$89,5,0)</f>
        <v>-2.1282176021486519E-13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364.67256251031029</v>
      </c>
      <c r="CZ128" s="59">
        <f t="shared" si="96"/>
        <v>347.4139588390766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138.91772061695573</v>
      </c>
      <c r="DG128" s="21">
        <f>EXP(-LN(2)/25)*DG127+(1-EXP(-LN(2)/25))/(LN(2)/25)*Calculateur!DB128*Calculateur!DD128*VLOOKUP('Données projet'!$B$13,Paramètres!$A$1:$I$89,3,0)*0.475*44/12</f>
        <v>48.394051322426748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187.31177193938248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69.242670988987683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1.35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4.95</v>
      </c>
      <c r="H129" s="67">
        <f t="shared" si="56"/>
        <v>236.86666666666665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51.998489924038495</v>
      </c>
      <c r="T129" s="59">
        <f t="shared" si="88"/>
        <v>206.32767973856241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5.2004270826063372</v>
      </c>
      <c r="AA129" s="21">
        <f>EXP(-LN(2)/25)*AA128+(1-EXP(-LN(2)/25))/(LN(2)/25)*Calculateur!V129*Calculateur!X129*VLOOKUP('Données projet'!$B$9,Paramètres!$A$1:$I$89,3,0)*0.475*44/12</f>
        <v>0.62061141860583935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5.8210385012121764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356.02637444732096</v>
      </c>
      <c r="AO129" s="59">
        <f t="shared" si="90"/>
        <v>263.30053404008095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69.184463894895657</v>
      </c>
      <c r="AV129" s="21">
        <f>EXP(-LN(2)/25)*AV128+(1-EXP(-LN(2)/25))/(LN(2)/25)*Calculateur!AQ129*Calculateur!AS129*VLOOKUP('Données projet'!$B$10,Paramètres!$A$1:$I$89,3,0)*0.475*44/12</f>
        <v>22.552969837373499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91.737433732269153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6.4216666666666669</v>
      </c>
      <c r="BD129" s="12">
        <f>IF('Données projet'!$A$88&gt;35,BD128+BC129-BL128,IF(A129&lt;'Données projet'!$A$88,$BA$205^A129,IF(A129='Données projet'!$A$88,'Données projet'!$B$88,BD128+BC129-BL128)))</f>
        <v>312.78500000000003</v>
      </c>
      <c r="BE129" s="13">
        <f>BD129*VLOOKUP('Données projet'!$B$11,Paramètres!$A$1:$I$89,3,0)*VLOOKUP('Données projet'!$B$11,Paramètres!$A$1:$I$89,5,0)</f>
        <v>317.16399000000007</v>
      </c>
      <c r="BF129" s="13">
        <f t="shared" si="91"/>
        <v>74.762961253132076</v>
      </c>
      <c r="BG129" s="20">
        <f t="shared" si="61"/>
        <v>682.6061067658718</v>
      </c>
      <c r="BH129" s="59">
        <f t="shared" si="62"/>
        <v>973.2107395979192</v>
      </c>
      <c r="BI129" s="59">
        <f ca="1">AVERAGE(OFFSET($BH$3,0,0,'Données projet'!$E$11+1,1))-AVERAGE(OFFSET($H$3,0,0,'Données projet'!$E$11+1,1))</f>
        <v>478.2340976873212</v>
      </c>
      <c r="BJ129" s="59">
        <f t="shared" si="92"/>
        <v>342.90128902463823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48.815135318471626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48.815135318471626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2.4025000000000034</v>
      </c>
      <c r="BY129" s="12">
        <f>IF('Données projet'!$A$114&gt;35,BY128+BX129-CG128,IF(A129&lt;'Données projet'!$A$114,$BV$205^A129,IF(A129='Données projet'!$A$114,'Données projet'!$B$114,BY128+BX129-CG128)))</f>
        <v>168.25750000000022</v>
      </c>
      <c r="BZ129" s="13">
        <f>BY129*VLOOKUP('Données projet'!$B$12,Paramètres!$A$1:$I$89,3,0)*VLOOKUP('Données projet'!$B$12,Paramètres!$A$1:$I$89,5,0)</f>
        <v>152.2393860000002</v>
      </c>
      <c r="CA129" s="13">
        <f t="shared" si="93"/>
        <v>39.087054381151049</v>
      </c>
      <c r="CB129" s="20">
        <f t="shared" si="64"/>
        <v>333.22688366383846</v>
      </c>
      <c r="CC129" s="59">
        <f t="shared" si="65"/>
        <v>623.83151649588581</v>
      </c>
      <c r="CD129" s="59">
        <f ca="1">AVERAGE(OFFSET($CC$3,0,0,'Données projet'!$E$12+1,1))-AVERAGE(OFFSET($H$3,0,0,'Données projet'!$E$12+1,1))</f>
        <v>471.03166569378629</v>
      </c>
      <c r="CE129" s="59">
        <f t="shared" si="94"/>
        <v>259.15709238853287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119.35091796847139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119.35091796847139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-4.5474735088646412E-13</v>
      </c>
      <c r="CU129" s="17">
        <f>CT129*VLOOKUP('Données projet'!$B$13,Paramètres!$A$1:$I$89,3,0)*VLOOKUP('Données projet'!$B$13,Paramètres!$A$1:$I$89,5,0)</f>
        <v>-2.1282176021486519E-13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364.67256251031029</v>
      </c>
      <c r="CZ129" s="59">
        <f t="shared" si="96"/>
        <v>347.4139588390766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136.19362884710029</v>
      </c>
      <c r="DG129" s="21">
        <f>EXP(-LN(2)/25)*DG128+(1-EXP(-LN(2)/25))/(LN(2)/25)*Calculateur!DB129*Calculateur!DD129*VLOOKUP('Données projet'!$B$13,Paramètres!$A$1:$I$89,3,0)*0.475*44/12</f>
        <v>47.070713444082436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183.26434229118271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69.25580895419472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1.35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4.95</v>
      </c>
      <c r="H130" s="67">
        <f t="shared" si="56"/>
        <v>236.86666666666665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51.998489924038495</v>
      </c>
      <c r="T130" s="59">
        <f t="shared" si="88"/>
        <v>206.32767973856241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5.0984498794637432</v>
      </c>
      <c r="AA130" s="21">
        <f>EXP(-LN(2)/25)*AA129+(1-EXP(-LN(2)/25))/(LN(2)/25)*Calculateur!V130*Calculateur!X130*VLOOKUP('Données projet'!$B$9,Paramètres!$A$1:$I$89,3,0)*0.475*44/12</f>
        <v>0.60364076672752665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5.7020906461912695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356.02637444732096</v>
      </c>
      <c r="AO130" s="59">
        <f t="shared" si="90"/>
        <v>263.30053404008095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67.827798756272983</v>
      </c>
      <c r="AV130" s="21">
        <f>EXP(-LN(2)/25)*AV129+(1-EXP(-LN(2)/25))/(LN(2)/25)*Calculateur!AQ130*Calculateur!AS130*VLOOKUP('Données projet'!$B$10,Paramètres!$A$1:$I$89,3,0)*0.475*44/12</f>
        <v>21.936257691161384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89.764056447434371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6.4216666666666669</v>
      </c>
      <c r="BD130" s="12">
        <f>IF('Données projet'!$A$88&gt;35,BD129+BC130-BL129,IF(A130&lt;'Données projet'!$A$88,$BA$205^A130,IF(A130='Données projet'!$A$88,'Données projet'!$B$88,BD129+BC130-BL129)))</f>
        <v>319.20666666666671</v>
      </c>
      <c r="BE130" s="13">
        <f>BD130*VLOOKUP('Données projet'!$B$11,Paramètres!$A$1:$I$89,3,0)*VLOOKUP('Données projet'!$B$11,Paramètres!$A$1:$I$89,5,0)</f>
        <v>323.67556000000002</v>
      </c>
      <c r="BF130" s="13">
        <f t="shared" si="91"/>
        <v>76.117616330297992</v>
      </c>
      <c r="BG130" s="20">
        <f t="shared" si="61"/>
        <v>696.30644877526902</v>
      </c>
      <c r="BH130" s="59">
        <f t="shared" si="62"/>
        <v>986.95841846055328</v>
      </c>
      <c r="BI130" s="59">
        <f ca="1">AVERAGE(OFFSET($BH$3,0,0,'Données projet'!$E$11+1,1))-AVERAGE(OFFSET($H$3,0,0,'Données projet'!$E$11+1,1))</f>
        <v>478.2340976873212</v>
      </c>
      <c r="BJ130" s="59">
        <f t="shared" si="92"/>
        <v>342.90128902463823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47.857900289168974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47.857900289168974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170.66</v>
      </c>
      <c r="BW130" s="12">
        <f>VLOOKUP(A130,'Données projet'!$A$113:$I$133,9,0)</f>
        <v>2.4025000000000034</v>
      </c>
      <c r="BX130" s="12">
        <f t="array" ref="BX130">INDEX(BW:BW,MIN(IF(ISNUMBER(BW130:BW326),ROW(BW130:BW326),"")))</f>
        <v>2.4025000000000034</v>
      </c>
      <c r="BY130" s="12">
        <f>IF('Données projet'!$A$114&gt;35,BY129+BX130-CG129,IF(A130&lt;'Données projet'!$A$114,$BV$205^A130,IF(A130='Données projet'!$A$114,'Données projet'!$B$114,BY129+BX130-CG129)))</f>
        <v>170.66000000000022</v>
      </c>
      <c r="BZ130" s="13">
        <f>BY130*VLOOKUP('Données projet'!$B$12,Paramètres!$A$1:$I$89,3,0)*VLOOKUP('Données projet'!$B$12,Paramètres!$A$1:$I$89,5,0)</f>
        <v>154.41316800000021</v>
      </c>
      <c r="CA130" s="13">
        <f t="shared" si="93"/>
        <v>39.579795110328277</v>
      </c>
      <c r="CB130" s="20">
        <f t="shared" si="64"/>
        <v>337.8710774171555</v>
      </c>
      <c r="CC130" s="59">
        <f t="shared" si="65"/>
        <v>628.5230471024397</v>
      </c>
      <c r="CD130" s="59">
        <f ca="1">AVERAGE(OFFSET($CC$3,0,0,'Données projet'!$E$12+1,1))-AVERAGE(OFFSET($H$3,0,0,'Données projet'!$E$12+1,1))</f>
        <v>471.03166569378629</v>
      </c>
      <c r="CE130" s="59">
        <f t="shared" si="94"/>
        <v>259.15709238853287</v>
      </c>
      <c r="CF130" s="15">
        <f>IF(ISNA(VLOOKUP(A130,'Données projet'!$A$113:$I$133,3,0)),0,VLOOKUP(A130,'Données projet'!$A$113:$I$133,3,0))</f>
        <v>14</v>
      </c>
      <c r="CG130" s="15">
        <f>IF(ISNA(VLOOKUP(A130,'Données projet'!$A$113:$I$133,4,0)),0,VLOOKUP(A130,'Données projet'!$A$113:$I$133,4,0))</f>
        <v>54.18</v>
      </c>
      <c r="CH130" s="16">
        <f>IF(ISNA(VLOOKUP(A130,'Données projet'!$A$113:$I$133,5,0)),0%,VLOOKUP(A130,'Données projet'!$A$113:$I$133,5,0)*VLOOKUP('Données projet'!$B$12,Paramètres!$A$1:$I$89,7,0))</f>
        <v>0.25800000000000001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130.99216870543822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130.99216870543822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-4.5474735088646412E-13</v>
      </c>
      <c r="CU130" s="17">
        <f>CT130*VLOOKUP('Données projet'!$B$13,Paramètres!$A$1:$I$89,3,0)*VLOOKUP('Données projet'!$B$13,Paramètres!$A$1:$I$89,5,0)</f>
        <v>-2.1282176021486519E-13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364.67256251031029</v>
      </c>
      <c r="CZ130" s="59">
        <f t="shared" si="96"/>
        <v>347.4139588390766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133.52295485531977</v>
      </c>
      <c r="DG130" s="21">
        <f>EXP(-LN(2)/25)*DG129+(1-EXP(-LN(2)/25))/(LN(2)/25)*Calculateur!DB130*Calculateur!DD130*VLOOKUP('Données projet'!$B$13,Paramètres!$A$1:$I$89,3,0)*0.475*44/12</f>
        <v>45.783562309612762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179.30651716493253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69.268719005077514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1.35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4.95</v>
      </c>
      <c r="H131" s="67">
        <f t="shared" si="56"/>
        <v>236.86666666666665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51.998489924038495</v>
      </c>
      <c r="T131" s="59">
        <f t="shared" si="88"/>
        <v>206.32767973856241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4.9984723870748233</v>
      </c>
      <c r="AA131" s="21">
        <f>EXP(-LN(2)/25)*AA130+(1-EXP(-LN(2)/25))/(LN(2)/25)*Calculateur!V131*Calculateur!X131*VLOOKUP('Données projet'!$B$9,Paramètres!$A$1:$I$89,3,0)*0.475*44/12</f>
        <v>0.58713417821727409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5.5856065652920979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356.02637444732096</v>
      </c>
      <c r="AO131" s="59">
        <f t="shared" si="90"/>
        <v>263.30053404008095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66.497736993534673</v>
      </c>
      <c r="AV131" s="21">
        <f>EXP(-LN(2)/25)*AV130+(1-EXP(-LN(2)/25))/(LN(2)/25)*Calculateur!AQ131*Calculateur!AS131*VLOOKUP('Données projet'!$B$10,Paramètres!$A$1:$I$89,3,0)*0.475*44/12</f>
        <v>21.336409571018919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87.834146564553592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6.4216666666666669</v>
      </c>
      <c r="BD131" s="12">
        <f>IF('Données projet'!$A$88&gt;35,BD130+BC131-BL130,IF(A131&lt;'Données projet'!$A$88,$BA$205^A131,IF(A131='Données projet'!$A$88,'Données projet'!$B$88,BD130+BC131-BL130)))</f>
        <v>325.62833333333339</v>
      </c>
      <c r="BE131" s="13">
        <f>BD131*VLOOKUP('Données projet'!$B$11,Paramètres!$A$1:$I$89,3,0)*VLOOKUP('Données projet'!$B$11,Paramètres!$A$1:$I$89,5,0)</f>
        <v>330.18713000000008</v>
      </c>
      <c r="BF131" s="13">
        <f t="shared" si="91"/>
        <v>77.469102715003004</v>
      </c>
      <c r="BG131" s="20">
        <f t="shared" si="61"/>
        <v>710.00127197863037</v>
      </c>
      <c r="BH131" s="59">
        <f t="shared" si="62"/>
        <v>1000.6997573285772</v>
      </c>
      <c r="BI131" s="59">
        <f ca="1">AVERAGE(OFFSET($BH$3,0,0,'Données projet'!$E$11+1,1))-AVERAGE(OFFSET($H$3,0,0,'Données projet'!$E$11+1,1))</f>
        <v>478.2340976873212</v>
      </c>
      <c r="BJ131" s="59">
        <f t="shared" si="92"/>
        <v>342.90128902463823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46.919436054935233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46.919436054935233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1.5600000000000023</v>
      </c>
      <c r="BY131" s="12">
        <f>IF('Données projet'!$A$114&gt;35,BY130+BX131-CG130,IF(A131&lt;'Données projet'!$A$114,$BV$205^A131,IF(A131='Données projet'!$A$114,'Données projet'!$B$114,BY130+BX131-CG130)))</f>
        <v>118.04000000000022</v>
      </c>
      <c r="BZ131" s="13">
        <f>BY131*VLOOKUP('Données projet'!$B$12,Paramètres!$A$1:$I$89,3,0)*VLOOKUP('Données projet'!$B$12,Paramètres!$A$1:$I$89,5,0)</f>
        <v>106.8025920000002</v>
      </c>
      <c r="CA131" s="13">
        <f t="shared" si="93"/>
        <v>28.576361877276479</v>
      </c>
      <c r="CB131" s="20">
        <f t="shared" si="64"/>
        <v>235.78501133625684</v>
      </c>
      <c r="CC131" s="59">
        <f t="shared" si="65"/>
        <v>526.48349668620369</v>
      </c>
      <c r="CD131" s="59">
        <f ca="1">AVERAGE(OFFSET($CC$3,0,0,'Données projet'!$E$12+1,1))-AVERAGE(OFFSET($H$3,0,0,'Données projet'!$E$12+1,1))</f>
        <v>471.03166569378629</v>
      </c>
      <c r="CE131" s="59">
        <f t="shared" si="94"/>
        <v>259.15709238853287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128.42349217445829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128.42349217445829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-4.5474735088646412E-13</v>
      </c>
      <c r="CU131" s="17">
        <f>CT131*VLOOKUP('Données projet'!$B$13,Paramètres!$A$1:$I$89,3,0)*VLOOKUP('Données projet'!$B$13,Paramètres!$A$1:$I$89,5,0)</f>
        <v>-2.1282176021486519E-13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364.67256251031029</v>
      </c>
      <c r="CZ131" s="59">
        <f t="shared" si="96"/>
        <v>347.4139588390766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130.90465115156778</v>
      </c>
      <c r="DG131" s="21">
        <f>EXP(-LN(2)/25)*DG130+(1-EXP(-LN(2)/25))/(LN(2)/25)*Calculateur!DB131*Calculateur!DD131*VLOOKUP('Données projet'!$B$13,Paramètres!$A$1:$I$89,3,0)*0.475*44/12</f>
        <v>44.531608390603502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175.43625954217129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69.28140509544005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1.35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4.95</v>
      </c>
      <c r="H132" s="67">
        <f t="shared" ref="H132:H195" si="110">(B132+E132+F132)*44/12+(C132+D132)*0.475*44/12</f>
        <v>236.86666666666665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51.998489924038495</v>
      </c>
      <c r="T132" s="59">
        <f t="shared" si="88"/>
        <v>206.32767973856241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4.9004553923314011</v>
      </c>
      <c r="AA132" s="21">
        <f>EXP(-LN(2)/25)*AA131+(1-EXP(-LN(2)/25))/(LN(2)/25)*Calculateur!V132*Calculateur!X132*VLOOKUP('Données projet'!$B$9,Paramètres!$A$1:$I$89,3,0)*0.475*44/12</f>
        <v>0.57107896323787821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5.471534355569279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356.02637444732096</v>
      </c>
      <c r="AO132" s="59">
        <f t="shared" si="90"/>
        <v>263.30053404008095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65.193756930706101</v>
      </c>
      <c r="AV132" s="21">
        <f>EXP(-LN(2)/25)*AV131+(1-EXP(-LN(2)/25))/(LN(2)/25)*Calculateur!AQ132*Calculateur!AS132*VLOOKUP('Données projet'!$B$10,Paramètres!$A$1:$I$89,3,0)*0.475*44/12</f>
        <v>20.752964329266394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85.946721259972492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>
        <f>VLOOKUP(A132,'Données projet'!$A$87:$I$107,2,0)</f>
        <v>332.05</v>
      </c>
      <c r="BB132" s="12">
        <f>VLOOKUP(A132,'Données projet'!$A$87:$I$107,9,0)</f>
        <v>6.4216666666666669</v>
      </c>
      <c r="BC132" s="12">
        <f t="array" ref="BC132">INDEX(BB:BB,MIN(IF(ISNUMBER(BB132:BB328),ROW(BB132:BB328),"")))</f>
        <v>6.4216666666666669</v>
      </c>
      <c r="BD132" s="12">
        <f>IF('Données projet'!$A$88&gt;35,BD131+BC132-BL131,IF(A132&lt;'Données projet'!$A$88,$BA$205^A132,IF(A132='Données projet'!$A$88,'Données projet'!$B$88,BD131+BC132-BL131)))</f>
        <v>332.05000000000007</v>
      </c>
      <c r="BE132" s="13">
        <f>BD132*VLOOKUP('Données projet'!$B$11,Paramètres!$A$1:$I$89,3,0)*VLOOKUP('Données projet'!$B$11,Paramètres!$A$1:$I$89,5,0)</f>
        <v>336.69870000000009</v>
      </c>
      <c r="BF132" s="13">
        <f t="shared" si="91"/>
        <v>78.817490099408559</v>
      </c>
      <c r="BG132" s="20">
        <f t="shared" ref="BG132:BG153" si="115">(BE132+BF132)*0.475*44/12</f>
        <v>723.69069775647006</v>
      </c>
      <c r="BH132" s="59">
        <f t="shared" ref="BH132:BH195" si="116">BG132+(AY132+AZ132)*44/12</f>
        <v>1014.434891828291</v>
      </c>
      <c r="BI132" s="59">
        <f ca="1">AVERAGE(OFFSET($BH$3,0,0,'Données projet'!$E$11+1,1))-AVERAGE(OFFSET($H$3,0,0,'Données projet'!$E$11+1,1))</f>
        <v>478.2340976873212</v>
      </c>
      <c r="BJ132" s="59">
        <f t="shared" si="92"/>
        <v>342.90128902463823</v>
      </c>
      <c r="BK132" s="15">
        <f>IF(ISNA(VLOOKUP(A132,'Données projet'!$A$87:$I$107,3,0)),0,VLOOKUP(A132,'Données projet'!$A$87:$I$107,3,0))</f>
        <v>11</v>
      </c>
      <c r="BL132" s="15">
        <f>IF(ISNA(VLOOKUP(A132,'Données projet'!$A$87:$I$107,4,0)),0,VLOOKUP(A132,'Données projet'!$A$87:$I$107,4,0))</f>
        <v>54</v>
      </c>
      <c r="BM132" s="16">
        <f>IF(ISNA(VLOOKUP(A132,'Données projet'!$A$87:$I$107,5,0)),0%,VLOOKUP(A132,'Données projet'!$A$87:$I$107,5,0)*VLOOKUP('Données projet'!$B$11,Paramètres!$A$1:$I$89,7,0))</f>
        <v>0.25800000000000001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61.616407646168348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61.616407646168348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1.5600000000000023</v>
      </c>
      <c r="BY132" s="12">
        <f>IF('Données projet'!$A$114&gt;35,BY131+BX132-CG131,IF(A132&lt;'Données projet'!$A$114,$BV$205^A132,IF(A132='Données projet'!$A$114,'Données projet'!$B$114,BY131+BX132-CG131)))</f>
        <v>119.60000000000022</v>
      </c>
      <c r="BZ132" s="13">
        <f>BY132*VLOOKUP('Données projet'!$B$12,Paramètres!$A$1:$I$89,3,0)*VLOOKUP('Données projet'!$B$12,Paramètres!$A$1:$I$89,5,0)</f>
        <v>108.21408000000019</v>
      </c>
      <c r="CA132" s="13">
        <f t="shared" si="93"/>
        <v>28.909807870043114</v>
      </c>
      <c r="CB132" s="20">
        <f t="shared" ref="CB132:CB153" si="118">(BZ132+CA132)*0.475*44/12</f>
        <v>238.8241047069921</v>
      </c>
      <c r="CC132" s="59">
        <f t="shared" ref="CC132:CC195" si="119">CB132+(BT132+BU132)*44/12</f>
        <v>529.56829877881319</v>
      </c>
      <c r="CD132" s="59">
        <f ca="1">AVERAGE(OFFSET($CC$3,0,0,'Données projet'!$E$12+1,1))-AVERAGE(OFFSET($H$3,0,0,'Données projet'!$E$12+1,1))</f>
        <v>471.03166569378629</v>
      </c>
      <c r="CE132" s="59">
        <f t="shared" si="94"/>
        <v>259.15709238853287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125.90518582351288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125.90518582351288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-4.5474735088646412E-13</v>
      </c>
      <c r="CU132" s="17">
        <f>CT132*VLOOKUP('Données projet'!$B$13,Paramètres!$A$1:$I$89,3,0)*VLOOKUP('Données projet'!$B$13,Paramètres!$A$1:$I$89,5,0)</f>
        <v>-2.1282176021486519E-13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364.67256251031029</v>
      </c>
      <c r="CZ132" s="59">
        <f t="shared" si="96"/>
        <v>347.4139588390766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128.3376907864388</v>
      </c>
      <c r="DG132" s="21">
        <f>EXP(-LN(2)/25)*DG131+(1-EXP(-LN(2)/25))/(LN(2)/25)*Calculateur!DB132*Calculateur!DD132*VLOOKUP('Données projet'!$B$13,Paramètres!$A$1:$I$89,3,0)*0.475*44/12</f>
        <v>43.31388921734694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171.65158000378574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69.293871110496639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1.35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4.95</v>
      </c>
      <c r="H133" s="67">
        <f t="shared" si="110"/>
        <v>236.86666666666665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51.998489924038495</v>
      </c>
      <c r="T133" s="59">
        <f t="shared" ref="T133:T196" si="142">$T$3</f>
        <v>206.32767973856241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4.8043604510704343</v>
      </c>
      <c r="AA133" s="21">
        <f>EXP(-LN(2)/25)*AA132+(1-EXP(-LN(2)/25))/(LN(2)/25)*Calculateur!V133*Calculateur!X133*VLOOKUP('Données projet'!$B$9,Paramètres!$A$1:$I$89,3,0)*0.475*44/12</f>
        <v>0.55546277895640095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5.3598232300268354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356.02637444732096</v>
      </c>
      <c r="AO133" s="59">
        <f t="shared" ref="AO133:AO196" si="144">$AO$3</f>
        <v>263.30053404008095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63.915347121560288</v>
      </c>
      <c r="AV133" s="21">
        <f>EXP(-LN(2)/25)*AV132+(1-EXP(-LN(2)/25))/(LN(2)/25)*Calculateur!AQ133*Calculateur!AS133*VLOOKUP('Données projet'!$B$10,Paramètres!$A$1:$I$89,3,0)*0.475*44/12</f>
        <v>20.18547342833164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84.100820549891921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6.5958333333333314</v>
      </c>
      <c r="BD133" s="12">
        <f>IF('Données projet'!$A$88&gt;35,BD132+BC133-BL132,IF(A133&lt;'Données projet'!$A$88,$BA$205^A133,IF(A133='Données projet'!$A$88,'Données projet'!$B$88,BD132+BC133-BL132)))</f>
        <v>284.64583333333337</v>
      </c>
      <c r="BE133" s="13">
        <f>BD133*VLOOKUP('Données projet'!$B$11,Paramètres!$A$1:$I$89,3,0)*VLOOKUP('Données projet'!$B$11,Paramètres!$A$1:$I$89,5,0)</f>
        <v>288.63087500000006</v>
      </c>
      <c r="BF133" s="13">
        <f t="shared" ref="BF133:BF153" si="145">EXP(-1.0587+0.8836*LN(BE133)+0.284)</f>
        <v>68.787725660729947</v>
      </c>
      <c r="BG133" s="20">
        <f t="shared" si="115"/>
        <v>622.50406281743801</v>
      </c>
      <c r="BH133" s="59">
        <f t="shared" si="116"/>
        <v>913.29317266699809</v>
      </c>
      <c r="BI133" s="59">
        <f ca="1">AVERAGE(OFFSET($BH$3,0,0,'Données projet'!$E$11+1,1))-AVERAGE(OFFSET($H$3,0,0,'Données projet'!$E$11+1,1))</f>
        <v>478.2340976873212</v>
      </c>
      <c r="BJ133" s="59">
        <f t="shared" ref="BJ133:BJ196" si="146">$BJ$3</f>
        <v>342.90128902463823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60.408147474524704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60.408147474524704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121.16</v>
      </c>
      <c r="BW133" s="12">
        <f>VLOOKUP(A133,'Données projet'!$A$113:$I$133,9,0)</f>
        <v>1.5600000000000023</v>
      </c>
      <c r="BX133" s="12">
        <f t="array" ref="BX133">INDEX(BW:BW,MIN(IF(ISNUMBER(BW133:BW329),ROW(BW133:BW329),"")))</f>
        <v>1.5600000000000023</v>
      </c>
      <c r="BY133" s="12">
        <f>IF('Données projet'!$A$114&gt;35,BY132+BX133-CG132,IF(A133&lt;'Données projet'!$A$114,$BV$205^A133,IF(A133='Données projet'!$A$114,'Données projet'!$B$114,BY132+BX133-CG132)))</f>
        <v>121.16000000000022</v>
      </c>
      <c r="BZ133" s="13">
        <f>BY133*VLOOKUP('Données projet'!$B$12,Paramètres!$A$1:$I$89,3,0)*VLOOKUP('Données projet'!$B$12,Paramètres!$A$1:$I$89,5,0)</f>
        <v>109.62556800000021</v>
      </c>
      <c r="CA133" s="13">
        <f t="shared" ref="CA133:CA153" si="147">EXP(-1.0587+0.8836*LN(BZ133)+0.284)</f>
        <v>29.242747973759627</v>
      </c>
      <c r="CB133" s="20">
        <f t="shared" si="118"/>
        <v>241.86231698763174</v>
      </c>
      <c r="CC133" s="59">
        <f t="shared" si="119"/>
        <v>532.65142683719182</v>
      </c>
      <c r="CD133" s="59">
        <f ca="1">AVERAGE(OFFSET($CC$3,0,0,'Données projet'!$E$12+1,1))-AVERAGE(OFFSET($H$3,0,0,'Données projet'!$E$12+1,1))</f>
        <v>471.03166569378629</v>
      </c>
      <c r="CE133" s="59">
        <f t="shared" ref="CE133:CE196" si="148">$CE$3</f>
        <v>259.15709238853287</v>
      </c>
      <c r="CF133" s="15">
        <f>IF(ISNA(VLOOKUP(A133,'Données projet'!$A$113:$I$133,3,0)),0,VLOOKUP(A133,'Données projet'!$A$113:$I$133,3,0))</f>
        <v>15</v>
      </c>
      <c r="CG133" s="15">
        <f>IF(ISNA(VLOOKUP(A133,'Données projet'!$A$113:$I$133,4,0)),0,VLOOKUP(A133,'Données projet'!$A$113:$I$133,4,0))</f>
        <v>121.16</v>
      </c>
      <c r="CH133" s="16">
        <f>IF(ISNA(VLOOKUP(A133,'Données projet'!$A$113:$I$133,5,0)),0%,VLOOKUP(A133,'Données projet'!$A$113:$I$133,5,0)*VLOOKUP('Données projet'!$B$12,Paramètres!$A$1:$I$89,7,0))</f>
        <v>0.25800000000000001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154.70271903607093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154.70271903607093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-4.5474735088646412E-13</v>
      </c>
      <c r="CU133" s="17">
        <f>CT133*VLOOKUP('Données projet'!$B$13,Paramètres!$A$1:$I$89,3,0)*VLOOKUP('Données projet'!$B$13,Paramètres!$A$1:$I$89,5,0)</f>
        <v>-2.1282176021486519E-13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364.67256251031029</v>
      </c>
      <c r="CZ133" s="59">
        <f t="shared" ref="CZ133:CZ196" si="150">$CZ$3</f>
        <v>347.4139588390766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125.82106694837877</v>
      </c>
      <c r="DG133" s="21">
        <f>EXP(-LN(2)/25)*DG132+(1-EXP(-LN(2)/25))/(LN(2)/25)*Calculateur!DB133*Calculateur!DD133*VLOOKUP('Données projet'!$B$13,Paramètres!$A$1:$I$89,3,0)*0.475*44/12</f>
        <v>42.129468638920152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167.95053558729893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69.306120868061825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1.35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4.95</v>
      </c>
      <c r="H134" s="67">
        <f t="shared" si="110"/>
        <v>236.86666666666665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51.998489924038495</v>
      </c>
      <c r="T134" s="59">
        <f t="shared" si="142"/>
        <v>206.32767973856241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4.7101498729954683</v>
      </c>
      <c r="AA134" s="21">
        <f>EXP(-LN(2)/25)*AA133+(1-EXP(-LN(2)/25))/(LN(2)/25)*Calculateur!V134*Calculateur!X134*VLOOKUP('Données projet'!$B$9,Paramètres!$A$1:$I$89,3,0)*0.475*44/12</f>
        <v>0.54027362005532009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5.2504234930507883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356.02637444732096</v>
      </c>
      <c r="AO134" s="59">
        <f t="shared" si="144"/>
        <v>263.30053404008095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62.662006149018836</v>
      </c>
      <c r="AV134" s="21">
        <f>EXP(-LN(2)/25)*AV133+(1-EXP(-LN(2)/25))/(LN(2)/25)*Calculateur!AQ134*Calculateur!AS134*VLOOKUP('Données projet'!$B$10,Paramètres!$A$1:$I$89,3,0)*0.475*44/12</f>
        <v>19.633500595925998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82.295506744944831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6.5958333333333314</v>
      </c>
      <c r="BD134" s="12">
        <f>IF('Données projet'!$A$88&gt;35,BD133+BC134-BL133,IF(A134&lt;'Données projet'!$A$88,$BA$205^A134,IF(A134='Données projet'!$A$88,'Données projet'!$B$88,BD133+BC134-BL133)))</f>
        <v>291.24166666666667</v>
      </c>
      <c r="BE134" s="13">
        <f>BD134*VLOOKUP('Données projet'!$B$11,Paramètres!$A$1:$I$89,3,0)*VLOOKUP('Données projet'!$B$11,Paramètres!$A$1:$I$89,5,0)</f>
        <v>295.31905</v>
      </c>
      <c r="BF134" s="13">
        <f t="shared" si="145"/>
        <v>70.194260211943416</v>
      </c>
      <c r="BG134" s="20">
        <f t="shared" si="115"/>
        <v>636.60234861913466</v>
      </c>
      <c r="BH134" s="59">
        <f t="shared" si="116"/>
        <v>927.43559505810663</v>
      </c>
      <c r="BI134" s="59">
        <f ca="1">AVERAGE(OFFSET($BH$3,0,0,'Données projet'!$E$11+1,1))-AVERAGE(OFFSET($H$3,0,0,'Données projet'!$E$11+1,1))</f>
        <v>478.2340976873212</v>
      </c>
      <c r="BJ134" s="59">
        <f t="shared" si="146"/>
        <v>342.90128902463823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59.223580547881056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59.223580547881056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2.0572770154103635E-13</v>
      </c>
      <c r="CA134" s="13">
        <f t="shared" si="147"/>
        <v>2.8416956338469711E-12</v>
      </c>
      <c r="CB134" s="20">
        <f t="shared" si="118"/>
        <v>5.3075956424674458E-12</v>
      </c>
      <c r="CC134" s="59">
        <f t="shared" si="119"/>
        <v>290.8332464389772</v>
      </c>
      <c r="CD134" s="59">
        <f ca="1">AVERAGE(OFFSET($CC$3,0,0,'Données projet'!$E$12+1,1))-AVERAGE(OFFSET($H$3,0,0,'Données projet'!$E$12+1,1))</f>
        <v>471.03166569378629</v>
      </c>
      <c r="CE134" s="59">
        <f t="shared" si="148"/>
        <v>259.15709238853287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151.66909307511497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151.66909307511497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-4.5474735088646412E-13</v>
      </c>
      <c r="CU134" s="17">
        <f>CT134*VLOOKUP('Données projet'!$B$13,Paramètres!$A$1:$I$89,3,0)*VLOOKUP('Données projet'!$B$13,Paramètres!$A$1:$I$89,5,0)</f>
        <v>-2.1282176021486519E-13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364.67256251031029</v>
      </c>
      <c r="CZ134" s="59">
        <f t="shared" si="150"/>
        <v>347.4139588390766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123.35379256879413</v>
      </c>
      <c r="DG134" s="21">
        <f>EXP(-LN(2)/25)*DG133+(1-EXP(-LN(2)/25))/(LN(2)/25)*Calculateur!DB134*Calculateur!DD134*VLOOKUP('Données projet'!$B$13,Paramètres!$A$1:$I$89,3,0)*0.475*44/12</f>
        <v>40.977436103496416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164.33122867229054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69.318158119719612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1.35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4.95</v>
      </c>
      <c r="H135" s="67">
        <f t="shared" si="110"/>
        <v>236.86666666666665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51.998489924038495</v>
      </c>
      <c r="T135" s="59">
        <f t="shared" si="142"/>
        <v>206.32767973856241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4.6177867068937735</v>
      </c>
      <c r="AA135" s="21">
        <f>EXP(-LN(2)/25)*AA134+(1-EXP(-LN(2)/25))/(LN(2)/25)*Calculateur!V135*Calculateur!X135*VLOOKUP('Données projet'!$B$9,Paramètres!$A$1:$I$89,3,0)*0.475*44/12</f>
        <v>0.52549980950315245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5.1432865163969259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356.02637444732096</v>
      </c>
      <c r="AO135" s="59">
        <f t="shared" si="144"/>
        <v>263.30053404008095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61.433242428486409</v>
      </c>
      <c r="AV135" s="21">
        <f>EXP(-LN(2)/25)*AV134+(1-EXP(-LN(2)/25))/(LN(2)/25)*Calculateur!AQ135*Calculateur!AS135*VLOOKUP('Données projet'!$B$10,Paramètres!$A$1:$I$89,3,0)*0.475*44/12</f>
        <v>19.096621489649479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80.529863918135888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6.5958333333333314</v>
      </c>
      <c r="BD135" s="12">
        <f>IF('Données projet'!$A$88&gt;35,BD134+BC135-BL134,IF(A135&lt;'Données projet'!$A$88,$BA$205^A135,IF(A135='Données projet'!$A$88,'Données projet'!$B$88,BD134+BC135-BL134)))</f>
        <v>297.83749999999998</v>
      </c>
      <c r="BE135" s="13">
        <f>BD135*VLOOKUP('Données projet'!$B$11,Paramètres!$A$1:$I$89,3,0)*VLOOKUP('Données projet'!$B$11,Paramètres!$A$1:$I$89,5,0)</f>
        <v>302.00722500000001</v>
      </c>
      <c r="BF135" s="13">
        <f t="shared" si="145"/>
        <v>71.597091483703821</v>
      </c>
      <c r="BG135" s="20">
        <f t="shared" si="115"/>
        <v>650.69418454245078</v>
      </c>
      <c r="BH135" s="59">
        <f t="shared" si="116"/>
        <v>941.57080189968292</v>
      </c>
      <c r="BI135" s="59">
        <f ca="1">AVERAGE(OFFSET($BH$3,0,0,'Données projet'!$E$11+1,1))-AVERAGE(OFFSET($H$3,0,0,'Données projet'!$E$11+1,1))</f>
        <v>478.2340976873212</v>
      </c>
      <c r="BJ135" s="59">
        <f t="shared" si="146"/>
        <v>342.90128902463823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58.062242256154413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58.062242256154413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2.0572770154103635E-13</v>
      </c>
      <c r="CA135" s="13">
        <f t="shared" si="147"/>
        <v>2.8416956338469711E-12</v>
      </c>
      <c r="CB135" s="20">
        <f t="shared" si="118"/>
        <v>5.3075956424674458E-12</v>
      </c>
      <c r="CC135" s="59">
        <f t="shared" si="119"/>
        <v>290.87661735723742</v>
      </c>
      <c r="CD135" s="59">
        <f ca="1">AVERAGE(OFFSET($CC$3,0,0,'Données projet'!$E$12+1,1))-AVERAGE(OFFSET($H$3,0,0,'Données projet'!$E$12+1,1))</f>
        <v>471.03166569378629</v>
      </c>
      <c r="CE135" s="59">
        <f t="shared" si="148"/>
        <v>259.15709238853287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148.69495466892423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148.69495466892423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-4.5474735088646412E-13</v>
      </c>
      <c r="CU135" s="17">
        <f>CT135*VLOOKUP('Données projet'!$B$13,Paramètres!$A$1:$I$89,3,0)*VLOOKUP('Données projet'!$B$13,Paramètres!$A$1:$I$89,5,0)</f>
        <v>-2.1282176021486519E-13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364.67256251031029</v>
      </c>
      <c r="CZ135" s="59">
        <f t="shared" si="150"/>
        <v>347.4139588390766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120.93489993490438</v>
      </c>
      <c r="DG135" s="21">
        <f>EXP(-LN(2)/25)*DG134+(1-EXP(-LN(2)/25))/(LN(2)/25)*Calculateur!DB135*Calculateur!DD135*VLOOKUP('Données projet'!$B$13,Paramètres!$A$1:$I$89,3,0)*0.475*44/12</f>
        <v>39.856905958336597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160.79180589324096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69.329986551972397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1.35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4.95</v>
      </c>
      <c r="H136" s="67">
        <f t="shared" si="110"/>
        <v>236.86666666666665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51.998489924038495</v>
      </c>
      <c r="T136" s="59">
        <f t="shared" si="142"/>
        <v>206.32767973856241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4.5272347261433641</v>
      </c>
      <c r="AA136" s="21">
        <f>EXP(-LN(2)/25)*AA135+(1-EXP(-LN(2)/25))/(LN(2)/25)*Calculateur!V136*Calculateur!X136*VLOOKUP('Données projet'!$B$9,Paramètres!$A$1:$I$89,3,0)*0.475*44/12</f>
        <v>0.51112998957745481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5.0383647157208191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356.02637444732096</v>
      </c>
      <c r="AO136" s="59">
        <f t="shared" si="144"/>
        <v>263.30053404008095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60.228574015041758</v>
      </c>
      <c r="AV136" s="21">
        <f>EXP(-LN(2)/25)*AV135+(1-EXP(-LN(2)/25))/(LN(2)/25)*Calculateur!AQ136*Calculateur!AS136*VLOOKUP('Données projet'!$B$10,Paramètres!$A$1:$I$89,3,0)*0.475*44/12</f>
        <v>18.574423370767335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78.802997385809093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6.5958333333333314</v>
      </c>
      <c r="BD136" s="12">
        <f>IF('Données projet'!$A$88&gt;35,BD135+BC136-BL135,IF(A136&lt;'Données projet'!$A$88,$BA$205^A136,IF(A136='Données projet'!$A$88,'Données projet'!$B$88,BD135+BC136-BL135)))</f>
        <v>304.43333333333328</v>
      </c>
      <c r="BE136" s="13">
        <f>BD136*VLOOKUP('Données projet'!$B$11,Paramètres!$A$1:$I$89,3,0)*VLOOKUP('Données projet'!$B$11,Paramètres!$A$1:$I$89,5,0)</f>
        <v>308.69539999999995</v>
      </c>
      <c r="BF136" s="13">
        <f t="shared" si="145"/>
        <v>72.996310931273229</v>
      </c>
      <c r="BG136" s="20">
        <f t="shared" si="115"/>
        <v>664.77972987196733</v>
      </c>
      <c r="BH136" s="59">
        <f t="shared" si="116"/>
        <v>955.69896575899065</v>
      </c>
      <c r="BI136" s="59">
        <f ca="1">AVERAGE(OFFSET($BH$3,0,0,'Données projet'!$E$11+1,1))-AVERAGE(OFFSET($H$3,0,0,'Données projet'!$E$11+1,1))</f>
        <v>478.2340976873212</v>
      </c>
      <c r="BJ136" s="59">
        <f t="shared" si="146"/>
        <v>342.90128902463823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56.923677099982115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56.923677099982115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2.0572770154103635E-13</v>
      </c>
      <c r="CA136" s="13">
        <f t="shared" si="147"/>
        <v>2.8416956338469711E-12</v>
      </c>
      <c r="CB136" s="20">
        <f t="shared" si="118"/>
        <v>5.3075956424674458E-12</v>
      </c>
      <c r="CC136" s="59">
        <f t="shared" si="119"/>
        <v>290.91923588702866</v>
      </c>
      <c r="CD136" s="59">
        <f ca="1">AVERAGE(OFFSET($CC$3,0,0,'Données projet'!$E$12+1,1))-AVERAGE(OFFSET($H$3,0,0,'Données projet'!$E$12+1,1))</f>
        <v>471.03166569378629</v>
      </c>
      <c r="CE136" s="59">
        <f t="shared" si="148"/>
        <v>259.15709238853287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145.77913730283359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145.77913730283359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-4.5474735088646412E-13</v>
      </c>
      <c r="CU136" s="17">
        <f>CT136*VLOOKUP('Données projet'!$B$13,Paramètres!$A$1:$I$89,3,0)*VLOOKUP('Données projet'!$B$13,Paramètres!$A$1:$I$89,5,0)</f>
        <v>-2.1282176021486519E-13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364.67256251031029</v>
      </c>
      <c r="CZ136" s="59">
        <f t="shared" si="150"/>
        <v>347.4139588390766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118.56344031018638</v>
      </c>
      <c r="DG136" s="21">
        <f>EXP(-LN(2)/25)*DG135+(1-EXP(-LN(2)/25))/(LN(2)/25)*Calculateur!DB136*Calculateur!DD136*VLOOKUP('Données projet'!$B$13,Paramètres!$A$1:$I$89,3,0)*0.475*44/12</f>
        <v>38.767016768922289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157.33045707910867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69.341609787370004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1.35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4.95</v>
      </c>
      <c r="H137" s="67">
        <f t="shared" si="110"/>
        <v>236.86666666666665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51.998489924038495</v>
      </c>
      <c r="T137" s="59">
        <f t="shared" si="142"/>
        <v>206.32767973856241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4.4384584145042156</v>
      </c>
      <c r="AA137" s="21">
        <f>EXP(-LN(2)/25)*AA136+(1-EXP(-LN(2)/25))/(LN(2)/25)*Calculateur!V137*Calculateur!X137*VLOOKUP('Données projet'!$B$9,Paramètres!$A$1:$I$89,3,0)*0.475*44/12</f>
        <v>0.49715311313330135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4.9356115276375174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356.02637444732096</v>
      </c>
      <c r="AO137" s="59">
        <f t="shared" si="144"/>
        <v>263.30053404008095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59.047528414409577</v>
      </c>
      <c r="AV137" s="21">
        <f>EXP(-LN(2)/25)*AV136+(1-EXP(-LN(2)/25))/(LN(2)/25)*Calculateur!AQ137*Calculateur!AS137*VLOOKUP('Données projet'!$B$10,Paramètres!$A$1:$I$89,3,0)*0.475*44/12</f>
        <v>18.066504786907227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77.114033201316801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6.5958333333333314</v>
      </c>
      <c r="BD137" s="12">
        <f>IF('Données projet'!$A$88&gt;35,BD136+BC137-BL136,IF(A137&lt;'Données projet'!$A$88,$BA$205^A137,IF(A137='Données projet'!$A$88,'Données projet'!$B$88,BD136+BC137-BL136)))</f>
        <v>311.02916666666658</v>
      </c>
      <c r="BE137" s="13">
        <f>BD137*VLOOKUP('Données projet'!$B$11,Paramètres!$A$1:$I$89,3,0)*VLOOKUP('Données projet'!$B$11,Paramètres!$A$1:$I$89,5,0)</f>
        <v>315.38357499999995</v>
      </c>
      <c r="BF137" s="13">
        <f t="shared" si="145"/>
        <v>74.392005820642126</v>
      </c>
      <c r="BG137" s="20">
        <f t="shared" si="115"/>
        <v>678.85913659595155</v>
      </c>
      <c r="BH137" s="59">
        <f t="shared" si="116"/>
        <v>969.82025167655502</v>
      </c>
      <c r="BI137" s="59">
        <f ca="1">AVERAGE(OFFSET($BH$3,0,0,'Données projet'!$E$11+1,1))-AVERAGE(OFFSET($H$3,0,0,'Données projet'!$E$11+1,1))</f>
        <v>478.2340976873212</v>
      </c>
      <c r="BJ137" s="59">
        <f t="shared" si="146"/>
        <v>342.90128902463823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55.807438512066177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55.807438512066177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2.0572770154103635E-13</v>
      </c>
      <c r="CA137" s="13">
        <f t="shared" si="147"/>
        <v>2.8416956338469711E-12</v>
      </c>
      <c r="CB137" s="20">
        <f t="shared" si="118"/>
        <v>5.3075956424674458E-12</v>
      </c>
      <c r="CC137" s="59">
        <f t="shared" si="119"/>
        <v>290.96111508060881</v>
      </c>
      <c r="CD137" s="59">
        <f ca="1">AVERAGE(OFFSET($CC$3,0,0,'Données projet'!$E$12+1,1))-AVERAGE(OFFSET($H$3,0,0,'Données projet'!$E$12+1,1))</f>
        <v>471.03166569378629</v>
      </c>
      <c r="CE137" s="59">
        <f t="shared" si="148"/>
        <v>259.15709238853287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142.92049733681901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142.92049733681901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-4.5474735088646412E-13</v>
      </c>
      <c r="CU137" s="17">
        <f>CT137*VLOOKUP('Données projet'!$B$13,Paramètres!$A$1:$I$89,3,0)*VLOOKUP('Données projet'!$B$13,Paramètres!$A$1:$I$89,5,0)</f>
        <v>-2.1282176021486519E-13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364.67256251031029</v>
      </c>
      <c r="CZ137" s="59">
        <f t="shared" si="150"/>
        <v>347.4139588390766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116.23848356226155</v>
      </c>
      <c r="DG137" s="21">
        <f>EXP(-LN(2)/25)*DG136+(1-EXP(-LN(2)/25))/(LN(2)/25)*Calculateur!DB137*Calculateur!DD137*VLOOKUP('Données projet'!$B$13,Paramètres!$A$1:$I$89,3,0)*0.475*44/12</f>
        <v>37.7069306567073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153.94541421896884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69.353031385619133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1.35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4.95</v>
      </c>
      <c r="H138" s="67">
        <f t="shared" si="110"/>
        <v>236.86666666666665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51.998489924038495</v>
      </c>
      <c r="T138" s="59">
        <f t="shared" si="142"/>
        <v>206.32767973856241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4.3514229521881074</v>
      </c>
      <c r="AA138" s="21">
        <f>EXP(-LN(2)/25)*AA137+(1-EXP(-LN(2)/25))/(LN(2)/25)*Calculateur!V138*Calculateur!X138*VLOOKUP('Données projet'!$B$9,Paramètres!$A$1:$I$89,3,0)*0.475*44/12</f>
        <v>0.48355843511052526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4.8349813872986322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356.02637444732096</v>
      </c>
      <c r="AO138" s="59">
        <f t="shared" si="144"/>
        <v>263.30053404008095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57.889642397639108</v>
      </c>
      <c r="AV138" s="21">
        <f>EXP(-LN(2)/25)*AV137+(1-EXP(-LN(2)/25))/(LN(2)/25)*Calculateur!AQ138*Calculateur!AS138*VLOOKUP('Données projet'!$B$10,Paramètres!$A$1:$I$89,3,0)*0.475*44/12</f>
        <v>17.572475263433056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75.46211766107217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6.5958333333333314</v>
      </c>
      <c r="BD138" s="12">
        <f>IF('Données projet'!$A$88&gt;35,BD137+BC138-BL137,IF(A138&lt;'Données projet'!$A$88,$BA$205^A138,IF(A138='Données projet'!$A$88,'Données projet'!$B$88,BD137+BC138-BL137)))</f>
        <v>317.62499999999989</v>
      </c>
      <c r="BE138" s="13">
        <f>BD138*VLOOKUP('Données projet'!$B$11,Paramètres!$A$1:$I$89,3,0)*VLOOKUP('Données projet'!$B$11,Paramètres!$A$1:$I$89,5,0)</f>
        <v>322.07174999999989</v>
      </c>
      <c r="BF138" s="13">
        <f t="shared" si="145"/>
        <v>75.784259505131075</v>
      </c>
      <c r="BG138" s="20">
        <f t="shared" si="115"/>
        <v>692.93254988810304</v>
      </c>
      <c r="BH138" s="59">
        <f t="shared" si="116"/>
        <v>983.93481765190586</v>
      </c>
      <c r="BI138" s="59">
        <f ca="1">AVERAGE(OFFSET($BH$3,0,0,'Données projet'!$E$11+1,1))-AVERAGE(OFFSET($H$3,0,0,'Données projet'!$E$11+1,1))</f>
        <v>478.2340976873212</v>
      </c>
      <c r="BJ138" s="59">
        <f t="shared" si="146"/>
        <v>342.90128902463823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54.71308868202096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54.71308868202096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2.0572770154103635E-13</v>
      </c>
      <c r="CA138" s="13">
        <f t="shared" si="147"/>
        <v>2.8416956338469711E-12</v>
      </c>
      <c r="CB138" s="20">
        <f t="shared" si="118"/>
        <v>5.3075956424674458E-12</v>
      </c>
      <c r="CC138" s="59">
        <f t="shared" si="119"/>
        <v>291.00226776380816</v>
      </c>
      <c r="CD138" s="59">
        <f ca="1">AVERAGE(OFFSET($CC$3,0,0,'Données projet'!$E$12+1,1))-AVERAGE(OFFSET($H$3,0,0,'Données projet'!$E$12+1,1))</f>
        <v>471.03166569378629</v>
      </c>
      <c r="CE138" s="59">
        <f t="shared" si="148"/>
        <v>259.15709238853287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140.11791355693975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140.11791355693975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-4.5474735088646412E-13</v>
      </c>
      <c r="CU138" s="17">
        <f>CT138*VLOOKUP('Données projet'!$B$13,Paramètres!$A$1:$I$89,3,0)*VLOOKUP('Données projet'!$B$13,Paramètres!$A$1:$I$89,5,0)</f>
        <v>-2.1282176021486519E-13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364.67256251031029</v>
      </c>
      <c r="CZ138" s="59">
        <f t="shared" si="150"/>
        <v>347.4139588390766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113.95911779807993</v>
      </c>
      <c r="DG138" s="21">
        <f>EXP(-LN(2)/25)*DG137+(1-EXP(-LN(2)/25))/(LN(2)/25)*Calculateur!DB138*Calculateur!DD138*VLOOKUP('Données projet'!$B$13,Paramètres!$A$1:$I$89,3,0)*0.475*44/12</f>
        <v>36.675832654978336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150.63495045305825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69.364254844673511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1.35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4.95</v>
      </c>
      <c r="H139" s="67">
        <f t="shared" si="110"/>
        <v>236.86666666666665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51.998489924038495</v>
      </c>
      <c r="T139" s="59">
        <f t="shared" si="142"/>
        <v>206.32767973856241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4.2660942022016286</v>
      </c>
      <c r="AA139" s="21">
        <f>EXP(-LN(2)/25)*AA138+(1-EXP(-LN(2)/25))/(LN(2)/25)*Calculateur!V139*Calculateur!X139*VLOOKUP('Données projet'!$B$9,Paramètres!$A$1:$I$89,3,0)*0.475*44/12</f>
        <v>0.47033550427319504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4.7364297064748238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356.02637444732096</v>
      </c>
      <c r="AO139" s="59">
        <f t="shared" si="144"/>
        <v>263.30053404008095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56.754461819416775</v>
      </c>
      <c r="AV139" s="21">
        <f>EXP(-LN(2)/25)*AV138+(1-EXP(-LN(2)/25))/(LN(2)/25)*Calculateur!AQ139*Calculateur!AS139*VLOOKUP('Données projet'!$B$10,Paramètres!$A$1:$I$89,3,0)*0.475*44/12</f>
        <v>17.091955003258168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73.846416822674939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6.5958333333333314</v>
      </c>
      <c r="BD139" s="12">
        <f>IF('Données projet'!$A$88&gt;35,BD138+BC139-BL138,IF(A139&lt;'Données projet'!$A$88,$BA$205^A139,IF(A139='Données projet'!$A$88,'Données projet'!$B$88,BD138+BC139-BL138)))</f>
        <v>324.22083333333319</v>
      </c>
      <c r="BE139" s="13">
        <f>BD139*VLOOKUP('Données projet'!$B$11,Paramètres!$A$1:$I$89,3,0)*VLOOKUP('Données projet'!$B$11,Paramètres!$A$1:$I$89,5,0)</f>
        <v>328.75992499999984</v>
      </c>
      <c r="BF139" s="13">
        <f t="shared" si="145"/>
        <v>77.173151678368555</v>
      </c>
      <c r="BG139" s="20">
        <f t="shared" si="115"/>
        <v>707.00010854815821</v>
      </c>
      <c r="BH139" s="59">
        <f t="shared" si="116"/>
        <v>998.0428150881105</v>
      </c>
      <c r="BI139" s="59">
        <f ca="1">AVERAGE(OFFSET($BH$3,0,0,'Données projet'!$E$11+1,1))-AVERAGE(OFFSET($H$3,0,0,'Données projet'!$E$11+1,1))</f>
        <v>478.2340976873212</v>
      </c>
      <c r="BJ139" s="59">
        <f t="shared" si="146"/>
        <v>342.90128902463823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53.640198384655442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53.640198384655442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2.0572770154103635E-13</v>
      </c>
      <c r="CA139" s="13">
        <f t="shared" si="147"/>
        <v>2.8416956338469711E-12</v>
      </c>
      <c r="CB139" s="20">
        <f t="shared" si="118"/>
        <v>5.3075956424674458E-12</v>
      </c>
      <c r="CC139" s="59">
        <f t="shared" si="119"/>
        <v>291.04270653995763</v>
      </c>
      <c r="CD139" s="59">
        <f ca="1">AVERAGE(OFFSET($CC$3,0,0,'Données projet'!$E$12+1,1))-AVERAGE(OFFSET($H$3,0,0,'Données projet'!$E$12+1,1))</f>
        <v>471.03166569378629</v>
      </c>
      <c r="CE139" s="59">
        <f t="shared" si="148"/>
        <v>259.15709238853287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137.37028673557663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137.37028673557663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-4.5474735088646412E-13</v>
      </c>
      <c r="CU139" s="17">
        <f>CT139*VLOOKUP('Données projet'!$B$13,Paramètres!$A$1:$I$89,3,0)*VLOOKUP('Données projet'!$B$13,Paramètres!$A$1:$I$89,5,0)</f>
        <v>-2.1282176021486519E-13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364.67256251031029</v>
      </c>
      <c r="CZ139" s="59">
        <f t="shared" si="150"/>
        <v>347.4139588390766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111.72444900625807</v>
      </c>
      <c r="DG139" s="21">
        <f>EXP(-LN(2)/25)*DG138+(1-EXP(-LN(2)/25))/(LN(2)/25)*Calculateur!DB139*Calculateur!DD139*VLOOKUP('Données projet'!$B$13,Paramètres!$A$1:$I$89,3,0)*0.475*44/12</f>
        <v>35.672930082329735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147.3973790885878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69.375283601805194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1.35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4.95</v>
      </c>
      <c r="H140" s="67">
        <f t="shared" si="110"/>
        <v>236.86666666666665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51.998489924038495</v>
      </c>
      <c r="T140" s="59">
        <f t="shared" si="142"/>
        <v>206.32767973856241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4.1824386969569858</v>
      </c>
      <c r="AA140" s="21">
        <f>EXP(-LN(2)/25)*AA139+(1-EXP(-LN(2)/25))/(LN(2)/25)*Calculateur!V140*Calculateur!X140*VLOOKUP('Données projet'!$B$9,Paramètres!$A$1:$I$89,3,0)*0.475*44/12</f>
        <v>0.45747415517497531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4.6399128521319613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356.02637444732096</v>
      </c>
      <c r="AO140" s="59">
        <f t="shared" si="144"/>
        <v>263.30053404008095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55.641541439941598</v>
      </c>
      <c r="AV140" s="21">
        <f>EXP(-LN(2)/25)*AV139+(1-EXP(-LN(2)/25))/(LN(2)/25)*Calculateur!AQ140*Calculateur!AS140*VLOOKUP('Données projet'!$B$10,Paramètres!$A$1:$I$89,3,0)*0.475*44/12</f>
        <v>16.624574594867223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72.266116034808817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6.5958333333333314</v>
      </c>
      <c r="BD140" s="12">
        <f>IF('Données projet'!$A$88&gt;35,BD139+BC140-BL139,IF(A140&lt;'Données projet'!$A$88,$BA$205^A140,IF(A140='Données projet'!$A$88,'Données projet'!$B$88,BD139+BC140-BL139)))</f>
        <v>330.81666666666649</v>
      </c>
      <c r="BE140" s="13">
        <f>BD140*VLOOKUP('Données projet'!$B$11,Paramètres!$A$1:$I$89,3,0)*VLOOKUP('Données projet'!$B$11,Paramètres!$A$1:$I$89,5,0)</f>
        <v>335.44809999999984</v>
      </c>
      <c r="BF140" s="13">
        <f t="shared" si="145"/>
        <v>78.558758606100426</v>
      </c>
      <c r="BG140" s="20">
        <f t="shared" si="115"/>
        <v>721.06194540562456</v>
      </c>
      <c r="BH140" s="59">
        <f t="shared" si="116"/>
        <v>1012.1443891993678</v>
      </c>
      <c r="BI140" s="59">
        <f ca="1">AVERAGE(OFFSET($BH$3,0,0,'Données projet'!$E$11+1,1))-AVERAGE(OFFSET($H$3,0,0,'Données projet'!$E$11+1,1))</f>
        <v>478.2340976873212</v>
      </c>
      <c r="BJ140" s="59">
        <f t="shared" si="146"/>
        <v>342.90128902463823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52.588346811622799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52.588346811622799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2.0572770154103635E-13</v>
      </c>
      <c r="CA140" s="13">
        <f t="shared" si="147"/>
        <v>2.8416956338469711E-12</v>
      </c>
      <c r="CB140" s="20">
        <f t="shared" si="118"/>
        <v>5.3075956424674458E-12</v>
      </c>
      <c r="CC140" s="59">
        <f t="shared" si="119"/>
        <v>291.0824437937485</v>
      </c>
      <c r="CD140" s="59">
        <f ca="1">AVERAGE(OFFSET($CC$3,0,0,'Données projet'!$E$12+1,1))-AVERAGE(OFFSET($H$3,0,0,'Données projet'!$E$12+1,1))</f>
        <v>471.03166569378629</v>
      </c>
      <c r="CE140" s="59">
        <f t="shared" si="148"/>
        <v>259.15709238853287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134.67653920029355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134.67653920029355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-4.5474735088646412E-13</v>
      </c>
      <c r="CU140" s="17">
        <f>CT140*VLOOKUP('Données projet'!$B$13,Paramètres!$A$1:$I$89,3,0)*VLOOKUP('Données projet'!$B$13,Paramètres!$A$1:$I$89,5,0)</f>
        <v>-2.1282176021486519E-13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364.67256251031029</v>
      </c>
      <c r="CZ140" s="59">
        <f t="shared" si="150"/>
        <v>347.4139588390766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109.53360070643046</v>
      </c>
      <c r="DG140" s="21">
        <f>EXP(-LN(2)/25)*DG139+(1-EXP(-LN(2)/25))/(LN(2)/25)*Calculateur!DB140*Calculateur!DD140*VLOOKUP('Données projet'!$B$13,Paramètres!$A$1:$I$89,3,0)*0.475*44/12</f>
        <v>34.697451933270564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144.23105263970103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69.386121034657236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1.35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4.95</v>
      </c>
      <c r="H141" s="67">
        <f t="shared" si="110"/>
        <v>236.86666666666665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51.998489924038495</v>
      </c>
      <c r="T141" s="59">
        <f t="shared" si="142"/>
        <v>206.32767973856241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4.1004236251453703</v>
      </c>
      <c r="AA141" s="21">
        <f>EXP(-LN(2)/25)*AA140+(1-EXP(-LN(2)/25))/(LN(2)/25)*Calculateur!V141*Calculateur!X141*VLOOKUP('Données projet'!$B$9,Paramètres!$A$1:$I$89,3,0)*0.475*44/12</f>
        <v>0.44496450034419538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4.5453881254895654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356.02637444732096</v>
      </c>
      <c r="AO141" s="59">
        <f t="shared" si="144"/>
        <v>263.30053404008095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54.550444750293522</v>
      </c>
      <c r="AV141" s="21">
        <f>EXP(-LN(2)/25)*AV140+(1-EXP(-LN(2)/25))/(LN(2)/25)*Calculateur!AQ141*Calculateur!AS141*VLOOKUP('Données projet'!$B$10,Paramètres!$A$1:$I$89,3,0)*0.475*44/12</f>
        <v>16.169974728322195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70.720419478615725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6.5958333333333314</v>
      </c>
      <c r="BD141" s="12">
        <f>IF('Données projet'!$A$88&gt;35,BD140+BC141-BL140,IF(A141&lt;'Données projet'!$A$88,$BA$205^A141,IF(A141='Données projet'!$A$88,'Données projet'!$B$88,BD140+BC141-BL140)))</f>
        <v>337.4124999999998</v>
      </c>
      <c r="BE141" s="13">
        <f>BD141*VLOOKUP('Données projet'!$B$11,Paramètres!$A$1:$I$89,3,0)*VLOOKUP('Données projet'!$B$11,Paramètres!$A$1:$I$89,5,0)</f>
        <v>342.13627499999978</v>
      </c>
      <c r="BF141" s="13">
        <f t="shared" si="145"/>
        <v>79.941153338991015</v>
      </c>
      <c r="BG141" s="20">
        <f t="shared" si="115"/>
        <v>735.11818769040883</v>
      </c>
      <c r="BH141" s="59">
        <f t="shared" si="116"/>
        <v>1026.2396793854289</v>
      </c>
      <c r="BI141" s="59">
        <f ca="1">AVERAGE(OFFSET($BH$3,0,0,'Données projet'!$E$11+1,1))-AVERAGE(OFFSET($H$3,0,0,'Données projet'!$E$11+1,1))</f>
        <v>478.2340976873212</v>
      </c>
      <c r="BJ141" s="59">
        <f t="shared" si="146"/>
        <v>342.90128902463823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51.557121406371216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51.557121406371216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2.0572770154103635E-13</v>
      </c>
      <c r="CA141" s="13">
        <f t="shared" si="147"/>
        <v>2.8416956338469711E-12</v>
      </c>
      <c r="CB141" s="20">
        <f t="shared" si="118"/>
        <v>5.3075956424674458E-12</v>
      </c>
      <c r="CC141" s="59">
        <f t="shared" si="119"/>
        <v>291.12149169502527</v>
      </c>
      <c r="CD141" s="59">
        <f ca="1">AVERAGE(OFFSET($CC$3,0,0,'Données projet'!$E$12+1,1))-AVERAGE(OFFSET($H$3,0,0,'Données projet'!$E$12+1,1))</f>
        <v>471.03166569378629</v>
      </c>
      <c r="CE141" s="59">
        <f t="shared" si="148"/>
        <v>259.15709238853287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132.0356144111536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132.0356144111536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-4.5474735088646412E-13</v>
      </c>
      <c r="CU141" s="17">
        <f>CT141*VLOOKUP('Données projet'!$B$13,Paramètres!$A$1:$I$89,3,0)*VLOOKUP('Données projet'!$B$13,Paramètres!$A$1:$I$89,5,0)</f>
        <v>-2.1282176021486519E-13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364.67256251031029</v>
      </c>
      <c r="CZ141" s="59">
        <f t="shared" si="150"/>
        <v>347.4139588390766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107.38571360547697</v>
      </c>
      <c r="DG141" s="21">
        <f>EXP(-LN(2)/25)*DG140+(1-EXP(-LN(2)/25))/(LN(2)/25)*Calculateur!DB141*Calculateur!DD141*VLOOKUP('Données projet'!$B$13,Paramètres!$A$1:$I$89,3,0)*0.475*44/12</f>
        <v>33.748648285495584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141.13436189097254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69.39677046227817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1.35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4.95</v>
      </c>
      <c r="H142" s="67">
        <f t="shared" si="110"/>
        <v>236.86666666666665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51.998489924038495</v>
      </c>
      <c r="T142" s="59">
        <f t="shared" si="142"/>
        <v>206.32767973856241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4.0200168188677265</v>
      </c>
      <c r="AA142" s="21">
        <f>EXP(-LN(2)/25)*AA141+(1-EXP(-LN(2)/25))/(LN(2)/25)*Calculateur!V142*Calculateur!X142*VLOOKUP('Données projet'!$B$9,Paramètres!$A$1:$I$89,3,0)*0.475*44/12</f>
        <v>0.43279692268261727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4.4528137415503437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356.02637444732096</v>
      </c>
      <c r="AO142" s="59">
        <f t="shared" si="144"/>
        <v>263.30053404008095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53.480743801226176</v>
      </c>
      <c r="AV142" s="21">
        <f>EXP(-LN(2)/25)*AV141+(1-EXP(-LN(2)/25))/(LN(2)/25)*Calculateur!AQ142*Calculateur!AS142*VLOOKUP('Données projet'!$B$10,Paramètres!$A$1:$I$89,3,0)*0.475*44/12</f>
        <v>15.727805919034211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69.208549720260379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6.5958333333333314</v>
      </c>
      <c r="BD142" s="12">
        <f>IF('Données projet'!$A$88&gt;35,BD141+BC142-BL141,IF(A142&lt;'Données projet'!$A$88,$BA$205^A142,IF(A142='Données projet'!$A$88,'Données projet'!$B$88,BD141+BC142-BL141)))</f>
        <v>344.0083333333331</v>
      </c>
      <c r="BE142" s="13">
        <f>BD142*VLOOKUP('Données projet'!$B$11,Paramètres!$A$1:$I$89,3,0)*VLOOKUP('Données projet'!$B$11,Paramètres!$A$1:$I$89,5,0)</f>
        <v>348.82444999999979</v>
      </c>
      <c r="BF142" s="13">
        <f t="shared" si="145"/>
        <v>81.320405908313631</v>
      </c>
      <c r="BG142" s="20">
        <f t="shared" si="115"/>
        <v>749.16895737364575</v>
      </c>
      <c r="BH142" s="59">
        <f t="shared" si="116"/>
        <v>1040.3288195761534</v>
      </c>
      <c r="BI142" s="59">
        <f ca="1">AVERAGE(OFFSET($BH$3,0,0,'Données projet'!$E$11+1,1))-AVERAGE(OFFSET($H$3,0,0,'Données projet'!$E$11+1,1))</f>
        <v>478.2340976873212</v>
      </c>
      <c r="BJ142" s="59">
        <f t="shared" si="146"/>
        <v>342.90128902463823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50.54611770233123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50.54611770233123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2.0572770154103635E-13</v>
      </c>
      <c r="CA142" s="13">
        <f t="shared" si="147"/>
        <v>2.8416956338469711E-12</v>
      </c>
      <c r="CB142" s="20">
        <f t="shared" si="118"/>
        <v>5.3075956424674458E-12</v>
      </c>
      <c r="CC142" s="59">
        <f t="shared" si="119"/>
        <v>291.15986220251284</v>
      </c>
      <c r="CD142" s="59">
        <f ca="1">AVERAGE(OFFSET($CC$3,0,0,'Données projet'!$E$12+1,1))-AVERAGE(OFFSET($H$3,0,0,'Données projet'!$E$12+1,1))</f>
        <v>471.03166569378629</v>
      </c>
      <c r="CE142" s="59">
        <f t="shared" si="148"/>
        <v>259.15709238853287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129.44647654632362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129.44647654632362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-4.5474735088646412E-13</v>
      </c>
      <c r="CU142" s="17">
        <f>CT142*VLOOKUP('Données projet'!$B$13,Paramètres!$A$1:$I$89,3,0)*VLOOKUP('Données projet'!$B$13,Paramètres!$A$1:$I$89,5,0)</f>
        <v>-2.1282176021486519E-13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364.67256251031029</v>
      </c>
      <c r="CZ142" s="59">
        <f t="shared" si="150"/>
        <v>347.4139588390766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105.27994526049139</v>
      </c>
      <c r="DG142" s="21">
        <f>EXP(-LN(2)/25)*DG141+(1-EXP(-LN(2)/25))/(LN(2)/25)*Calculateur!DB142*Calculateur!DD142*VLOOKUP('Données projet'!$B$13,Paramètres!$A$1:$I$89,3,0)*0.475*44/12</f>
        <v>32.82578972336443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138.10573498385583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69.407235146138433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1.35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4.95</v>
      </c>
      <c r="H143" s="67">
        <f t="shared" si="110"/>
        <v>236.86666666666665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51.998489924038495</v>
      </c>
      <c r="T143" s="59">
        <f t="shared" si="142"/>
        <v>206.32767973856241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3.9411867410178782</v>
      </c>
      <c r="AA143" s="21">
        <f>EXP(-LN(2)/25)*AA142+(1-EXP(-LN(2)/25))/(LN(2)/25)*Calculateur!V143*Calculateur!X143*VLOOKUP('Données projet'!$B$9,Paramètres!$A$1:$I$89,3,0)*0.475*44/12</f>
        <v>0.4209620680720601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4.3621488090899385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356.02637444732096</v>
      </c>
      <c r="AO143" s="59">
        <f t="shared" si="144"/>
        <v>263.30053404008095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52.432019035316891</v>
      </c>
      <c r="AV143" s="21">
        <f>EXP(-LN(2)/25)*AV142+(1-EXP(-LN(2)/25))/(LN(2)/25)*Calculateur!AQ143*Calculateur!AS143*VLOOKUP('Données projet'!$B$10,Paramètres!$A$1:$I$89,3,0)*0.475*44/12</f>
        <v>15.297728239088853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67.729747274405739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6.5958333333333314</v>
      </c>
      <c r="BD143" s="12">
        <f>IF('Données projet'!$A$88&gt;35,BD142+BC143-BL142,IF(A143&lt;'Données projet'!$A$88,$BA$205^A143,IF(A143='Données projet'!$A$88,'Données projet'!$B$88,BD142+BC143-BL142)))</f>
        <v>350.6041666666664</v>
      </c>
      <c r="BE143" s="13">
        <f>BD143*VLOOKUP('Données projet'!$B$11,Paramètres!$A$1:$I$89,3,0)*VLOOKUP('Données projet'!$B$11,Paramètres!$A$1:$I$89,5,0)</f>
        <v>355.51262499999973</v>
      </c>
      <c r="BF143" s="13">
        <f t="shared" si="145"/>
        <v>82.696583506208526</v>
      </c>
      <c r="BG143" s="20">
        <f t="shared" si="115"/>
        <v>763.21437148164603</v>
      </c>
      <c r="BH143" s="59">
        <f t="shared" si="116"/>
        <v>1054.4119385491199</v>
      </c>
      <c r="BI143" s="59">
        <f ca="1">AVERAGE(OFFSET($BH$3,0,0,'Données projet'!$E$11+1,1))-AVERAGE(OFFSET($H$3,0,0,'Données projet'!$E$11+1,1))</f>
        <v>478.2340976873212</v>
      </c>
      <c r="BJ143" s="59">
        <f t="shared" si="146"/>
        <v>342.90128902463823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49.554939164276092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49.554939164276092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2.0572770154103635E-13</v>
      </c>
      <c r="CA143" s="13">
        <f t="shared" si="147"/>
        <v>2.8416956338469711E-12</v>
      </c>
      <c r="CB143" s="20">
        <f t="shared" si="118"/>
        <v>5.3075956424674458E-12</v>
      </c>
      <c r="CC143" s="59">
        <f t="shared" si="119"/>
        <v>291.19756706747921</v>
      </c>
      <c r="CD143" s="59">
        <f ca="1">AVERAGE(OFFSET($CC$3,0,0,'Données projet'!$E$12+1,1))-AVERAGE(OFFSET($H$3,0,0,'Données projet'!$E$12+1,1))</f>
        <v>471.03166569378629</v>
      </c>
      <c r="CE143" s="59">
        <f t="shared" si="148"/>
        <v>259.15709238853287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126.9081100958048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126.9081100958048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-4.5474735088646412E-13</v>
      </c>
      <c r="CU143" s="17">
        <f>CT143*VLOOKUP('Données projet'!$B$13,Paramètres!$A$1:$I$89,3,0)*VLOOKUP('Données projet'!$B$13,Paramètres!$A$1:$I$89,5,0)</f>
        <v>-2.1282176021486519E-13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364.67256251031029</v>
      </c>
      <c r="CZ143" s="59">
        <f t="shared" si="150"/>
        <v>347.4139588390766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103.21546974835911</v>
      </c>
      <c r="DG143" s="21">
        <f>EXP(-LN(2)/25)*DG142+(1-EXP(-LN(2)/25))/(LN(2)/25)*Calculateur!DB143*Calculateur!DD143*VLOOKUP('Données projet'!$B$13,Paramètres!$A$1:$I$89,3,0)*0.475*44/12</f>
        <v>31.928166777145773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135.14363652550489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69.417518291129255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1.35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4.95</v>
      </c>
      <c r="H144" s="67">
        <f t="shared" si="110"/>
        <v>236.86666666666665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51.998489924038495</v>
      </c>
      <c r="T144" s="59">
        <f t="shared" si="142"/>
        <v>206.32767973856241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3.8639024729130655</v>
      </c>
      <c r="AA144" s="21">
        <f>EXP(-LN(2)/25)*AA143+(1-EXP(-LN(2)/25))/(LN(2)/25)*Calculateur!V144*Calculateur!X144*VLOOKUP('Données projet'!$B$9,Paramètres!$A$1:$I$89,3,0)*0.475*44/12</f>
        <v>0.40945083818319661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4.2733533110962618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356.02637444732096</v>
      </c>
      <c r="AO144" s="59">
        <f t="shared" si="144"/>
        <v>263.30053404008095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51.403859122408136</v>
      </c>
      <c r="AV144" s="21">
        <f>EXP(-LN(2)/25)*AV143+(1-EXP(-LN(2)/25))/(LN(2)/25)*Calculateur!AQ144*Calculateur!AS144*VLOOKUP('Données projet'!$B$10,Paramètres!$A$1:$I$89,3,0)*0.475*44/12</f>
        <v>14.879411055918403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66.283270178326546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>
        <f>VLOOKUP(A144,'Données projet'!$A$87:$I$107,2,0)</f>
        <v>357.2</v>
      </c>
      <c r="BB144" s="12">
        <f>VLOOKUP(A144,'Données projet'!$A$87:$I$107,9,0)</f>
        <v>6.5958333333333314</v>
      </c>
      <c r="BC144" s="12">
        <f t="array" ref="BC144">INDEX(BB:BB,MIN(IF(ISNUMBER(BB144:BB340),ROW(BB144:BB340),"")))</f>
        <v>6.5958333333333314</v>
      </c>
      <c r="BD144" s="12">
        <f>IF('Données projet'!$A$88&gt;35,BD143+BC144-BL143,IF(A144&lt;'Données projet'!$A$88,$BA$205^A144,IF(A144='Données projet'!$A$88,'Données projet'!$B$88,BD143+BC144-BL143)))</f>
        <v>357.1999999999997</v>
      </c>
      <c r="BE144" s="13">
        <f>BD144*VLOOKUP('Données projet'!$B$11,Paramètres!$A$1:$I$89,3,0)*VLOOKUP('Données projet'!$B$11,Paramètres!$A$1:$I$89,5,0)</f>
        <v>362.20079999999973</v>
      </c>
      <c r="BF144" s="13">
        <f t="shared" si="145"/>
        <v>84.069750651993729</v>
      </c>
      <c r="BG144" s="20">
        <f t="shared" si="115"/>
        <v>777.25454238555528</v>
      </c>
      <c r="BH144" s="59">
        <f t="shared" si="116"/>
        <v>1068.4891602228838</v>
      </c>
      <c r="BI144" s="59">
        <f ca="1">AVERAGE(OFFSET($BH$3,0,0,'Données projet'!$E$11+1,1))-AVERAGE(OFFSET($H$3,0,0,'Données projet'!$E$11+1,1))</f>
        <v>478.2340976873212</v>
      </c>
      <c r="BJ144" s="59">
        <f t="shared" si="146"/>
        <v>342.90128902463823</v>
      </c>
      <c r="BK144" s="15">
        <f>IF(ISNA(VLOOKUP(A144,'Données projet'!$A$87:$I$107,3,0)),0,VLOOKUP(A144,'Données projet'!$A$87:$I$107,3,0))</f>
        <v>12</v>
      </c>
      <c r="BL144" s="15">
        <f>IF(ISNA(VLOOKUP(A144,'Données projet'!$A$87:$I$107,4,0)),0,VLOOKUP(A144,'Données projet'!$A$87:$I$107,4,0))</f>
        <v>56.79</v>
      </c>
      <c r="BM144" s="16">
        <f>IF(ISNA(VLOOKUP(A144,'Données projet'!$A$87:$I$107,5,0)),0%,VLOOKUP(A144,'Données projet'!$A$87:$I$107,5,0)*VLOOKUP('Données projet'!$B$11,Paramètres!$A$1:$I$89,7,0))</f>
        <v>0.25800000000000001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65.00711019126895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65.00711019126895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2.0572770154103635E-13</v>
      </c>
      <c r="CA144" s="13">
        <f t="shared" si="147"/>
        <v>2.8416956338469711E-12</v>
      </c>
      <c r="CB144" s="20">
        <f t="shared" si="118"/>
        <v>5.3075956424674458E-12</v>
      </c>
      <c r="CC144" s="59">
        <f t="shared" si="119"/>
        <v>291.23461783733381</v>
      </c>
      <c r="CD144" s="59">
        <f ca="1">AVERAGE(OFFSET($CC$3,0,0,'Données projet'!$E$12+1,1))-AVERAGE(OFFSET($H$3,0,0,'Données projet'!$E$12+1,1))</f>
        <v>471.03166569378629</v>
      </c>
      <c r="CE144" s="59">
        <f t="shared" si="148"/>
        <v>259.15709238853287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124.41951946312999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124.41951946312999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-4.5474735088646412E-13</v>
      </c>
      <c r="CU144" s="17">
        <f>CT144*VLOOKUP('Données projet'!$B$13,Paramètres!$A$1:$I$89,3,0)*VLOOKUP('Données projet'!$B$13,Paramètres!$A$1:$I$89,5,0)</f>
        <v>-2.1282176021486519E-13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364.67256251031029</v>
      </c>
      <c r="CZ144" s="59">
        <f t="shared" si="150"/>
        <v>347.4139588390766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101.19147734181402</v>
      </c>
      <c r="DG144" s="21">
        <f>EXP(-LN(2)/25)*DG143+(1-EXP(-LN(2)/25))/(LN(2)/25)*Calculateur!DB144*Calculateur!DD144*VLOOKUP('Données projet'!$B$13,Paramètres!$A$1:$I$89,3,0)*0.475*44/12</f>
        <v>31.055089377595404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132.24656671940943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69.427623046544142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1.35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4.95</v>
      </c>
      <c r="H145" s="67">
        <f t="shared" si="110"/>
        <v>236.86666666666665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51.998489924038495</v>
      </c>
      <c r="T145" s="59">
        <f t="shared" si="142"/>
        <v>206.32767973856241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3.7881337021670394</v>
      </c>
      <c r="AA145" s="21">
        <f>EXP(-LN(2)/25)*AA144+(1-EXP(-LN(2)/25))/(LN(2)/25)*Calculateur!V145*Calculateur!X145*VLOOKUP('Données projet'!$B$9,Paramètres!$A$1:$I$89,3,0)*0.475*44/12</f>
        <v>0.39825438348099335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4.1863880856480327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356.02637444732096</v>
      </c>
      <c r="AO145" s="59">
        <f t="shared" si="144"/>
        <v>263.30053404008095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50.395860798275898</v>
      </c>
      <c r="AV145" s="21">
        <f>EXP(-LN(2)/25)*AV144+(1-EXP(-LN(2)/25))/(LN(2)/25)*Calculateur!AQ145*Calculateur!AS145*VLOOKUP('Données projet'!$B$10,Paramètres!$A$1:$I$89,3,0)*0.475*44/12</f>
        <v>14.472532778120094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64.868393576395988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6.5916666666666686</v>
      </c>
      <c r="BD145" s="12">
        <f>IF('Données projet'!$A$88&gt;35,BD144+BC145-BL144,IF(A145&lt;'Données projet'!$A$88,$BA$205^A145,IF(A145='Données projet'!$A$88,'Données projet'!$B$88,BD144+BC145-BL144)))</f>
        <v>307.00166666666638</v>
      </c>
      <c r="BE145" s="13">
        <f>BD145*VLOOKUP('Données projet'!$B$11,Paramètres!$A$1:$I$89,3,0)*VLOOKUP('Données projet'!$B$11,Paramètres!$A$1:$I$89,5,0)</f>
        <v>311.29968999999977</v>
      </c>
      <c r="BF145" s="13">
        <f t="shared" si="145"/>
        <v>73.540191046067065</v>
      </c>
      <c r="BG145" s="20">
        <f t="shared" si="115"/>
        <v>670.26279282189967</v>
      </c>
      <c r="BH145" s="59">
        <f t="shared" si="116"/>
        <v>961.53381868105907</v>
      </c>
      <c r="BI145" s="59">
        <f ca="1">AVERAGE(OFFSET($BH$3,0,0,'Données projet'!$E$11+1,1))-AVERAGE(OFFSET($H$3,0,0,'Données projet'!$E$11+1,1))</f>
        <v>478.2340976873212</v>
      </c>
      <c r="BJ145" s="59">
        <f t="shared" si="146"/>
        <v>342.90128902463823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63.732360410840229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63.732360410840229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2.0572770154103635E-13</v>
      </c>
      <c r="CA145" s="13">
        <f t="shared" si="147"/>
        <v>2.8416956338469711E-12</v>
      </c>
      <c r="CB145" s="20">
        <f t="shared" si="118"/>
        <v>5.3075956424674458E-12</v>
      </c>
      <c r="CC145" s="59">
        <f t="shared" si="119"/>
        <v>291.27102585916464</v>
      </c>
      <c r="CD145" s="59">
        <f ca="1">AVERAGE(OFFSET($CC$3,0,0,'Données projet'!$E$12+1,1))-AVERAGE(OFFSET($H$3,0,0,'Données projet'!$E$12+1,1))</f>
        <v>471.03166569378629</v>
      </c>
      <c r="CE145" s="59">
        <f t="shared" si="148"/>
        <v>259.15709238853287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121.97972857487152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121.97972857487152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-4.5474735088646412E-13</v>
      </c>
      <c r="CU145" s="17">
        <f>CT145*VLOOKUP('Données projet'!$B$13,Paramètres!$A$1:$I$89,3,0)*VLOOKUP('Données projet'!$B$13,Paramètres!$A$1:$I$89,5,0)</f>
        <v>-2.1282176021486519E-13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364.67256251031029</v>
      </c>
      <c r="CZ145" s="59">
        <f t="shared" si="150"/>
        <v>347.4139588390766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99.207174191847812</v>
      </c>
      <c r="DG145" s="21">
        <f>EXP(-LN(2)/25)*DG144+(1-EXP(-LN(2)/25))/(LN(2)/25)*Calculateur!DB145*Calculateur!DD145*VLOOKUP('Données projet'!$B$13,Paramètres!$A$1:$I$89,3,0)*0.475*44/12</f>
        <v>30.205886325448883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129.41306051729669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69.437552507043449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1.35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4.95</v>
      </c>
      <c r="H146" s="67">
        <f t="shared" si="110"/>
        <v>236.86666666666665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51.998489924038495</v>
      </c>
      <c r="T146" s="59">
        <f t="shared" si="142"/>
        <v>206.32767973856241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3.7138507108009557</v>
      </c>
      <c r="AA146" s="21">
        <f>EXP(-LN(2)/25)*AA145+(1-EXP(-LN(2)/25))/(LN(2)/25)*Calculateur!V146*Calculateur!X146*VLOOKUP('Données projet'!$B$9,Paramètres!$A$1:$I$89,3,0)*0.475*44/12</f>
        <v>0.38736409642141778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4.1012148072223731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356.02637444732096</v>
      </c>
      <c r="AO146" s="59">
        <f t="shared" si="144"/>
        <v>263.30053404008095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49.407628706461622</v>
      </c>
      <c r="AV146" s="21">
        <f>EXP(-LN(2)/25)*AV145+(1-EXP(-LN(2)/25))/(LN(2)/25)*Calculateur!AQ146*Calculateur!AS146*VLOOKUP('Données projet'!$B$10,Paramètres!$A$1:$I$89,3,0)*0.475*44/12</f>
        <v>14.076780608224979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63.484409314686602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6.5916666666666686</v>
      </c>
      <c r="BD146" s="12">
        <f>IF('Données projet'!$A$88&gt;35,BD145+BC146-BL145,IF(A146&lt;'Données projet'!$A$88,$BA$205^A146,IF(A146='Données projet'!$A$88,'Données projet'!$B$88,BD145+BC146-BL145)))</f>
        <v>313.59333333333302</v>
      </c>
      <c r="BE146" s="13">
        <f>BD146*VLOOKUP('Données projet'!$B$11,Paramètres!$A$1:$I$89,3,0)*VLOOKUP('Données projet'!$B$11,Paramètres!$A$1:$I$89,5,0)</f>
        <v>317.9836399999997</v>
      </c>
      <c r="BF146" s="13">
        <f t="shared" si="145"/>
        <v>74.933656532005841</v>
      </c>
      <c r="BG146" s="20">
        <f t="shared" si="115"/>
        <v>684.33095812657621</v>
      </c>
      <c r="BH146" s="59">
        <f t="shared" si="116"/>
        <v>975.6377604097836</v>
      </c>
      <c r="BI146" s="59">
        <f ca="1">AVERAGE(OFFSET($BH$3,0,0,'Données projet'!$E$11+1,1))-AVERAGE(OFFSET($H$3,0,0,'Données projet'!$E$11+1,1))</f>
        <v>478.2340976873212</v>
      </c>
      <c r="BJ146" s="59">
        <f t="shared" si="146"/>
        <v>342.90128902463823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62.482607696085125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62.482607696085125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2.0572770154103635E-13</v>
      </c>
      <c r="CA146" s="13">
        <f t="shared" si="147"/>
        <v>2.8416956338469711E-12</v>
      </c>
      <c r="CB146" s="20">
        <f t="shared" si="118"/>
        <v>5.3075956424674458E-12</v>
      </c>
      <c r="CC146" s="59">
        <f t="shared" si="119"/>
        <v>291.30680228321273</v>
      </c>
      <c r="CD146" s="59">
        <f ca="1">AVERAGE(OFFSET($CC$3,0,0,'Données projet'!$E$12+1,1))-AVERAGE(OFFSET($H$3,0,0,'Données projet'!$E$12+1,1))</f>
        <v>471.03166569378629</v>
      </c>
      <c r="CE146" s="59">
        <f t="shared" si="148"/>
        <v>259.15709238853287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119.58778049780629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119.58778049780629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-4.5474735088646412E-13</v>
      </c>
      <c r="CU146" s="17">
        <f>CT146*VLOOKUP('Données projet'!$B$13,Paramètres!$A$1:$I$89,3,0)*VLOOKUP('Données projet'!$B$13,Paramètres!$A$1:$I$89,5,0)</f>
        <v>-2.1282176021486519E-13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364.67256251031029</v>
      </c>
      <c r="CZ146" s="59">
        <f t="shared" si="150"/>
        <v>347.4139588390766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97.261782016347027</v>
      </c>
      <c r="DG146" s="21">
        <f>EXP(-LN(2)/25)*DG145+(1-EXP(-LN(2)/25))/(LN(2)/25)*Calculateur!DB146*Calculateur!DD146*VLOOKUP('Données projet'!$B$13,Paramètres!$A$1:$I$89,3,0)*0.475*44/12</f>
        <v>29.379904775420957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126.64168679176798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69.447309713602024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1.35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4.95</v>
      </c>
      <c r="H147" s="67">
        <f t="shared" si="110"/>
        <v>236.86666666666665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51.998489924038495</v>
      </c>
      <c r="T147" s="59">
        <f t="shared" si="142"/>
        <v>206.32767973856241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3.6410243635874102</v>
      </c>
      <c r="AA147" s="21">
        <f>EXP(-LN(2)/25)*AA146+(1-EXP(-LN(2)/25))/(LN(2)/25)*Calculateur!V147*Calculateur!X147*VLOOKUP('Données projet'!$B$9,Paramètres!$A$1:$I$89,3,0)*0.475*44/12</f>
        <v>0.37677160483418159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4.0177959684215914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356.02637444732096</v>
      </c>
      <c r="AO147" s="59">
        <f t="shared" si="144"/>
        <v>263.30053404008095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48.438775243205768</v>
      </c>
      <c r="AV147" s="21">
        <f>EXP(-LN(2)/25)*AV146+(1-EXP(-LN(2)/25))/(LN(2)/25)*Calculateur!AQ147*Calculateur!AS147*VLOOKUP('Données projet'!$B$10,Paramètres!$A$1:$I$89,3,0)*0.475*44/12</f>
        <v>13.691850302227348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62.130625545433119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6.5916666666666686</v>
      </c>
      <c r="BD147" s="12">
        <f>IF('Données projet'!$A$88&gt;35,BD146+BC147-BL146,IF(A147&lt;'Données projet'!$A$88,$BA$205^A147,IF(A147='Données projet'!$A$88,'Données projet'!$B$88,BD146+BC147-BL146)))</f>
        <v>320.18499999999972</v>
      </c>
      <c r="BE147" s="13">
        <f>BD147*VLOOKUP('Données projet'!$B$11,Paramètres!$A$1:$I$89,3,0)*VLOOKUP('Données projet'!$B$11,Paramètres!$A$1:$I$89,5,0)</f>
        <v>324.66758999999973</v>
      </c>
      <c r="BF147" s="13">
        <f t="shared" si="145"/>
        <v>76.323716523064618</v>
      </c>
      <c r="BG147" s="20">
        <f t="shared" si="115"/>
        <v>698.39319219433708</v>
      </c>
      <c r="BH147" s="59">
        <f t="shared" si="116"/>
        <v>989.73515026061955</v>
      </c>
      <c r="BI147" s="59">
        <f ca="1">AVERAGE(OFFSET($BH$3,0,0,'Données projet'!$E$11+1,1))-AVERAGE(OFFSET($H$3,0,0,'Données projet'!$E$11+1,1))</f>
        <v>478.2340976873212</v>
      </c>
      <c r="BJ147" s="59">
        <f t="shared" si="146"/>
        <v>342.90128902463823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61.257361869792476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61.257361869792476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2.0572770154103635E-13</v>
      </c>
      <c r="CA147" s="13">
        <f t="shared" si="147"/>
        <v>2.8416956338469711E-12</v>
      </c>
      <c r="CB147" s="20">
        <f t="shared" si="118"/>
        <v>5.3075956424674458E-12</v>
      </c>
      <c r="CC147" s="59">
        <f t="shared" si="119"/>
        <v>291.3419580662877</v>
      </c>
      <c r="CD147" s="59">
        <f ca="1">AVERAGE(OFFSET($CC$3,0,0,'Données projet'!$E$12+1,1))-AVERAGE(OFFSET($H$3,0,0,'Données projet'!$E$12+1,1))</f>
        <v>471.03166569378629</v>
      </c>
      <c r="CE147" s="59">
        <f t="shared" si="148"/>
        <v>259.15709238853287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117.24273706358805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117.24273706358805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-4.5474735088646412E-13</v>
      </c>
      <c r="CU147" s="17">
        <f>CT147*VLOOKUP('Données projet'!$B$13,Paramètres!$A$1:$I$89,3,0)*VLOOKUP('Données projet'!$B$13,Paramètres!$A$1:$I$89,5,0)</f>
        <v>-2.1282176021486519E-13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364.67256251031029</v>
      </c>
      <c r="CZ147" s="59">
        <f t="shared" si="150"/>
        <v>347.4139588390766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95.35453779483575</v>
      </c>
      <c r="DG147" s="21">
        <f>EXP(-LN(2)/25)*DG146+(1-EXP(-LN(2)/25))/(LN(2)/25)*Calculateur!DB147*Calculateur!DD147*VLOOKUP('Données projet'!$B$13,Paramètres!$A$1:$I$89,3,0)*0.475*44/12</f>
        <v>28.576509734315028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123.93104752915077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69.456897654440667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1.35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4.95</v>
      </c>
      <c r="H148" s="67">
        <f t="shared" si="110"/>
        <v>236.86666666666665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51.998489924038495</v>
      </c>
      <c r="T148" s="59">
        <f t="shared" si="142"/>
        <v>206.32767973856241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3.5696260966230366</v>
      </c>
      <c r="AA148" s="21">
        <f>EXP(-LN(2)/25)*AA147+(1-EXP(-LN(2)/25))/(LN(2)/25)*Calculateur!V148*Calculateur!X148*VLOOKUP('Données projet'!$B$9,Paramètres!$A$1:$I$89,3,0)*0.475*44/12</f>
        <v>0.36646876548643331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3.9360948621094698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356.02637444732096</v>
      </c>
      <c r="AO148" s="59">
        <f t="shared" si="144"/>
        <v>263.30053404008095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47.4889204054221</v>
      </c>
      <c r="AV148" s="21">
        <f>EXP(-LN(2)/25)*AV147+(1-EXP(-LN(2)/25))/(LN(2)/25)*Calculateur!AQ148*Calculateur!AS148*VLOOKUP('Données projet'!$B$10,Paramètres!$A$1:$I$89,3,0)*0.475*44/12</f>
        <v>13.317445935689827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60.806366341111925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6.5916666666666686</v>
      </c>
      <c r="BD148" s="12">
        <f>IF('Données projet'!$A$88&gt;35,BD147+BC148-BL147,IF(A148&lt;'Données projet'!$A$88,$BA$205^A148,IF(A148='Données projet'!$A$88,'Données projet'!$B$88,BD147+BC148-BL147)))</f>
        <v>326.77666666666642</v>
      </c>
      <c r="BE148" s="13">
        <f>BD148*VLOOKUP('Données projet'!$B$11,Paramètres!$A$1:$I$89,3,0)*VLOOKUP('Données projet'!$B$11,Paramètres!$A$1:$I$89,5,0)</f>
        <v>331.35153999999977</v>
      </c>
      <c r="BF148" s="13">
        <f t="shared" si="145"/>
        <v>77.710449206504052</v>
      </c>
      <c r="BG148" s="20">
        <f t="shared" si="115"/>
        <v>712.44963120132741</v>
      </c>
      <c r="BH148" s="59">
        <f t="shared" si="116"/>
        <v>1003.826135176445</v>
      </c>
      <c r="BI148" s="59">
        <f ca="1">AVERAGE(OFFSET($BH$3,0,0,'Données projet'!$E$11+1,1))-AVERAGE(OFFSET($H$3,0,0,'Données projet'!$E$11+1,1))</f>
        <v>478.2340976873212</v>
      </c>
      <c r="BJ148" s="59">
        <f t="shared" si="146"/>
        <v>342.90128902463823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60.056142366827267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60.056142366827267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2.0572770154103635E-13</v>
      </c>
      <c r="CA148" s="13">
        <f t="shared" si="147"/>
        <v>2.8416956338469711E-12</v>
      </c>
      <c r="CB148" s="20">
        <f t="shared" si="118"/>
        <v>5.3075956424674458E-12</v>
      </c>
      <c r="CC148" s="59">
        <f t="shared" si="119"/>
        <v>291.37650397512289</v>
      </c>
      <c r="CD148" s="59">
        <f ca="1">AVERAGE(OFFSET($CC$3,0,0,'Données projet'!$E$12+1,1))-AVERAGE(OFFSET($H$3,0,0,'Données projet'!$E$12+1,1))</f>
        <v>471.03166569378629</v>
      </c>
      <c r="CE148" s="59">
        <f t="shared" si="148"/>
        <v>259.15709238853287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114.94367850077957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114.94367850077957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-4.5474735088646412E-13</v>
      </c>
      <c r="CU148" s="17">
        <f>CT148*VLOOKUP('Données projet'!$B$13,Paramètres!$A$1:$I$89,3,0)*VLOOKUP('Données projet'!$B$13,Paramètres!$A$1:$I$89,5,0)</f>
        <v>-2.1282176021486519E-13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364.67256251031029</v>
      </c>
      <c r="CZ148" s="59">
        <f t="shared" si="150"/>
        <v>347.4139588390766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93.484693469204203</v>
      </c>
      <c r="DG148" s="21">
        <f>EXP(-LN(2)/25)*DG147+(1-EXP(-LN(2)/25))/(LN(2)/25)*Calculateur!DB148*Calculateur!DD148*VLOOKUP('Données projet'!$B$13,Paramètres!$A$1:$I$89,3,0)*0.475*44/12</f>
        <v>27.79508357285685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121.27977704206106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69.466319265941166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1.35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4.95</v>
      </c>
      <c r="H149" s="67">
        <f t="shared" si="110"/>
        <v>236.86666666666665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51.998489924038495</v>
      </c>
      <c r="T149" s="59">
        <f t="shared" si="142"/>
        <v>206.32767973856241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3.4996279061251916</v>
      </c>
      <c r="AA149" s="21">
        <f>EXP(-LN(2)/25)*AA148+(1-EXP(-LN(2)/25))/(LN(2)/25)*Calculateur!V149*Calculateur!X149*VLOOKUP('Données projet'!$B$9,Paramètres!$A$1:$I$89,3,0)*0.475*44/12</f>
        <v>0.35644765782245197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3.8560755639476434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356.02637444732096</v>
      </c>
      <c r="AO149" s="59">
        <f t="shared" si="144"/>
        <v>263.30053404008095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46.557691641653129</v>
      </c>
      <c r="AV149" s="21">
        <f>EXP(-LN(2)/25)*AV148+(1-EXP(-LN(2)/25))/(LN(2)/25)*Calculateur!AQ149*Calculateur!AS149*VLOOKUP('Données projet'!$B$10,Paramètres!$A$1:$I$89,3,0)*0.475*44/12</f>
        <v>12.953279676244344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59.510971317897472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6.5916666666666686</v>
      </c>
      <c r="BD149" s="12">
        <f>IF('Données projet'!$A$88&gt;35,BD148+BC149-BL148,IF(A149&lt;'Données projet'!$A$88,$BA$205^A149,IF(A149='Données projet'!$A$88,'Données projet'!$B$88,BD148+BC149-BL148)))</f>
        <v>333.36833333333311</v>
      </c>
      <c r="BE149" s="13">
        <f>BD149*VLOOKUP('Données projet'!$B$11,Paramètres!$A$1:$I$89,3,0)*VLOOKUP('Données projet'!$B$11,Paramètres!$A$1:$I$89,5,0)</f>
        <v>338.03548999999975</v>
      </c>
      <c r="BF149" s="13">
        <f t="shared" si="145"/>
        <v>79.093929434886462</v>
      </c>
      <c r="BG149" s="20">
        <f t="shared" si="115"/>
        <v>726.50040551576012</v>
      </c>
      <c r="BH149" s="59">
        <f t="shared" si="116"/>
        <v>1017.9108561054277</v>
      </c>
      <c r="BI149" s="59">
        <f ca="1">AVERAGE(OFFSET($BH$3,0,0,'Données projet'!$E$11+1,1))-AVERAGE(OFFSET($H$3,0,0,'Données projet'!$E$11+1,1))</f>
        <v>478.2340976873212</v>
      </c>
      <c r="BJ149" s="59">
        <f t="shared" si="146"/>
        <v>342.90128902463823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58.878478045643654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58.878478045643654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2.0572770154103635E-13</v>
      </c>
      <c r="CA149" s="13">
        <f t="shared" si="147"/>
        <v>2.8416956338469711E-12</v>
      </c>
      <c r="CB149" s="20">
        <f t="shared" si="118"/>
        <v>5.3075956424674458E-12</v>
      </c>
      <c r="CC149" s="59">
        <f t="shared" si="119"/>
        <v>291.41045058967291</v>
      </c>
      <c r="CD149" s="59">
        <f ca="1">AVERAGE(OFFSET($CC$3,0,0,'Données projet'!$E$12+1,1))-AVERAGE(OFFSET($H$3,0,0,'Données projet'!$E$12+1,1))</f>
        <v>471.03166569378629</v>
      </c>
      <c r="CE149" s="59">
        <f t="shared" si="148"/>
        <v>259.15709238853287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112.68970307410051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112.68970307410051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-4.5474735088646412E-13</v>
      </c>
      <c r="CU149" s="17">
        <f>CT149*VLOOKUP('Données projet'!$B$13,Paramètres!$A$1:$I$89,3,0)*VLOOKUP('Données projet'!$B$13,Paramètres!$A$1:$I$89,5,0)</f>
        <v>-2.1282176021486519E-13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364.67256251031029</v>
      </c>
      <c r="CZ149" s="59">
        <f t="shared" si="150"/>
        <v>347.4139588390766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91.651515650305868</v>
      </c>
      <c r="DG149" s="21">
        <f>EXP(-LN(2)/25)*DG148+(1-EXP(-LN(2)/25))/(LN(2)/25)*Calculateur!DB149*Calculateur!DD149*VLOOKUP('Données projet'!$B$13,Paramètres!$A$1:$I$89,3,0)*0.475*44/12</f>
        <v>27.035025550877162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118.68654120118303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69.475577433545709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1.35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4.95</v>
      </c>
      <c r="H150" s="67">
        <f t="shared" si="110"/>
        <v>236.86666666666665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51.998489924038495</v>
      </c>
      <c r="T150" s="59">
        <f t="shared" si="142"/>
        <v>206.32767973856241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3.4310023374483287</v>
      </c>
      <c r="AA150" s="21">
        <f>EXP(-LN(2)/25)*AA149+(1-EXP(-LN(2)/25))/(LN(2)/25)*Calculateur!V150*Calculateur!X150*VLOOKUP('Données projet'!$B$9,Paramètres!$A$1:$I$89,3,0)*0.475*44/12</f>
        <v>0.34670057787452935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3.7777029153228581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356.02637444732096</v>
      </c>
      <c r="AO150" s="59">
        <f t="shared" si="144"/>
        <v>263.30053404008095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45.644723705948202</v>
      </c>
      <c r="AV150" s="21">
        <f>EXP(-LN(2)/25)*AV149+(1-EXP(-LN(2)/25))/(LN(2)/25)*Calculateur!AQ150*Calculateur!AS150*VLOOKUP('Données projet'!$B$10,Paramètres!$A$1:$I$89,3,0)*0.475*44/12</f>
        <v>12.599071562314069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58.243795268262275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6.5916666666666686</v>
      </c>
      <c r="BD150" s="12">
        <f>IF('Données projet'!$A$88&gt;35,BD149+BC150-BL149,IF(A150&lt;'Données projet'!$A$88,$BA$205^A150,IF(A150='Données projet'!$A$88,'Données projet'!$B$88,BD149+BC150-BL149)))</f>
        <v>339.95999999999981</v>
      </c>
      <c r="BE150" s="13">
        <f>BD150*VLOOKUP('Données projet'!$B$11,Paramètres!$A$1:$I$89,3,0)*VLOOKUP('Données projet'!$B$11,Paramètres!$A$1:$I$89,5,0)</f>
        <v>344.71943999999979</v>
      </c>
      <c r="BF150" s="13">
        <f t="shared" si="145"/>
        <v>80.474228931378363</v>
      </c>
      <c r="BG150" s="20">
        <f t="shared" si="115"/>
        <v>740.54564005548355</v>
      </c>
      <c r="BH150" s="59">
        <f t="shared" si="116"/>
        <v>1031.989448361832</v>
      </c>
      <c r="BI150" s="59">
        <f ca="1">AVERAGE(OFFSET($BH$3,0,0,'Données projet'!$E$11+1,1))-AVERAGE(OFFSET($H$3,0,0,'Données projet'!$E$11+1,1))</f>
        <v>478.2340976873212</v>
      </c>
      <c r="BJ150" s="59">
        <f t="shared" si="146"/>
        <v>342.90128902463823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57.723907003494141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57.723907003494141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2.0572770154103635E-13</v>
      </c>
      <c r="CA150" s="13">
        <f t="shared" si="147"/>
        <v>2.8416956338469711E-12</v>
      </c>
      <c r="CB150" s="20">
        <f t="shared" si="118"/>
        <v>5.3075956424674458E-12</v>
      </c>
      <c r="CC150" s="59">
        <f t="shared" si="119"/>
        <v>291.44380830635373</v>
      </c>
      <c r="CD150" s="59">
        <f ca="1">AVERAGE(OFFSET($CC$3,0,0,'Données projet'!$E$12+1,1))-AVERAGE(OFFSET($H$3,0,0,'Données projet'!$E$12+1,1))</f>
        <v>471.03166569378629</v>
      </c>
      <c r="CE150" s="59">
        <f t="shared" si="148"/>
        <v>259.15709238853287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110.47992673074936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110.47992673074936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-4.5474735088646412E-13</v>
      </c>
      <c r="CU150" s="17">
        <f>CT150*VLOOKUP('Données projet'!$B$13,Paramètres!$A$1:$I$89,3,0)*VLOOKUP('Données projet'!$B$13,Paramètres!$A$1:$I$89,5,0)</f>
        <v>-2.1282176021486519E-13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364.67256251031029</v>
      </c>
      <c r="CZ150" s="59">
        <f t="shared" si="150"/>
        <v>347.4139588390766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89.854285330308059</v>
      </c>
      <c r="DG150" s="21">
        <f>EXP(-LN(2)/25)*DG149+(1-EXP(-LN(2)/25))/(LN(2)/25)*Calculateur!DB150*Calculateur!DD150*VLOOKUP('Données projet'!$B$13,Paramètres!$A$1:$I$89,3,0)*0.475*44/12</f>
        <v>26.29575135547822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116.15003668578628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69.484674992640478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1.35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4.95</v>
      </c>
      <c r="H151" s="67">
        <f t="shared" si="110"/>
        <v>236.86666666666665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51.998489924038495</v>
      </c>
      <c r="T151" s="59">
        <f t="shared" si="142"/>
        <v>206.32767973856241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3.3637224743157552</v>
      </c>
      <c r="AA151" s="21">
        <f>EXP(-LN(2)/25)*AA150+(1-EXP(-LN(2)/25))/(LN(2)/25)*Calculateur!V151*Calculateur!X151*VLOOKUP('Données projet'!$B$9,Paramètres!$A$1:$I$89,3,0)*0.475*44/12</f>
        <v>0.33722003234035935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3.7009425066561148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356.02637444732096</v>
      </c>
      <c r="AO151" s="59">
        <f t="shared" si="144"/>
        <v>263.30053404008095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44.749658514606992</v>
      </c>
      <c r="AV151" s="21">
        <f>EXP(-LN(2)/25)*AV150+(1-EXP(-LN(2)/25))/(LN(2)/25)*Calculateur!AQ151*Calculateur!AS151*VLOOKUP('Données projet'!$B$10,Paramètres!$A$1:$I$89,3,0)*0.475*44/12</f>
        <v>12.254549287886213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57.004207802493205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6.5916666666666686</v>
      </c>
      <c r="BD151" s="12">
        <f>IF('Données projet'!$A$88&gt;35,BD150+BC151-BL150,IF(A151&lt;'Données projet'!$A$88,$BA$205^A151,IF(A151='Données projet'!$A$88,'Données projet'!$B$88,BD150+BC151-BL150)))</f>
        <v>346.55166666666651</v>
      </c>
      <c r="BE151" s="13">
        <f>BD151*VLOOKUP('Données projet'!$B$11,Paramètres!$A$1:$I$89,3,0)*VLOOKUP('Données projet'!$B$11,Paramètres!$A$1:$I$89,5,0)</f>
        <v>351.40338999999983</v>
      </c>
      <c r="BF151" s="13">
        <f t="shared" si="145"/>
        <v>81.851416478680022</v>
      </c>
      <c r="BG151" s="20">
        <f t="shared" si="115"/>
        <v>754.58545461703397</v>
      </c>
      <c r="BH151" s="59">
        <f t="shared" si="116"/>
        <v>1046.0620419582556</v>
      </c>
      <c r="BI151" s="59">
        <f ca="1">AVERAGE(OFFSET($BH$3,0,0,'Données projet'!$E$11+1,1))-AVERAGE(OFFSET($H$3,0,0,'Données projet'!$E$11+1,1))</f>
        <v>478.2340976873212</v>
      </c>
      <c r="BJ151" s="59">
        <f t="shared" si="146"/>
        <v>342.90128902463823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56.591976395262378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56.591976395262378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2.0572770154103635E-13</v>
      </c>
      <c r="CA151" s="13">
        <f t="shared" si="147"/>
        <v>2.8416956338469711E-12</v>
      </c>
      <c r="CB151" s="20">
        <f t="shared" si="118"/>
        <v>5.3075956424674458E-12</v>
      </c>
      <c r="CC151" s="59">
        <f t="shared" si="119"/>
        <v>291.47658734122683</v>
      </c>
      <c r="CD151" s="59">
        <f ca="1">AVERAGE(OFFSET($CC$3,0,0,'Données projet'!$E$12+1,1))-AVERAGE(OFFSET($H$3,0,0,'Données projet'!$E$12+1,1))</f>
        <v>471.03166569378629</v>
      </c>
      <c r="CE151" s="59">
        <f t="shared" si="148"/>
        <v>259.15709238853287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108.31348275366084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108.31348275366084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-4.5474735088646412E-13</v>
      </c>
      <c r="CU151" s="17">
        <f>CT151*VLOOKUP('Données projet'!$B$13,Paramètres!$A$1:$I$89,3,0)*VLOOKUP('Données projet'!$B$13,Paramètres!$A$1:$I$89,5,0)</f>
        <v>-2.1282176021486519E-13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364.67256251031029</v>
      </c>
      <c r="CZ151" s="59">
        <f t="shared" si="150"/>
        <v>347.4139588390766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88.092297600683153</v>
      </c>
      <c r="DG151" s="21">
        <f>EXP(-LN(2)/25)*DG150+(1-EXP(-LN(2)/25))/(LN(2)/25)*Calculateur!DB151*Calculateur!DD151*VLOOKUP('Données projet'!$B$13,Paramètres!$A$1:$I$89,3,0)*0.475*44/12</f>
        <v>25.576692651829205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113.66899025251236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69.493614729424053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1.35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4.95</v>
      </c>
      <c r="H152" s="67">
        <f t="shared" si="110"/>
        <v>236.86666666666665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51.998489924038495</v>
      </c>
      <c r="T152" s="59">
        <f t="shared" si="142"/>
        <v>206.32767973856241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3.2977619282625472</v>
      </c>
      <c r="AA152" s="21">
        <f>EXP(-LN(2)/25)*AA151+(1-EXP(-LN(2)/25))/(LN(2)/25)*Calculateur!V152*Calculateur!X152*VLOOKUP('Données projet'!$B$9,Paramètres!$A$1:$I$89,3,0)*0.475*44/12</f>
        <v>0.32799873282238146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3.6257606610849287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356.02637444732096</v>
      </c>
      <c r="AO152" s="59">
        <f t="shared" si="144"/>
        <v>263.30053404008095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43.872145005732122</v>
      </c>
      <c r="AV152" s="21">
        <f>EXP(-LN(2)/25)*AV151+(1-EXP(-LN(2)/25))/(LN(2)/25)*Calculateur!AQ152*Calculateur!AS152*VLOOKUP('Données projet'!$B$10,Paramètres!$A$1:$I$89,3,0)*0.475*44/12</f>
        <v>11.919447993170227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55.791592998902345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6.5916666666666686</v>
      </c>
      <c r="BD152" s="12">
        <f>IF('Données projet'!$A$88&gt;35,BD151+BC152-BL151,IF(A152&lt;'Données projet'!$A$88,$BA$205^A152,IF(A152='Données projet'!$A$88,'Données projet'!$B$88,BD151+BC152-BL151)))</f>
        <v>353.1433333333332</v>
      </c>
      <c r="BE152" s="13">
        <f>BD152*VLOOKUP('Données projet'!$B$11,Paramètres!$A$1:$I$89,3,0)*VLOOKUP('Données projet'!$B$11,Paramètres!$A$1:$I$89,5,0)</f>
        <v>358.08733999999987</v>
      </c>
      <c r="BF152" s="13">
        <f t="shared" si="145"/>
        <v>83.22555809317403</v>
      </c>
      <c r="BG152" s="20">
        <f t="shared" si="115"/>
        <v>768.61996417894443</v>
      </c>
      <c r="BH152" s="59">
        <f t="shared" si="116"/>
        <v>1060.1287619120669</v>
      </c>
      <c r="BI152" s="59">
        <f ca="1">AVERAGE(OFFSET($BH$3,0,0,'Données projet'!$E$11+1,1))-AVERAGE(OFFSET($H$3,0,0,'Données projet'!$E$11+1,1))</f>
        <v>478.2340976873212</v>
      </c>
      <c r="BJ152" s="59">
        <f t="shared" si="146"/>
        <v>342.90128902463823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55.482242255848547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55.482242255848547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2.0572770154103635E-13</v>
      </c>
      <c r="CA152" s="13">
        <f t="shared" si="147"/>
        <v>2.8416956338469711E-12</v>
      </c>
      <c r="CB152" s="20">
        <f t="shared" si="118"/>
        <v>5.3075956424674458E-12</v>
      </c>
      <c r="CC152" s="59">
        <f t="shared" si="119"/>
        <v>291.50879773312778</v>
      </c>
      <c r="CD152" s="59">
        <f ca="1">AVERAGE(OFFSET($CC$3,0,0,'Données projet'!$E$12+1,1))-AVERAGE(OFFSET($H$3,0,0,'Données projet'!$E$12+1,1))</f>
        <v>471.03166569378629</v>
      </c>
      <c r="CE152" s="59">
        <f t="shared" si="148"/>
        <v>259.15709238853287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106.18952142156267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106.18952142156267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-4.5474735088646412E-13</v>
      </c>
      <c r="CU152" s="17">
        <f>CT152*VLOOKUP('Données projet'!$B$13,Paramètres!$A$1:$I$89,3,0)*VLOOKUP('Données projet'!$B$13,Paramètres!$A$1:$I$89,5,0)</f>
        <v>-2.1282176021486519E-13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364.67256251031029</v>
      </c>
      <c r="CZ152" s="59">
        <f t="shared" si="150"/>
        <v>347.4139588390766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86.364861375729802</v>
      </c>
      <c r="DG152" s="21">
        <f>EXP(-LN(2)/25)*DG151+(1-EXP(-LN(2)/25))/(LN(2)/25)*Calculateur!DB152*Calculateur!DD152*VLOOKUP('Données projet'!$B$13,Paramètres!$A$1:$I$89,3,0)*0.475*44/12</f>
        <v>24.877296646245124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111.24215802197493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69.502399381760682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1.35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4.95</v>
      </c>
      <c r="H153" s="67">
        <f t="shared" si="110"/>
        <v>236.86666666666665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51.998489924038495</v>
      </c>
      <c r="T153" s="59">
        <f t="shared" si="142"/>
        <v>206.32767973856241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3.2330948282854819</v>
      </c>
      <c r="AA153" s="21">
        <f>EXP(-LN(2)/25)*AA152+(1-EXP(-LN(2)/25))/(LN(2)/25)*Calculateur!V153*Calculateur!X153*VLOOKUP('Données projet'!$B$9,Paramètres!$A$1:$I$89,3,0)*0.475*44/12</f>
        <v>0.31902959022464972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3.5521244185101315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356.02637444732096</v>
      </c>
      <c r="AO153" s="59">
        <f t="shared" si="144"/>
        <v>263.30053404008095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43.011839001535904</v>
      </c>
      <c r="AV153" s="21">
        <f>EXP(-LN(2)/25)*AV152+(1-EXP(-LN(2)/25))/(LN(2)/25)*Calculateur!AQ153*Calculateur!AS153*VLOOKUP('Données projet'!$B$10,Paramètres!$A$1:$I$89,3,0)*0.475*44/12</f>
        <v>11.59351006098046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54.605349062516368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6.5916666666666686</v>
      </c>
      <c r="BD153" s="12">
        <f>IF('Données projet'!$A$88&gt;35,BD152+BC153-BL152,IF(A153&lt;'Données projet'!$A$88,$BA$205^A153,IF(A153='Données projet'!$A$88,'Données projet'!$B$88,BD152+BC153-BL152)))</f>
        <v>359.7349999999999</v>
      </c>
      <c r="BE153" s="13">
        <f>BD153*VLOOKUP('Données projet'!$B$11,Paramètres!$A$1:$I$89,3,0)*VLOOKUP('Données projet'!$B$11,Paramètres!$A$1:$I$89,5,0)</f>
        <v>364.77128999999996</v>
      </c>
      <c r="BF153" s="13">
        <f t="shared" si="145"/>
        <v>84.596717185704321</v>
      </c>
      <c r="BG153" s="20">
        <f t="shared" si="115"/>
        <v>782.64927918176829</v>
      </c>
      <c r="BH153" s="59">
        <f t="shared" si="116"/>
        <v>1074.189728528504</v>
      </c>
      <c r="BI153" s="59">
        <f ca="1">AVERAGE(OFFSET($BH$3,0,0,'Données projet'!$E$11+1,1))-AVERAGE(OFFSET($H$3,0,0,'Données projet'!$E$11+1,1))</f>
        <v>478.2340976873212</v>
      </c>
      <c r="BJ153" s="59">
        <f t="shared" si="146"/>
        <v>342.90128902463823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54.39426932603763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54.39426932603763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2.0572770154103635E-13</v>
      </c>
      <c r="CA153" s="13">
        <f t="shared" si="147"/>
        <v>2.8416956338469711E-12</v>
      </c>
      <c r="CB153" s="20">
        <f t="shared" si="118"/>
        <v>5.3075956424674458E-12</v>
      </c>
      <c r="CC153" s="59">
        <f t="shared" si="119"/>
        <v>291.54044934674096</v>
      </c>
      <c r="CD153" s="59">
        <f ca="1">AVERAGE(OFFSET($CC$3,0,0,'Données projet'!$E$12+1,1))-AVERAGE(OFFSET($H$3,0,0,'Données projet'!$E$12+1,1))</f>
        <v>471.03166569378629</v>
      </c>
      <c r="CE153" s="59">
        <f t="shared" si="148"/>
        <v>259.15709238853287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104.10720967569847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104.10720967569847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-4.5474735088646412E-13</v>
      </c>
      <c r="CU153" s="17">
        <f>CT153*VLOOKUP('Données projet'!$B$13,Paramètres!$A$1:$I$89,3,0)*VLOOKUP('Données projet'!$B$13,Paramètres!$A$1:$I$89,5,0)</f>
        <v>-2.1282176021486519E-13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364.67256251031029</v>
      </c>
      <c r="CZ153" s="59">
        <f t="shared" si="150"/>
        <v>347.4139588390766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84.671299121515716</v>
      </c>
      <c r="DG153" s="21">
        <f>EXP(-LN(2)/25)*DG152+(1-EXP(-LN(2)/25))/(LN(2)/25)*Calculateur!DB153*Calculateur!DD153*VLOOKUP('Données projet'!$B$13,Paramètres!$A$1:$I$89,3,0)*0.475*44/12</f>
        <v>24.197025661213377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108.86832478272909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69.511031640018814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1.35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4.95</v>
      </c>
      <c r="H154" s="67">
        <f t="shared" si="110"/>
        <v>236.86666666666665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51.998489924038495</v>
      </c>
      <c r="T154" s="59">
        <f t="shared" si="142"/>
        <v>206.32767973856241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3.1696958106959308</v>
      </c>
      <c r="AA154" s="21">
        <f>EXP(-LN(2)/25)*AA153+(1-EXP(-LN(2)/25))/(LN(2)/25)*Calculateur!V154*Calculateur!X154*VLOOKUP('Données projet'!$B$9,Paramètres!$A$1:$I$89,3,0)*0.475*44/12</f>
        <v>0.31030570930291967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3.4800015199988503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356.02637444732096</v>
      </c>
      <c r="AO154" s="59">
        <f t="shared" si="144"/>
        <v>263.30053404008095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42.168403073347122</v>
      </c>
      <c r="AV154" s="21">
        <f>EXP(-LN(2)/25)*AV153+(1-EXP(-LN(2)/25))/(LN(2)/25)*Calculateur!AQ154*Calculateur!AS154*VLOOKUP('Données projet'!$B$10,Paramètres!$A$1:$I$89,3,0)*0.475*44/12</f>
        <v>11.276484918686753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53.444887992033877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6.5916666666666686</v>
      </c>
      <c r="BD154" s="12">
        <f>IF('Données projet'!$A$88&gt;35,BD153+BC154-BL153,IF(A154&lt;'Données projet'!$A$88,$BA$205^A154,IF(A154='Données projet'!$A$88,'Données projet'!$B$88,BD153+BC154-BL153)))</f>
        <v>366.3266666666666</v>
      </c>
      <c r="BE154" s="13">
        <f>BD154*VLOOKUP('Données projet'!$B$11,Paramètres!$A$1:$I$89,3,0)*VLOOKUP('Données projet'!$B$11,Paramètres!$A$1:$I$89,5,0)</f>
        <v>371.45523999999995</v>
      </c>
      <c r="BF154" s="13">
        <f t="shared" ref="BF154:BF203" si="167">EXP(-1.0587+0.8836*LN(BE154)+0.284)</f>
        <v>85.964954710236896</v>
      </c>
      <c r="BG154" s="20">
        <f t="shared" ref="BG154:BG203" si="168">(BE154+BF154)*0.475*44/12</f>
        <v>796.67350578699586</v>
      </c>
      <c r="BH154" s="59">
        <f t="shared" si="116"/>
        <v>1088.2450576626109</v>
      </c>
      <c r="BI154" s="59">
        <f ca="1">AVERAGE(OFFSET($BH$3,0,0,'Données projet'!$E$11+1,1))-AVERAGE(OFFSET($H$3,0,0,'Données projet'!$E$11+1,1))</f>
        <v>478.2340976873212</v>
      </c>
      <c r="BJ154" s="59">
        <f t="shared" si="146"/>
        <v>342.90128902463823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53.327630881782341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53.327630881782341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2.0572770154103635E-13</v>
      </c>
      <c r="CA154" s="13">
        <f t="shared" ref="CA154:CA203" si="170">EXP(-1.0587+0.8836*LN(BZ154)+0.284)</f>
        <v>2.8416956338469711E-12</v>
      </c>
      <c r="CB154" s="20">
        <f t="shared" ref="CB154:CB203" si="171">(BZ154+CA154)*0.475*44/12</f>
        <v>5.3075956424674458E-12</v>
      </c>
      <c r="CC154" s="59">
        <f t="shared" si="119"/>
        <v>291.57155187562023</v>
      </c>
      <c r="CD154" s="59">
        <f ca="1">AVERAGE(OFFSET($CC$3,0,0,'Données projet'!$E$12+1,1))-AVERAGE(OFFSET($H$3,0,0,'Données projet'!$E$12+1,1))</f>
        <v>471.03166569378629</v>
      </c>
      <c r="CE154" s="59">
        <f t="shared" si="148"/>
        <v>259.15709238853287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102.0657307930859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102.0657307930859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-4.5474735088646412E-13</v>
      </c>
      <c r="CU154" s="17">
        <f>CT154*VLOOKUP('Données projet'!$B$13,Paramètres!$A$1:$I$89,3,0)*VLOOKUP('Données projet'!$B$13,Paramètres!$A$1:$I$89,5,0)</f>
        <v>-2.1282176021486519E-13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364.67256251031029</v>
      </c>
      <c r="CZ154" s="59">
        <f t="shared" si="150"/>
        <v>347.4139588390766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83.010946590135802</v>
      </c>
      <c r="DG154" s="21">
        <f>EXP(-LN(2)/25)*DG153+(1-EXP(-LN(2)/25))/(LN(2)/25)*Calculateur!DB154*Calculateur!DD154*VLOOKUP('Données projet'!$B$13,Paramètres!$A$1:$I$89,3,0)*0.475*44/12</f>
        <v>23.535356722041222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106.54630331217703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69.519514147894995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1.35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4.95</v>
      </c>
      <c r="H155" s="67">
        <f t="shared" si="110"/>
        <v>236.86666666666665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51.998489924038495</v>
      </c>
      <c r="T155" s="59">
        <f t="shared" si="142"/>
        <v>206.32767973856241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3.1075400091717285</v>
      </c>
      <c r="AA155" s="21">
        <f>EXP(-LN(2)/25)*AA154+(1-EXP(-LN(2)/25))/(LN(2)/25)*Calculateur!V155*Calculateur!X155*VLOOKUP('Données projet'!$B$9,Paramètres!$A$1:$I$89,3,0)*0.475*44/12</f>
        <v>0.30182038336376332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3.4093603925354916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356.02637444732096</v>
      </c>
      <c r="AO155" s="59">
        <f t="shared" si="144"/>
        <v>263.30053404008095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41.341506409265001</v>
      </c>
      <c r="AV155" s="21">
        <f>EXP(-LN(2)/25)*AV154+(1-EXP(-LN(2)/25))/(LN(2)/25)*Calculateur!AQ155*Calculateur!AS155*VLOOKUP('Données projet'!$B$10,Paramètres!$A$1:$I$89,3,0)*0.475*44/12</f>
        <v>10.968128845580695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52.309635254845695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6.5916666666666686</v>
      </c>
      <c r="BD155" s="12">
        <f>IF('Données projet'!$A$88&gt;35,BD154+BC155-BL154,IF(A155&lt;'Données projet'!$A$88,$BA$205^A155,IF(A155='Données projet'!$A$88,'Données projet'!$B$88,BD154+BC155-BL154)))</f>
        <v>372.91833333333329</v>
      </c>
      <c r="BE155" s="13">
        <f>BD155*VLOOKUP('Données projet'!$B$11,Paramètres!$A$1:$I$89,3,0)*VLOOKUP('Données projet'!$B$11,Paramètres!$A$1:$I$89,5,0)</f>
        <v>378.13918999999999</v>
      </c>
      <c r="BF155" s="13">
        <f t="shared" si="167"/>
        <v>87.330329301518759</v>
      </c>
      <c r="BG155" s="20">
        <f t="shared" si="168"/>
        <v>810.69274611681192</v>
      </c>
      <c r="BH155" s="59">
        <f t="shared" si="116"/>
        <v>1102.294860961965</v>
      </c>
      <c r="BI155" s="59">
        <f ca="1">AVERAGE(OFFSET($BH$3,0,0,'Données projet'!$E$11+1,1))-AVERAGE(OFFSET($H$3,0,0,'Données projet'!$E$11+1,1))</f>
        <v>478.2340976873212</v>
      </c>
      <c r="BJ155" s="59">
        <f t="shared" si="146"/>
        <v>342.90128902463823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52.281908566833685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52.281908566833685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2.0572770154103635E-13</v>
      </c>
      <c r="CA155" s="13">
        <f t="shared" si="170"/>
        <v>2.8416956338469711E-12</v>
      </c>
      <c r="CB155" s="20">
        <f t="shared" si="171"/>
        <v>5.3075956424674458E-12</v>
      </c>
      <c r="CC155" s="59">
        <f t="shared" si="119"/>
        <v>291.60211484515844</v>
      </c>
      <c r="CD155" s="59">
        <f ca="1">AVERAGE(OFFSET($CC$3,0,0,'Données projet'!$E$12+1,1))-AVERAGE(OFFSET($H$3,0,0,'Données projet'!$E$12+1,1))</f>
        <v>471.03166569378629</v>
      </c>
      <c r="CE155" s="59">
        <f t="shared" si="148"/>
        <v>259.15709238853287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100.06428406618221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100.06428406618221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-4.5474735088646412E-13</v>
      </c>
      <c r="CU155" s="17">
        <f>CT155*VLOOKUP('Données projet'!$B$13,Paramètres!$A$1:$I$89,3,0)*VLOOKUP('Données projet'!$B$13,Paramètres!$A$1:$I$89,5,0)</f>
        <v>-2.1282176021486519E-13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364.67256251031029</v>
      </c>
      <c r="CZ155" s="59">
        <f t="shared" si="150"/>
        <v>347.4139588390766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81.383152559181198</v>
      </c>
      <c r="DG155" s="21">
        <f>EXP(-LN(2)/25)*DG154+(1-EXP(-LN(2)/25))/(LN(2)/25)*Calculateur!DB155*Calculateur!DD155*VLOOKUP('Données projet'!$B$13,Paramètres!$A$1:$I$89,3,0)*0.475*44/12</f>
        <v>22.891781154806385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104.27493371398758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69.527849503223578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1.35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4.95</v>
      </c>
      <c r="H156" s="67">
        <f t="shared" si="110"/>
        <v>236.86666666666665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51.998489924038495</v>
      </c>
      <c r="T156" s="59">
        <f t="shared" si="142"/>
        <v>206.32767973856241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3.0466030450041202</v>
      </c>
      <c r="AA156" s="21">
        <f>EXP(-LN(2)/25)*AA155+(1-EXP(-LN(2)/25))/(LN(2)/25)*Calculateur!V156*Calculateur!X156*VLOOKUP('Données projet'!$B$9,Paramètres!$A$1:$I$89,3,0)*0.475*44/12</f>
        <v>0.29356708910863705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3.340170134112757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356.02637444732096</v>
      </c>
      <c r="AO156" s="59">
        <f t="shared" si="144"/>
        <v>263.30053404008095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40.530824684408365</v>
      </c>
      <c r="AV156" s="21">
        <f>EXP(-LN(2)/25)*AV155+(1-EXP(-LN(2)/25))/(LN(2)/25)*Calculateur!AQ156*Calculateur!AS156*VLOOKUP('Données projet'!$B$10,Paramètres!$A$1:$I$89,3,0)*0.475*44/12</f>
        <v>10.668204785509463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51.199029469917832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379.51</v>
      </c>
      <c r="BB156" s="12">
        <f>VLOOKUP(A156,'Données projet'!$A$87:$I$107,9,0)</f>
        <v>6.5916666666666686</v>
      </c>
      <c r="BC156" s="12">
        <f t="array" ref="BC156">INDEX(BB:BB,MIN(IF(ISNUMBER(BB156:BB352),ROW(BB156:BB352),"")))</f>
        <v>6.5916666666666686</v>
      </c>
      <c r="BD156" s="12">
        <f>IF('Données projet'!$A$88&gt;35,BD155+BC156-BL155,IF(A156&lt;'Données projet'!$A$88,$BA$205^A156,IF(A156='Données projet'!$A$88,'Données projet'!$B$88,BD155+BC156-BL155)))</f>
        <v>379.51</v>
      </c>
      <c r="BE156" s="13">
        <f>BD156*VLOOKUP('Données projet'!$B$11,Paramètres!$A$1:$I$89,3,0)*VLOOKUP('Données projet'!$B$11,Paramètres!$A$1:$I$89,5,0)</f>
        <v>384.82314000000002</v>
      </c>
      <c r="BF156" s="13">
        <f t="shared" si="167"/>
        <v>88.692897402726629</v>
      </c>
      <c r="BG156" s="20">
        <f t="shared" si="168"/>
        <v>824.70709847641547</v>
      </c>
      <c r="BH156" s="59">
        <f t="shared" si="116"/>
        <v>1116.3392460919138</v>
      </c>
      <c r="BI156" s="59">
        <f ca="1">AVERAGE(OFFSET($BH$3,0,0,'Données projet'!$E$11+1,1))-AVERAGE(OFFSET($H$3,0,0,'Données projet'!$E$11+1,1))</f>
        <v>478.2340976873212</v>
      </c>
      <c r="BJ156" s="59">
        <f t="shared" si="146"/>
        <v>342.90128902463823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186.83</v>
      </c>
      <c r="BM156" s="16">
        <f>IF(ISNA(VLOOKUP(A156,'Données projet'!$A$87:$I$107,5,0)),0%,VLOOKUP(A156,'Données projet'!$A$87:$I$107,5,0)*VLOOKUP('Données projet'!$B$11,Paramètres!$A$1:$I$89,7,0))</f>
        <v>0.25800000000000001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105.28873476075535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105.28873476075535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2.0572770154103635E-13</v>
      </c>
      <c r="CA156" s="13">
        <f t="shared" si="170"/>
        <v>2.8416956338469711E-12</v>
      </c>
      <c r="CB156" s="20">
        <f t="shared" si="171"/>
        <v>5.3075956424674458E-12</v>
      </c>
      <c r="CC156" s="59">
        <f t="shared" si="119"/>
        <v>291.63214761550364</v>
      </c>
      <c r="CD156" s="59">
        <f ca="1">AVERAGE(OFFSET($CC$3,0,0,'Données projet'!$E$12+1,1))-AVERAGE(OFFSET($H$3,0,0,'Données projet'!$E$12+1,1))</f>
        <v>471.03166569378629</v>
      </c>
      <c r="CE156" s="59">
        <f t="shared" si="148"/>
        <v>259.15709238853287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98.102084488831125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98.102084488831125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-4.5474735088646412E-13</v>
      </c>
      <c r="CU156" s="17">
        <f>CT156*VLOOKUP('Données projet'!$B$13,Paramètres!$A$1:$I$89,3,0)*VLOOKUP('Données projet'!$B$13,Paramètres!$A$1:$I$89,5,0)</f>
        <v>-2.1282176021486519E-13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364.67256251031029</v>
      </c>
      <c r="CZ156" s="59">
        <f t="shared" si="150"/>
        <v>347.4139588390766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79.787278576317291</v>
      </c>
      <c r="DG156" s="21">
        <f>EXP(-LN(2)/25)*DG155+(1-EXP(-LN(2)/25))/(LN(2)/25)*Calculateur!DB156*Calculateur!DD156*VLOOKUP('Données projet'!$B$13,Paramètres!$A$1:$I$89,3,0)*0.475*44/12</f>
        <v>22.265804195301754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102.05308277161905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69.536040258772275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1.35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4.95</v>
      </c>
      <c r="H157" s="67">
        <f t="shared" si="110"/>
        <v>236.86666666666665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51.998489924038495</v>
      </c>
      <c r="T157" s="59">
        <f t="shared" si="142"/>
        <v>206.32767973856241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2.9868610175359604</v>
      </c>
      <c r="AA157" s="21">
        <f>EXP(-LN(2)/25)*AA156+(1-EXP(-LN(2)/25))/(LN(2)/25)*Calculateur!V157*Calculateur!X157*VLOOKUP('Données projet'!$B$9,Paramètres!$A$1:$I$89,3,0)*0.475*44/12</f>
        <v>0.28553948161893911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3.2724004991548994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356.02637444732096</v>
      </c>
      <c r="AO157" s="59">
        <f t="shared" si="144"/>
        <v>263.30053404008095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39.736039933709144</v>
      </c>
      <c r="AV157" s="21">
        <f>EXP(-LN(2)/25)*AV156+(1-EXP(-LN(2)/25))/(LN(2)/25)*Calculateur!AQ157*Calculateur!AS157*VLOOKUP('Données projet'!$B$10,Paramètres!$A$1:$I$89,3,0)*0.475*44/12</f>
        <v>10.376482164633199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50.112522098342339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3.0450000000000088</v>
      </c>
      <c r="BD157" s="12">
        <f>IF('Données projet'!$A$88&gt;35,BD156+BC157-BL156,IF(A157&lt;'Données projet'!$A$88,$BA$205^A157,IF(A157='Données projet'!$A$88,'Données projet'!$B$88,BD156+BC157-BL156)))</f>
        <v>195.72499999999999</v>
      </c>
      <c r="BE157" s="13">
        <f>BD157*VLOOKUP('Données projet'!$B$11,Paramètres!$A$1:$I$89,3,0)*VLOOKUP('Données projet'!$B$11,Paramètres!$A$1:$I$89,5,0)</f>
        <v>198.46514999999999</v>
      </c>
      <c r="BF157" s="13">
        <f t="shared" si="167"/>
        <v>49.406703060469496</v>
      </c>
      <c r="BG157" s="20">
        <f t="shared" si="168"/>
        <v>431.71014408031766</v>
      </c>
      <c r="BH157" s="59">
        <f t="shared" si="116"/>
        <v>723.37180346473895</v>
      </c>
      <c r="BI157" s="59">
        <f ca="1">AVERAGE(OFFSET($BH$3,0,0,'Données projet'!$E$11+1,1))-AVERAGE(OFFSET($H$3,0,0,'Données projet'!$E$11+1,1))</f>
        <v>478.2340976873212</v>
      </c>
      <c r="BJ157" s="59">
        <f t="shared" si="146"/>
        <v>342.90128902463823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103.22408689188396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103.22408689188396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2.0572770154103635E-13</v>
      </c>
      <c r="CA157" s="13">
        <f t="shared" si="170"/>
        <v>2.8416956338469711E-12</v>
      </c>
      <c r="CB157" s="20">
        <f t="shared" si="171"/>
        <v>5.3075956424674458E-12</v>
      </c>
      <c r="CC157" s="59">
        <f t="shared" si="119"/>
        <v>291.66165938442657</v>
      </c>
      <c r="CD157" s="59">
        <f ca="1">AVERAGE(OFFSET($CC$3,0,0,'Données projet'!$E$12+1,1))-AVERAGE(OFFSET($H$3,0,0,'Données projet'!$E$12+1,1))</f>
        <v>471.03166569378629</v>
      </c>
      <c r="CE157" s="59">
        <f t="shared" si="148"/>
        <v>259.15709238853287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96.178362448368333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96.178362448368333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-4.5474735088646412E-13</v>
      </c>
      <c r="CU157" s="17">
        <f>CT157*VLOOKUP('Données projet'!$B$13,Paramètres!$A$1:$I$89,3,0)*VLOOKUP('Données projet'!$B$13,Paramètres!$A$1:$I$89,5,0)</f>
        <v>-2.1282176021486519E-13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364.67256251031029</v>
      </c>
      <c r="CZ157" s="59">
        <f t="shared" si="150"/>
        <v>347.4139588390766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78.222698708870325</v>
      </c>
      <c r="DG157" s="21">
        <f>EXP(-LN(2)/25)*DG156+(1-EXP(-LN(2)/25))/(LN(2)/25)*Calculateur!DB157*Calculateur!DD157*VLOOKUP('Données projet'!$B$13,Paramètres!$A$1:$I$89,3,0)*0.475*44/12</f>
        <v>21.656944608673474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99.879643317543795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69.544088923023992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1.35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4.95</v>
      </c>
      <c r="H158" s="67">
        <f t="shared" si="110"/>
        <v>236.86666666666665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51.998489924038495</v>
      </c>
      <c r="T158" s="59">
        <f t="shared" si="142"/>
        <v>206.32767973856241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2.9282904947874124</v>
      </c>
      <c r="AA158" s="21">
        <f>EXP(-LN(2)/25)*AA157+(1-EXP(-LN(2)/25))/(LN(2)/25)*Calculateur!V158*Calculateur!X158*VLOOKUP('Données projet'!$B$9,Paramètres!$A$1:$I$89,3,0)*0.475*44/12</f>
        <v>0.27773138947820047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3.206021884265613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356.02637444732096</v>
      </c>
      <c r="AO158" s="59">
        <f t="shared" si="144"/>
        <v>263.30053404008095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38.956840427200305</v>
      </c>
      <c r="AV158" s="21">
        <f>EXP(-LN(2)/25)*AV157+(1-EXP(-LN(2)/25))/(LN(2)/25)*Calculateur!AQ158*Calculateur!AS158*VLOOKUP('Données projet'!$B$10,Paramètres!$A$1:$I$89,3,0)*0.475*44/12</f>
        <v>10.092736714165822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49.049577141366129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3.0450000000000088</v>
      </c>
      <c r="BD158" s="12">
        <f>IF('Données projet'!$A$88&gt;35,BD157+BC158-BL157,IF(A158&lt;'Données projet'!$A$88,$BA$205^A158,IF(A158='Données projet'!$A$88,'Données projet'!$B$88,BD157+BC158-BL157)))</f>
        <v>198.77</v>
      </c>
      <c r="BE158" s="13">
        <f>BD158*VLOOKUP('Données projet'!$B$11,Paramètres!$A$1:$I$89,3,0)*VLOOKUP('Données projet'!$B$11,Paramètres!$A$1:$I$89,5,0)</f>
        <v>201.55278000000001</v>
      </c>
      <c r="BF158" s="13">
        <f t="shared" si="167"/>
        <v>50.085268016392945</v>
      </c>
      <c r="BG158" s="20">
        <f t="shared" si="168"/>
        <v>438.26960029521769</v>
      </c>
      <c r="BH158" s="59">
        <f t="shared" si="116"/>
        <v>729.96025948534952</v>
      </c>
      <c r="BI158" s="59">
        <f ca="1">AVERAGE(OFFSET($BH$3,0,0,'Données projet'!$E$11+1,1))-AVERAGE(OFFSET($H$3,0,0,'Données projet'!$E$11+1,1))</f>
        <v>478.2340976873212</v>
      </c>
      <c r="BJ158" s="59">
        <f t="shared" si="146"/>
        <v>342.90128902463823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101.19992550841029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101.19992550841029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2.0572770154103635E-13</v>
      </c>
      <c r="CA158" s="13">
        <f t="shared" si="170"/>
        <v>2.8416956338469711E-12</v>
      </c>
      <c r="CB158" s="20">
        <f t="shared" si="171"/>
        <v>5.3075956424674458E-12</v>
      </c>
      <c r="CC158" s="59">
        <f t="shared" si="119"/>
        <v>291.69065919013713</v>
      </c>
      <c r="CD158" s="59">
        <f ca="1">AVERAGE(OFFSET($CC$3,0,0,'Données projet'!$E$12+1,1))-AVERAGE(OFFSET($H$3,0,0,'Données projet'!$E$12+1,1))</f>
        <v>471.03166569378629</v>
      </c>
      <c r="CE158" s="59">
        <f t="shared" si="148"/>
        <v>259.15709238853287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94.292363423764428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94.292363423764428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-4.5474735088646412E-13</v>
      </c>
      <c r="CU158" s="17">
        <f>CT158*VLOOKUP('Données projet'!$B$13,Paramètres!$A$1:$I$89,3,0)*VLOOKUP('Données projet'!$B$13,Paramètres!$A$1:$I$89,5,0)</f>
        <v>-2.1282176021486519E-13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364.67256251031029</v>
      </c>
      <c r="CZ158" s="59">
        <f t="shared" si="150"/>
        <v>347.4139588390766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76.688799298324511</v>
      </c>
      <c r="DG158" s="21">
        <f>EXP(-LN(2)/25)*DG157+(1-EXP(-LN(2)/25))/(LN(2)/25)*Calculateur!DB158*Calculateur!DD158*VLOOKUP('Données projet'!$B$13,Paramètres!$A$1:$I$89,3,0)*0.475*44/12</f>
        <v>21.064734319460079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97.753533617784598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69.551997960945044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1.35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4.95</v>
      </c>
      <c r="H159" s="67">
        <f t="shared" si="110"/>
        <v>236.86666666666665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51.998489924038495</v>
      </c>
      <c r="T159" s="59">
        <f t="shared" si="142"/>
        <v>206.32767973856241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2.8708685042654722</v>
      </c>
      <c r="AA159" s="21">
        <f>EXP(-LN(2)/25)*AA158+(1-EXP(-LN(2)/25))/(LN(2)/25)*Calculateur!V159*Calculateur!X159*VLOOKUP('Données projet'!$B$9,Paramètres!$A$1:$I$89,3,0)*0.475*44/12</f>
        <v>0.27013681002766005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3.1410053142931322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356.02637444732096</v>
      </c>
      <c r="AO159" s="59">
        <f t="shared" si="144"/>
        <v>263.30053404008095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38.192920547749331</v>
      </c>
      <c r="AV159" s="21">
        <f>EXP(-LN(2)/25)*AV158+(1-EXP(-LN(2)/25))/(LN(2)/25)*Calculateur!AQ159*Calculateur!AS159*VLOOKUP('Données projet'!$B$10,Paramètres!$A$1:$I$89,3,0)*0.475*44/12</f>
        <v>9.8167502979630008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48.009670845712336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3.0450000000000088</v>
      </c>
      <c r="BD159" s="12">
        <f>IF('Données projet'!$A$88&gt;35,BD158+BC159-BL158,IF(A159&lt;'Données projet'!$A$88,$BA$205^A159,IF(A159='Données projet'!$A$88,'Données projet'!$B$88,BD158+BC159-BL158)))</f>
        <v>201.81500000000003</v>
      </c>
      <c r="BE159" s="13">
        <f>BD159*VLOOKUP('Données projet'!$B$11,Paramètres!$A$1:$I$89,3,0)*VLOOKUP('Données projet'!$B$11,Paramètres!$A$1:$I$89,5,0)</f>
        <v>204.64041000000003</v>
      </c>
      <c r="BF159" s="13">
        <f t="shared" si="167"/>
        <v>50.76262401302553</v>
      </c>
      <c r="BG159" s="20">
        <f t="shared" si="168"/>
        <v>444.82695090601948</v>
      </c>
      <c r="BH159" s="59">
        <f t="shared" si="116"/>
        <v>736.5461068200666</v>
      </c>
      <c r="BI159" s="59">
        <f ca="1">AVERAGE(OFFSET($BH$3,0,0,'Données projet'!$E$11+1,1))-AVERAGE(OFFSET($H$3,0,0,'Données projet'!$E$11+1,1))</f>
        <v>478.2340976873212</v>
      </c>
      <c r="BJ159" s="59">
        <f t="shared" si="146"/>
        <v>342.90128902463823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99.215456695049994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99.215456695049994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2.0572770154103635E-13</v>
      </c>
      <c r="CA159" s="13">
        <f t="shared" si="170"/>
        <v>2.8416956338469711E-12</v>
      </c>
      <c r="CB159" s="20">
        <f t="shared" si="171"/>
        <v>5.3075956424674458E-12</v>
      </c>
      <c r="CC159" s="59">
        <f t="shared" si="119"/>
        <v>291.71915591405246</v>
      </c>
      <c r="CD159" s="59">
        <f ca="1">AVERAGE(OFFSET($CC$3,0,0,'Données projet'!$E$12+1,1))-AVERAGE(OFFSET($H$3,0,0,'Données projet'!$E$12+1,1))</f>
        <v>471.03166569378629</v>
      </c>
      <c r="CE159" s="59">
        <f t="shared" si="148"/>
        <v>259.15709238853287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92.443347689687187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92.443347689687187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-4.5474735088646412E-13</v>
      </c>
      <c r="CU159" s="17">
        <f>CT159*VLOOKUP('Données projet'!$B$13,Paramètres!$A$1:$I$89,3,0)*VLOOKUP('Données projet'!$B$13,Paramètres!$A$1:$I$89,5,0)</f>
        <v>-2.1282176021486519E-13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364.67256251031029</v>
      </c>
      <c r="CZ159" s="59">
        <f t="shared" si="150"/>
        <v>347.4139588390766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75.184978719633236</v>
      </c>
      <c r="DG159" s="21">
        <f>EXP(-LN(2)/25)*DG158+(1-EXP(-LN(2)/25))/(LN(2)/25)*Calculateur!DB159*Calculateur!DD159*VLOOKUP('Données projet'!$B$13,Paramètres!$A$1:$I$89,3,0)*0.475*44/12</f>
        <v>20.488718051748211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95.673696771381444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69.559769794740134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1.35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4.95</v>
      </c>
      <c r="H160" s="67">
        <f t="shared" si="110"/>
        <v>236.86666666666665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51.998489924038495</v>
      </c>
      <c r="T160" s="59">
        <f t="shared" si="142"/>
        <v>206.32767973856241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2.8145725239537116</v>
      </c>
      <c r="AA160" s="21">
        <f>EXP(-LN(2)/25)*AA159+(1-EXP(-LN(2)/25))/(LN(2)/25)*Calculateur!V160*Calculateur!X160*VLOOKUP('Données projet'!$B$9,Paramètres!$A$1:$I$89,3,0)*0.475*44/12</f>
        <v>0.26274990475157622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3.0773224287052878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356.02637444732096</v>
      </c>
      <c r="AO160" s="59">
        <f t="shared" si="144"/>
        <v>263.30053404008095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37.443980671189273</v>
      </c>
      <c r="AV160" s="21">
        <f>EXP(-LN(2)/25)*AV159+(1-EXP(-LN(2)/25))/(LN(2)/25)*Calculateur!AQ160*Calculateur!AS160*VLOOKUP('Données projet'!$B$10,Paramètres!$A$1:$I$89,3,0)*0.475*44/12</f>
        <v>9.5483107448247413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46.992291416014012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204.86</v>
      </c>
      <c r="BB160" s="12">
        <f>VLOOKUP(A160,'Données projet'!$A$87:$I$107,9,0)</f>
        <v>3.0450000000000088</v>
      </c>
      <c r="BC160" s="12">
        <f t="array" ref="BC160">INDEX(BB:BB,MIN(IF(ISNUMBER(BB160:BB356),ROW(BB160:BB356),"")))</f>
        <v>3.0450000000000088</v>
      </c>
      <c r="BD160" s="12">
        <f>IF('Données projet'!$A$88&gt;35,BD159+BC160-BL159,IF(A160&lt;'Données projet'!$A$88,$BA$205^A160,IF(A160='Données projet'!$A$88,'Données projet'!$B$88,BD159+BC160-BL159)))</f>
        <v>204.86000000000004</v>
      </c>
      <c r="BE160" s="13">
        <f>BD160*VLOOKUP('Données projet'!$B$11,Paramètres!$A$1:$I$89,3,0)*VLOOKUP('Données projet'!$B$11,Paramètres!$A$1:$I$89,5,0)</f>
        <v>207.72804000000005</v>
      </c>
      <c r="BF160" s="13">
        <f t="shared" si="167"/>
        <v>51.438791398156425</v>
      </c>
      <c r="BG160" s="20">
        <f t="shared" si="168"/>
        <v>451.38223135178919</v>
      </c>
      <c r="BH160" s="59">
        <f t="shared" si="116"/>
        <v>743.12938963530087</v>
      </c>
      <c r="BI160" s="59">
        <f ca="1">AVERAGE(OFFSET($BH$3,0,0,'Données projet'!$E$11+1,1))-AVERAGE(OFFSET($H$3,0,0,'Données projet'!$E$11+1,1))</f>
        <v>478.2340976873212</v>
      </c>
      <c r="BJ160" s="59">
        <f t="shared" si="146"/>
        <v>342.90128902463823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70.989999999999995</v>
      </c>
      <c r="BM160" s="16">
        <f>IF(ISNA(VLOOKUP(A160,'Données projet'!$A$87:$I$107,5,0)),0%,VLOOKUP(A160,'Données projet'!$A$87:$I$107,5,0)*VLOOKUP('Données projet'!$B$11,Paramètres!$A$1:$I$89,7,0))</f>
        <v>0.25800000000000001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117.8005165636005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117.8005165636005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2.0572770154103635E-13</v>
      </c>
      <c r="CA160" s="13">
        <f t="shared" si="170"/>
        <v>2.8416956338469711E-12</v>
      </c>
      <c r="CB160" s="20">
        <f t="shared" si="171"/>
        <v>5.3075956424674458E-12</v>
      </c>
      <c r="CC160" s="59">
        <f t="shared" si="119"/>
        <v>291.74715828351697</v>
      </c>
      <c r="CD160" s="59">
        <f ca="1">AVERAGE(OFFSET($CC$3,0,0,'Données projet'!$E$12+1,1))-AVERAGE(OFFSET($H$3,0,0,'Données projet'!$E$12+1,1))</f>
        <v>471.03166569378629</v>
      </c>
      <c r="CE160" s="59">
        <f t="shared" si="148"/>
        <v>259.15709238853287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90.630590026366974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90.630590026366974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-4.5474735088646412E-13</v>
      </c>
      <c r="CU160" s="17">
        <f>CT160*VLOOKUP('Données projet'!$B$13,Paramètres!$A$1:$I$89,3,0)*VLOOKUP('Données projet'!$B$13,Paramètres!$A$1:$I$89,5,0)</f>
        <v>-2.1282176021486519E-13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364.67256251031029</v>
      </c>
      <c r="CZ160" s="59">
        <f t="shared" si="150"/>
        <v>347.4139588390766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73.710647145250121</v>
      </c>
      <c r="DG160" s="21">
        <f>EXP(-LN(2)/25)*DG159+(1-EXP(-LN(2)/25))/(LN(2)/25)*Calculateur!DB160*Calculateur!DD160*VLOOKUP('Données projet'!$B$13,Paramètres!$A$1:$I$89,3,0)*0.475*44/12</f>
        <v>19.928452979168302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93.63910012441842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69.5674068045941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1.35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4.95</v>
      </c>
      <c r="H161" s="67">
        <f t="shared" si="110"/>
        <v>236.86666666666665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51.998489924038495</v>
      </c>
      <c r="T161" s="59">
        <f t="shared" si="142"/>
        <v>206.32767973856241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2.7593804734787071</v>
      </c>
      <c r="AA161" s="21">
        <f>EXP(-LN(2)/25)*AA160+(1-EXP(-LN(2)/25))/(LN(2)/25)*Calculateur!V161*Calculateur!X161*VLOOKUP('Données projet'!$B$9,Paramètres!$A$1:$I$89,3,0)*0.475*44/12</f>
        <v>0.25556499478872741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3.0149454682674346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356.02637444732096</v>
      </c>
      <c r="AO161" s="59">
        <f t="shared" si="144"/>
        <v>263.30053404008095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36.709727048800339</v>
      </c>
      <c r="AV161" s="21">
        <f>EXP(-LN(2)/25)*AV160+(1-EXP(-LN(2)/25))/(LN(2)/25)*Calculateur!AQ161*Calculateur!AS161*VLOOKUP('Données projet'!$B$10,Paramètres!$A$1:$I$89,3,0)*0.475*44/12</f>
        <v>9.287211685383669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45.996938734184006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1.9724999999999966</v>
      </c>
      <c r="BD161" s="12">
        <f>IF('Données projet'!$A$88&gt;35,BD160+BC161-BL160,IF(A161&lt;'Données projet'!$A$88,$BA$205^A161,IF(A161='Données projet'!$A$88,'Données projet'!$B$88,BD160+BC161-BL160)))</f>
        <v>135.84250000000003</v>
      </c>
      <c r="BE161" s="13">
        <f>BD161*VLOOKUP('Données projet'!$B$11,Paramètres!$A$1:$I$89,3,0)*VLOOKUP('Données projet'!$B$11,Paramètres!$A$1:$I$89,5,0)</f>
        <v>137.74429500000005</v>
      </c>
      <c r="BF161" s="13">
        <f t="shared" si="167"/>
        <v>35.779767653033062</v>
      </c>
      <c r="BG161" s="20">
        <f t="shared" si="168"/>
        <v>302.22107578736603</v>
      </c>
      <c r="BH161" s="59">
        <f t="shared" si="116"/>
        <v>593.99575066183604</v>
      </c>
      <c r="BI161" s="59">
        <f ca="1">AVERAGE(OFFSET($BH$3,0,0,'Données projet'!$E$11+1,1))-AVERAGE(OFFSET($H$3,0,0,'Données projet'!$E$11+1,1))</f>
        <v>478.2340976873212</v>
      </c>
      <c r="BJ161" s="59">
        <f t="shared" si="146"/>
        <v>342.90128902463823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115.49052028500867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115.49052028500867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2.0572770154103635E-13</v>
      </c>
      <c r="CA161" s="13">
        <f t="shared" si="170"/>
        <v>2.8416956338469711E-12</v>
      </c>
      <c r="CB161" s="20">
        <f t="shared" si="171"/>
        <v>5.3075956424674458E-12</v>
      </c>
      <c r="CC161" s="59">
        <f t="shared" si="119"/>
        <v>291.77467487447529</v>
      </c>
      <c r="CD161" s="59">
        <f ca="1">AVERAGE(OFFSET($CC$3,0,0,'Données projet'!$E$12+1,1))-AVERAGE(OFFSET($H$3,0,0,'Données projet'!$E$12+1,1))</f>
        <v>471.03166569378629</v>
      </c>
      <c r="CE161" s="59">
        <f t="shared" si="148"/>
        <v>259.15709238853287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88.853379435151467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88.853379435151467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-4.5474735088646412E-13</v>
      </c>
      <c r="CU161" s="17">
        <f>CT161*VLOOKUP('Données projet'!$B$13,Paramètres!$A$1:$I$89,3,0)*VLOOKUP('Données projet'!$B$13,Paramètres!$A$1:$I$89,5,0)</f>
        <v>-2.1282176021486519E-13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364.67256251031029</v>
      </c>
      <c r="CZ161" s="59">
        <f t="shared" si="150"/>
        <v>347.4139588390766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72.265226313787181</v>
      </c>
      <c r="DG161" s="21">
        <f>EXP(-LN(2)/25)*DG160+(1-EXP(-LN(2)/25))/(LN(2)/25)*Calculateur!DB161*Calculateur!DD161*VLOOKUP('Données projet'!$B$13,Paramètres!$A$1:$I$89,3,0)*0.475*44/12</f>
        <v>19.383508384461148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91.648734698248333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69.574911329400905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1.35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4.95</v>
      </c>
      <c r="H162" s="67">
        <f t="shared" si="110"/>
        <v>236.86666666666665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51.998489924038495</v>
      </c>
      <c r="T162" s="59">
        <f t="shared" si="142"/>
        <v>206.32767973856241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2.7052707054496903</v>
      </c>
      <c r="AA162" s="21">
        <f>EXP(-LN(2)/25)*AA161+(1-EXP(-LN(2)/25))/(LN(2)/25)*Calculateur!V162*Calculateur!X162*VLOOKUP('Données projet'!$B$9,Paramètres!$A$1:$I$89,3,0)*0.475*44/12</f>
        <v>0.24857655656665067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2.9538472620163407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356.02637444732096</v>
      </c>
      <c r="AO162" s="59">
        <f t="shared" si="144"/>
        <v>263.30053404008095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35.989871692095967</v>
      </c>
      <c r="AV162" s="21">
        <f>EXP(-LN(2)/25)*AV161+(1-EXP(-LN(2)/25))/(LN(2)/25)*Calculateur!AQ162*Calculateur!AS162*VLOOKUP('Données projet'!$B$10,Paramètres!$A$1:$I$89,3,0)*0.475*44/12</f>
        <v>9.0332523934536155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45.023124085549583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1.9724999999999966</v>
      </c>
      <c r="BD162" s="12">
        <f>IF('Données projet'!$A$88&gt;35,BD161+BC162-BL161,IF(A162&lt;'Données projet'!$A$88,$BA$205^A162,IF(A162='Données projet'!$A$88,'Données projet'!$B$88,BD161+BC162-BL161)))</f>
        <v>137.81500000000003</v>
      </c>
      <c r="BE162" s="13">
        <f>BD162*VLOOKUP('Données projet'!$B$11,Paramètres!$A$1:$I$89,3,0)*VLOOKUP('Données projet'!$B$11,Paramètres!$A$1:$I$89,5,0)</f>
        <v>139.74441000000004</v>
      </c>
      <c r="BF162" s="13">
        <f t="shared" si="167"/>
        <v>36.238447189590154</v>
      </c>
      <c r="BG162" s="20">
        <f t="shared" si="168"/>
        <v>306.50347627186954</v>
      </c>
      <c r="BH162" s="59">
        <f t="shared" si="116"/>
        <v>598.30519038596253</v>
      </c>
      <c r="BI162" s="59">
        <f ca="1">AVERAGE(OFFSET($BH$3,0,0,'Données projet'!$E$11+1,1))-AVERAGE(OFFSET($H$3,0,0,'Données projet'!$E$11+1,1))</f>
        <v>478.2340976873212</v>
      </c>
      <c r="BJ162" s="59">
        <f t="shared" si="146"/>
        <v>342.90128902463823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113.22582162448143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113.22582162448143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2.0572770154103635E-13</v>
      </c>
      <c r="CA162" s="13">
        <f t="shared" si="170"/>
        <v>2.8416956338469711E-12</v>
      </c>
      <c r="CB162" s="20">
        <f t="shared" si="171"/>
        <v>5.3075956424674458E-12</v>
      </c>
      <c r="CC162" s="59">
        <f t="shared" si="119"/>
        <v>291.80171411409827</v>
      </c>
      <c r="CD162" s="59">
        <f ca="1">AVERAGE(OFFSET($CC$3,0,0,'Données projet'!$E$12+1,1))-AVERAGE(OFFSET($H$3,0,0,'Données projet'!$E$12+1,1))</f>
        <v>471.03166569378629</v>
      </c>
      <c r="CE162" s="59">
        <f t="shared" si="148"/>
        <v>259.15709238853287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87.111018859638264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87.111018859638264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-4.5474735088646412E-13</v>
      </c>
      <c r="CU162" s="17">
        <f>CT162*VLOOKUP('Données projet'!$B$13,Paramètres!$A$1:$I$89,3,0)*VLOOKUP('Données projet'!$B$13,Paramètres!$A$1:$I$89,5,0)</f>
        <v>-2.1282176021486519E-13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364.67256251031029</v>
      </c>
      <c r="CZ162" s="59">
        <f t="shared" si="150"/>
        <v>347.4139588390766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70.848149303209581</v>
      </c>
      <c r="DG162" s="21">
        <f>EXP(-LN(2)/25)*DG161+(1-EXP(-LN(2)/25))/(LN(2)/25)*Calculateur!DB162*Calculateur!DD162*VLOOKUP('Données projet'!$B$13,Paramètres!$A$1:$I$89,3,0)*0.475*44/12</f>
        <v>18.853465328353654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89.701614631563231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69.582285667479908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1.35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4.95</v>
      </c>
      <c r="H163" s="67">
        <f t="shared" si="110"/>
        <v>236.86666666666665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51.998489924038495</v>
      </c>
      <c r="T163" s="59">
        <f t="shared" si="142"/>
        <v>206.32767973856241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2.6522219969680232</v>
      </c>
      <c r="AA163" s="21">
        <f>EXP(-LN(2)/25)*AA162+(1-EXP(-LN(2)/25))/(LN(2)/25)*Calculateur!V163*Calculateur!X163*VLOOKUP('Données projet'!$B$9,Paramètres!$A$1:$I$89,3,0)*0.475*44/12</f>
        <v>0.24177921755526263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2.8940012145232856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356.02637444732096</v>
      </c>
      <c r="AO163" s="59">
        <f t="shared" si="144"/>
        <v>263.30053404008095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35.284132259868151</v>
      </c>
      <c r="AV163" s="21">
        <f>EXP(-LN(2)/25)*AV162+(1-EXP(-LN(2)/25))/(LN(2)/25)*Calculateur!AQ163*Calculateur!AS163*VLOOKUP('Données projet'!$B$10,Paramètres!$A$1:$I$89,3,0)*0.475*44/12</f>
        <v>8.7862376317165296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44.070369891584683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1.9724999999999966</v>
      </c>
      <c r="BD163" s="12">
        <f>IF('Données projet'!$A$88&gt;35,BD162+BC163-BL162,IF(A163&lt;'Données projet'!$A$88,$BA$205^A163,IF(A163='Données projet'!$A$88,'Données projet'!$B$88,BD162+BC163-BL162)))</f>
        <v>139.78750000000002</v>
      </c>
      <c r="BE163" s="13">
        <f>BD163*VLOOKUP('Données projet'!$B$11,Paramètres!$A$1:$I$89,3,0)*VLOOKUP('Données projet'!$B$11,Paramètres!$A$1:$I$89,5,0)</f>
        <v>141.74452500000001</v>
      </c>
      <c r="BF163" s="13">
        <f t="shared" si="167"/>
        <v>36.696363177291538</v>
      </c>
      <c r="BG163" s="20">
        <f t="shared" si="168"/>
        <v>310.78454690878277</v>
      </c>
      <c r="BH163" s="59">
        <f t="shared" si="116"/>
        <v>602.61283119214204</v>
      </c>
      <c r="BI163" s="59">
        <f ca="1">AVERAGE(OFFSET($BH$3,0,0,'Données projet'!$E$11+1,1))-AVERAGE(OFFSET($H$3,0,0,'Données projet'!$E$11+1,1))</f>
        <v>478.2340976873212</v>
      </c>
      <c r="BJ163" s="59">
        <f t="shared" si="146"/>
        <v>342.90128902463823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111.00553232335733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111.00553232335733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2.0572770154103635E-13</v>
      </c>
      <c r="CA163" s="13">
        <f t="shared" si="170"/>
        <v>2.8416956338469711E-12</v>
      </c>
      <c r="CB163" s="20">
        <f t="shared" si="171"/>
        <v>5.3075956424674458E-12</v>
      </c>
      <c r="CC163" s="59">
        <f t="shared" si="119"/>
        <v>291.8282842833645</v>
      </c>
      <c r="CD163" s="59">
        <f ca="1">AVERAGE(OFFSET($CC$3,0,0,'Données projet'!$E$12+1,1))-AVERAGE(OFFSET($H$3,0,0,'Données projet'!$E$12+1,1))</f>
        <v>471.03166569378629</v>
      </c>
      <c r="CE163" s="59">
        <f t="shared" si="148"/>
        <v>259.15709238853287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85.402824912275861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85.402824912275861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-4.5474735088646412E-13</v>
      </c>
      <c r="CU163" s="17">
        <f>CT163*VLOOKUP('Données projet'!$B$13,Paramètres!$A$1:$I$89,3,0)*VLOOKUP('Données projet'!$B$13,Paramètres!$A$1:$I$89,5,0)</f>
        <v>-2.1282176021486519E-13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364.67256251031029</v>
      </c>
      <c r="CZ163" s="59">
        <f t="shared" si="150"/>
        <v>347.4139588390766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69.458860308477782</v>
      </c>
      <c r="DG163" s="21">
        <f>EXP(-LN(2)/25)*DG162+(1-EXP(-LN(2)/25))/(LN(2)/25)*Calculateur!DB163*Calculateur!DD163*VLOOKUP('Données projet'!$B$13,Paramètres!$A$1:$I$89,3,0)*0.475*44/12</f>
        <v>18.337916327489172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87.79677663596695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69.589532077279785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1.35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4.95</v>
      </c>
      <c r="H164" s="67">
        <f t="shared" si="110"/>
        <v>236.86666666666665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51.998489924038495</v>
      </c>
      <c r="T164" s="59">
        <f t="shared" si="142"/>
        <v>206.32767973856241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2.6002135413031642</v>
      </c>
      <c r="AA164" s="21">
        <f>EXP(-LN(2)/25)*AA163+(1-EXP(-LN(2)/25))/(LN(2)/25)*Calculateur!V164*Calculateur!X164*VLOOKUP('Données projet'!$B$9,Paramètres!$A$1:$I$89,3,0)*0.475*44/12</f>
        <v>0.23516775213659752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2.8353812934397618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356.02637444732096</v>
      </c>
      <c r="AO164" s="59">
        <f t="shared" si="144"/>
        <v>263.30053404008095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34.592231947447772</v>
      </c>
      <c r="AV164" s="21">
        <f>EXP(-LN(2)/25)*AV163+(1-EXP(-LN(2)/25))/(LN(2)/25)*Calculateur!AQ164*Calculateur!AS164*VLOOKUP('Données projet'!$B$10,Paramètres!$A$1:$I$89,3,0)*0.475*44/12</f>
        <v>8.5459775016290855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43.138209449076854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141.76</v>
      </c>
      <c r="BB164" s="12">
        <f>VLOOKUP(A164,'Données projet'!$A$87:$I$107,9,0)</f>
        <v>1.9724999999999966</v>
      </c>
      <c r="BC164" s="12">
        <f t="array" ref="BC164">INDEX(BB:BB,MIN(IF(ISNUMBER(BB164:BB360),ROW(BB164:BB360),"")))</f>
        <v>1.9724999999999966</v>
      </c>
      <c r="BD164" s="12">
        <f>IF('Données projet'!$A$88&gt;35,BD163+BC164-BL163,IF(A164&lt;'Données projet'!$A$88,$BA$205^A164,IF(A164='Données projet'!$A$88,'Données projet'!$B$88,BD163+BC164-BL163)))</f>
        <v>141.76000000000002</v>
      </c>
      <c r="BE164" s="13">
        <f>BD164*VLOOKUP('Données projet'!$B$11,Paramètres!$A$1:$I$89,3,0)*VLOOKUP('Données projet'!$B$11,Paramètres!$A$1:$I$89,5,0)</f>
        <v>143.74464000000003</v>
      </c>
      <c r="BF164" s="13">
        <f t="shared" si="167"/>
        <v>37.153527635397182</v>
      </c>
      <c r="BG164" s="20">
        <f t="shared" si="168"/>
        <v>315.06430863165014</v>
      </c>
      <c r="BH164" s="59">
        <f t="shared" si="116"/>
        <v>606.91870215124072</v>
      </c>
      <c r="BI164" s="59">
        <f ca="1">AVERAGE(OFFSET($BH$3,0,0,'Données projet'!$E$11+1,1))-AVERAGE(OFFSET($H$3,0,0,'Données projet'!$E$11+1,1))</f>
        <v>478.2340976873212</v>
      </c>
      <c r="BJ164" s="59">
        <f t="shared" si="146"/>
        <v>342.90128902463823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47.17</v>
      </c>
      <c r="BM164" s="16">
        <f>IF(ISNA(VLOOKUP(A164,'Données projet'!$A$87:$I$107,5,0)),0%,VLOOKUP(A164,'Données projet'!$A$87:$I$107,5,0)*VLOOKUP('Données projet'!$B$11,Paramètres!$A$1:$I$89,7,0))</f>
        <v>0.25800000000000001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122.47054917079129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122.47054917079129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2.0572770154103635E-13</v>
      </c>
      <c r="CA164" s="13">
        <f t="shared" si="170"/>
        <v>2.8416956338469711E-12</v>
      </c>
      <c r="CB164" s="20">
        <f t="shared" si="171"/>
        <v>5.3075956424674458E-12</v>
      </c>
      <c r="CC164" s="59">
        <f t="shared" si="119"/>
        <v>291.85439351959593</v>
      </c>
      <c r="CD164" s="59">
        <f ca="1">AVERAGE(OFFSET($CC$3,0,0,'Données projet'!$E$12+1,1))-AVERAGE(OFFSET($H$3,0,0,'Données projet'!$E$12+1,1))</f>
        <v>471.03166569378629</v>
      </c>
      <c r="CE164" s="59">
        <f t="shared" si="148"/>
        <v>259.15709238853287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83.728127606325813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83.728127606325813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-4.5474735088646412E-13</v>
      </c>
      <c r="CU164" s="17">
        <f>CT164*VLOOKUP('Données projet'!$B$13,Paramètres!$A$1:$I$89,3,0)*VLOOKUP('Données projet'!$B$13,Paramètres!$A$1:$I$89,5,0)</f>
        <v>-2.1282176021486519E-13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364.67256251031029</v>
      </c>
      <c r="CZ164" s="59">
        <f t="shared" si="150"/>
        <v>347.4139588390766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68.096814423550057</v>
      </c>
      <c r="DG164" s="21">
        <f>EXP(-LN(2)/25)*DG163+(1-EXP(-LN(2)/25))/(LN(2)/25)*Calculateur!DB164*Calculateur!DD164*VLOOKUP('Données projet'!$B$13,Paramètres!$A$1:$I$89,3,0)*0.475*44/12</f>
        <v>17.836465041164871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85.933279464714929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69.59665277807018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1.35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4.95</v>
      </c>
      <c r="H165" s="67">
        <f t="shared" si="110"/>
        <v>236.86666666666665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51.998489924038495</v>
      </c>
      <c r="T165" s="59">
        <f t="shared" si="142"/>
        <v>206.32767973856241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2.5492249397318676</v>
      </c>
      <c r="AA165" s="21">
        <f>EXP(-LN(2)/25)*AA164+(1-EXP(-LN(2)/25))/(LN(2)/25)*Calculateur!V165*Calculateur!X165*VLOOKUP('Données projet'!$B$9,Paramètres!$A$1:$I$89,3,0)*0.475*44/12</f>
        <v>0.22873707758748765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2.7779620173193553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356.02637444732096</v>
      </c>
      <c r="AO165" s="59">
        <f t="shared" si="144"/>
        <v>263.30053404008095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33.913899378136435</v>
      </c>
      <c r="AV165" s="21">
        <f>EXP(-LN(2)/25)*AV164+(1-EXP(-LN(2)/25))/(LN(2)/25)*Calculateur!AQ165*Calculateur!AS165*VLOOKUP('Données projet'!$B$10,Paramètres!$A$1:$I$89,3,0)*0.475*44/12</f>
        <v>8.3122872974336133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42.226186675570048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1.2625000000000028</v>
      </c>
      <c r="BD165" s="12">
        <f>IF('Données projet'!$A$88&gt;35,BD164+BC165-BL164,IF(A165&lt;'Données projet'!$A$88,$BA$205^A165,IF(A165='Données projet'!$A$88,'Données projet'!$B$88,BD164+BC165-BL164)))</f>
        <v>95.852500000000035</v>
      </c>
      <c r="BE165" s="13">
        <f>BD165*VLOOKUP('Données projet'!$B$11,Paramètres!$A$1:$I$89,3,0)*VLOOKUP('Données projet'!$B$11,Paramètres!$A$1:$I$89,5,0)</f>
        <v>97.194435000000041</v>
      </c>
      <c r="BF165" s="13">
        <f t="shared" si="167"/>
        <v>26.292507439838868</v>
      </c>
      <c r="BG165" s="20">
        <f t="shared" si="168"/>
        <v>215.07309141605276</v>
      </c>
      <c r="BH165" s="59">
        <f t="shared" si="116"/>
        <v>506.95314123499776</v>
      </c>
      <c r="BI165" s="59">
        <f ca="1">AVERAGE(OFFSET($BH$3,0,0,'Données projet'!$E$11+1,1))-AVERAGE(OFFSET($H$3,0,0,'Données projet'!$E$11+1,1))</f>
        <v>478.2340976873212</v>
      </c>
      <c r="BJ165" s="59">
        <f t="shared" si="146"/>
        <v>342.90128902463823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120.06897640121109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120.06897640121109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2.0572770154103635E-13</v>
      </c>
      <c r="CA165" s="13">
        <f t="shared" si="170"/>
        <v>2.8416956338469711E-12</v>
      </c>
      <c r="CB165" s="20">
        <f t="shared" si="171"/>
        <v>5.3075956424674458E-12</v>
      </c>
      <c r="CC165" s="59">
        <f t="shared" si="119"/>
        <v>291.88004981895028</v>
      </c>
      <c r="CD165" s="59">
        <f ca="1">AVERAGE(OFFSET($CC$3,0,0,'Données projet'!$E$12+1,1))-AVERAGE(OFFSET($H$3,0,0,'Données projet'!$E$12+1,1))</f>
        <v>471.03166569378629</v>
      </c>
      <c r="CE165" s="59">
        <f t="shared" si="148"/>
        <v>259.15709238853287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82.086270093080941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82.086270093080941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-4.5474735088646412E-13</v>
      </c>
      <c r="CU165" s="17">
        <f>CT165*VLOOKUP('Données projet'!$B$13,Paramètres!$A$1:$I$89,3,0)*VLOOKUP('Données projet'!$B$13,Paramètres!$A$1:$I$89,5,0)</f>
        <v>-2.1282176021486519E-13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364.67256251031029</v>
      </c>
      <c r="CZ165" s="59">
        <f t="shared" si="150"/>
        <v>347.4139588390766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66.761477427659798</v>
      </c>
      <c r="DG165" s="21">
        <f>EXP(-LN(2)/25)*DG164+(1-EXP(-LN(2)/25))/(LN(2)/25)*Calculateur!DB165*Calculateur!DD165*VLOOKUP('Données projet'!$B$13,Paramètres!$A$1:$I$89,3,0)*0.475*44/12</f>
        <v>17.348725966635286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84.110203394295084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69.60364995062136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1.35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4.95</v>
      </c>
      <c r="H166" s="67">
        <f t="shared" si="110"/>
        <v>236.86666666666665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51.998489924038495</v>
      </c>
      <c r="T166" s="59">
        <f t="shared" si="142"/>
        <v>206.32767973856241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2.4992361935374077</v>
      </c>
      <c r="AA166" s="21">
        <f>EXP(-LN(2)/25)*AA165+(1-EXP(-LN(2)/25))/(LN(2)/25)*Calculateur!V166*Calculateur!X166*VLOOKUP('Données projet'!$B$9,Paramètres!$A$1:$I$89,3,0)*0.475*44/12</f>
        <v>0.22248225017209769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2.7217184437095052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356.02637444732096</v>
      </c>
      <c r="AO166" s="59">
        <f t="shared" si="144"/>
        <v>263.30053404008095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33.24886849676728</v>
      </c>
      <c r="AV166" s="21">
        <f>EXP(-LN(2)/25)*AV165+(1-EXP(-LN(2)/25))/(LN(2)/25)*Calculateur!AQ166*Calculateur!AS166*VLOOKUP('Données projet'!$B$10,Paramètres!$A$1:$I$89,3,0)*0.475*44/12</f>
        <v>8.0849873641610994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41.333855860928381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1.2625000000000028</v>
      </c>
      <c r="BD166" s="12">
        <f>IF('Données projet'!$A$88&gt;35,BD165+BC166-BL165,IF(A166&lt;'Données projet'!$A$88,$BA$205^A166,IF(A166='Données projet'!$A$88,'Données projet'!$B$88,BD165+BC166-BL165)))</f>
        <v>97.115000000000038</v>
      </c>
      <c r="BE166" s="13">
        <f>BD166*VLOOKUP('Données projet'!$B$11,Paramètres!$A$1:$I$89,3,0)*VLOOKUP('Données projet'!$B$11,Paramètres!$A$1:$I$89,5,0)</f>
        <v>98.474610000000041</v>
      </c>
      <c r="BF166" s="13">
        <f t="shared" si="167"/>
        <v>26.598269948253488</v>
      </c>
      <c r="BG166" s="20">
        <f t="shared" si="168"/>
        <v>217.83526590987489</v>
      </c>
      <c r="BH166" s="59">
        <f t="shared" si="116"/>
        <v>509.74052694873933</v>
      </c>
      <c r="BI166" s="59">
        <f ca="1">AVERAGE(OFFSET($BH$3,0,0,'Données projet'!$E$11+1,1))-AVERAGE(OFFSET($H$3,0,0,'Données projet'!$E$11+1,1))</f>
        <v>478.2340976873212</v>
      </c>
      <c r="BJ166" s="59">
        <f t="shared" si="146"/>
        <v>342.90128902463823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117.71449700882761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117.71449700882761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2.0572770154103635E-13</v>
      </c>
      <c r="CA166" s="13">
        <f t="shared" si="170"/>
        <v>2.8416956338469711E-12</v>
      </c>
      <c r="CB166" s="20">
        <f t="shared" si="171"/>
        <v>5.3075956424674458E-12</v>
      </c>
      <c r="CC166" s="59">
        <f t="shared" si="119"/>
        <v>291.90526103886975</v>
      </c>
      <c r="CD166" s="59">
        <f ca="1">AVERAGE(OFFSET($CC$3,0,0,'Données projet'!$E$12+1,1))-AVERAGE(OFFSET($H$3,0,0,'Données projet'!$E$12+1,1))</f>
        <v>471.03166569378629</v>
      </c>
      <c r="CE166" s="59">
        <f t="shared" si="148"/>
        <v>259.15709238853287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80.476608404236615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80.476608404236615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-4.5474735088646412E-13</v>
      </c>
      <c r="CU166" s="17">
        <f>CT166*VLOOKUP('Données projet'!$B$13,Paramètres!$A$1:$I$89,3,0)*VLOOKUP('Données projet'!$B$13,Paramètres!$A$1:$I$89,5,0)</f>
        <v>-2.1282176021486519E-13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364.67256251031029</v>
      </c>
      <c r="CZ166" s="59">
        <f t="shared" si="150"/>
        <v>347.4139588390766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65.452325575783803</v>
      </c>
      <c r="DG166" s="21">
        <f>EXP(-LN(2)/25)*DG165+(1-EXP(-LN(2)/25))/(LN(2)/25)*Calculateur!DB166*Calculateur!DD166*VLOOKUP('Données projet'!$B$13,Paramètres!$A$1:$I$89,3,0)*0.475*44/12</f>
        <v>16.874324142747795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82.326649718531598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69.610525737872123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1.35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4.95</v>
      </c>
      <c r="H167" s="67">
        <f t="shared" si="110"/>
        <v>236.86666666666665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51.998489924038495</v>
      </c>
      <c r="T167" s="59">
        <f t="shared" si="142"/>
        <v>206.32767973856241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2.4502276961656966</v>
      </c>
      <c r="AA167" s="21">
        <f>EXP(-LN(2)/25)*AA166+(1-EXP(-LN(2)/25))/(LN(2)/25)*Calculateur!V167*Calculateur!X167*VLOOKUP('Données projet'!$B$9,Paramètres!$A$1:$I$89,3,0)*0.475*44/12</f>
        <v>0.21639846134130863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2.6666261575070052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356.02637444732096</v>
      </c>
      <c r="AO167" s="59">
        <f t="shared" si="144"/>
        <v>263.30053404008095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32.596878465352994</v>
      </c>
      <c r="AV167" s="21">
        <f>EXP(-LN(2)/25)*AV166+(1-EXP(-LN(2)/25))/(LN(2)/25)*Calculateur!AQ167*Calculateur!AS167*VLOOKUP('Données projet'!$B$10,Paramètres!$A$1:$I$89,3,0)*0.475*44/12</f>
        <v>7.863902959517107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40.460781424870099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1.2625000000000028</v>
      </c>
      <c r="BD167" s="12">
        <f>IF('Données projet'!$A$88&gt;35,BD166+BC167-BL166,IF(A167&lt;'Données projet'!$A$88,$BA$205^A167,IF(A167='Données projet'!$A$88,'Données projet'!$B$88,BD166+BC167-BL166)))</f>
        <v>98.37750000000004</v>
      </c>
      <c r="BE167" s="13">
        <f>BD167*VLOOKUP('Données projet'!$B$11,Paramètres!$A$1:$I$89,3,0)*VLOOKUP('Données projet'!$B$11,Paramètres!$A$1:$I$89,5,0)</f>
        <v>99.754785000000041</v>
      </c>
      <c r="BF167" s="13">
        <f t="shared" si="167"/>
        <v>26.903570111126903</v>
      </c>
      <c r="BG167" s="20">
        <f t="shared" si="168"/>
        <v>220.59663515187944</v>
      </c>
      <c r="BH167" s="59">
        <f t="shared" si="116"/>
        <v>512.52667005236162</v>
      </c>
      <c r="BI167" s="59">
        <f ca="1">AVERAGE(OFFSET($BH$3,0,0,'Données projet'!$E$11+1,1))-AVERAGE(OFFSET($H$3,0,0,'Données projet'!$E$11+1,1))</f>
        <v>478.2340976873212</v>
      </c>
      <c r="BJ167" s="59">
        <f t="shared" si="146"/>
        <v>342.90128902463823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115.40618752123814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115.40618752123814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2.0572770154103635E-13</v>
      </c>
      <c r="CA167" s="13">
        <f t="shared" si="170"/>
        <v>2.8416956338469711E-12</v>
      </c>
      <c r="CB167" s="20">
        <f t="shared" si="171"/>
        <v>5.3075956424674458E-12</v>
      </c>
      <c r="CC167" s="59">
        <f t="shared" si="119"/>
        <v>291.93003490048744</v>
      </c>
      <c r="CD167" s="59">
        <f ca="1">AVERAGE(OFFSET($CC$3,0,0,'Données projet'!$E$12+1,1))-AVERAGE(OFFSET($H$3,0,0,'Données projet'!$E$12+1,1))</f>
        <v>471.03166569378629</v>
      </c>
      <c r="CE167" s="59">
        <f t="shared" si="148"/>
        <v>259.15709238853287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78.89851119931383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78.89851119931383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-4.5474735088646412E-13</v>
      </c>
      <c r="CU167" s="17">
        <f>CT167*VLOOKUP('Données projet'!$B$13,Paramètres!$A$1:$I$89,3,0)*VLOOKUP('Données projet'!$B$13,Paramètres!$A$1:$I$89,5,0)</f>
        <v>-2.1282176021486519E-13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364.67256251031029</v>
      </c>
      <c r="CZ167" s="59">
        <f t="shared" si="150"/>
        <v>347.4139588390766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64.168845393219314</v>
      </c>
      <c r="DG167" s="21">
        <f>EXP(-LN(2)/25)*DG166+(1-EXP(-LN(2)/25))/(LN(2)/25)*Calculateur!DB167*Calculateur!DD167*VLOOKUP('Données projet'!$B$13,Paramètres!$A$1:$I$89,3,0)*0.475*44/12</f>
        <v>16.412894861682219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80.581740254901533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69.61728224558604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1.35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4.95</v>
      </c>
      <c r="H168" s="67">
        <f t="shared" si="110"/>
        <v>236.86666666666665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51.998489924038495</v>
      </c>
      <c r="T168" s="59">
        <f t="shared" si="142"/>
        <v>206.32767973856241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2.4021802255352132</v>
      </c>
      <c r="AA168" s="21">
        <f>EXP(-LN(2)/25)*AA167+(1-EXP(-LN(2)/25))/(LN(2)/25)*Calculateur!V168*Calculateur!X168*VLOOKUP('Données projet'!$B$9,Paramètres!$A$1:$I$89,3,0)*0.475*44/12</f>
        <v>0.21048103403603005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2.6126612595712433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356.02637444732096</v>
      </c>
      <c r="AO168" s="59">
        <f t="shared" si="144"/>
        <v>263.30053404008095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31.957673560780087</v>
      </c>
      <c r="AV168" s="21">
        <f>EXP(-LN(2)/25)*AV167+(1-EXP(-LN(2)/25))/(LN(2)/25)*Calculateur!AQ168*Calculateur!AS168*VLOOKUP('Données projet'!$B$10,Paramètres!$A$1:$I$89,3,0)*0.475*44/12</f>
        <v>7.6488641195444282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39.606537680324514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>
        <f>VLOOKUP(A168,'Données projet'!$A$87:$I$107,2,0)</f>
        <v>99.64</v>
      </c>
      <c r="BB168" s="12">
        <f>VLOOKUP(A168,'Données projet'!$A$87:$I$107,9,0)</f>
        <v>1.2625000000000028</v>
      </c>
      <c r="BC168" s="12">
        <f t="array" ref="BC168">INDEX(BB:BB,MIN(IF(ISNUMBER(BB168:BB364),ROW(BB168:BB364),"")))</f>
        <v>1.2625000000000028</v>
      </c>
      <c r="BD168" s="12">
        <f>IF('Données projet'!$A$88&gt;35,BD167+BC168-BL167,IF(A168&lt;'Données projet'!$A$88,$BA$205^A168,IF(A168='Données projet'!$A$88,'Données projet'!$B$88,BD167+BC168-BL167)))</f>
        <v>99.640000000000043</v>
      </c>
      <c r="BE168" s="13">
        <f>BD168*VLOOKUP('Données projet'!$B$11,Paramètres!$A$1:$I$89,3,0)*VLOOKUP('Données projet'!$B$11,Paramètres!$A$1:$I$89,5,0)</f>
        <v>101.03496000000005</v>
      </c>
      <c r="BF168" s="13">
        <f t="shared" si="167"/>
        <v>27.208414547906827</v>
      </c>
      <c r="BG168" s="20">
        <f t="shared" si="168"/>
        <v>223.3572106709378</v>
      </c>
      <c r="BH168" s="59">
        <f t="shared" si="116"/>
        <v>515.31158966192459</v>
      </c>
      <c r="BI168" s="59">
        <f ca="1">AVERAGE(OFFSET($BH$3,0,0,'Données projet'!$E$11+1,1))-AVERAGE(OFFSET($H$3,0,0,'Données projet'!$E$11+1,1))</f>
        <v>478.2340976873212</v>
      </c>
      <c r="BJ168" s="59">
        <f t="shared" si="146"/>
        <v>342.90128902463823</v>
      </c>
      <c r="BK168" s="15">
        <f>IF(ISNA(VLOOKUP(A168,'Données projet'!$A$87:$I$107,3,0)),0,VLOOKUP(A168,'Données projet'!$A$87:$I$107,3,0))</f>
        <v>16</v>
      </c>
      <c r="BL168" s="15">
        <f>IF(ISNA(VLOOKUP(A168,'Données projet'!$A$87:$I$107,4,0)),0,VLOOKUP(A168,'Données projet'!$A$87:$I$107,4,0))</f>
        <v>99.64</v>
      </c>
      <c r="BM168" s="16">
        <f>IF(ISNA(VLOOKUP(A168,'Données projet'!$A$87:$I$107,5,0)),0%,VLOOKUP(A168,'Données projet'!$A$87:$I$107,5,0)*VLOOKUP('Données projet'!$B$11,Paramètres!$A$1:$I$89,7,0))</f>
        <v>0.25800000000000001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141.95946071371301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141.95946071371301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2.0572770154103635E-13</v>
      </c>
      <c r="CA168" s="13">
        <f t="shared" si="170"/>
        <v>2.8416956338469711E-12</v>
      </c>
      <c r="CB168" s="20">
        <f t="shared" si="171"/>
        <v>5.3075956424674458E-12</v>
      </c>
      <c r="CC168" s="59">
        <f t="shared" si="119"/>
        <v>291.9543789909921</v>
      </c>
      <c r="CD168" s="59">
        <f ca="1">AVERAGE(OFFSET($CC$3,0,0,'Données projet'!$E$12+1,1))-AVERAGE(OFFSET($H$3,0,0,'Données projet'!$E$12+1,1))</f>
        <v>471.03166569378629</v>
      </c>
      <c r="CE168" s="59">
        <f t="shared" si="148"/>
        <v>259.15709238853287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77.351359518035338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77.351359518035338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-4.5474735088646412E-13</v>
      </c>
      <c r="CU168" s="17">
        <f>CT168*VLOOKUP('Données projet'!$B$13,Paramètres!$A$1:$I$89,3,0)*VLOOKUP('Données projet'!$B$13,Paramètres!$A$1:$I$89,5,0)</f>
        <v>-2.1282176021486519E-13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364.67256251031029</v>
      </c>
      <c r="CZ168" s="59">
        <f t="shared" si="150"/>
        <v>347.4139588390766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62.910533474189307</v>
      </c>
      <c r="DG168" s="21">
        <f>EXP(-LN(2)/25)*DG167+(1-EXP(-LN(2)/25))/(LN(2)/25)*Calculateur!DB168*Calculateur!DD168*VLOOKUP('Données projet'!$B$13,Paramètres!$A$1:$I$89,3,0)*0.475*44/12</f>
        <v>15.96408338857289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78.874616862762196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69.623921542996399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1.35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4.95</v>
      </c>
      <c r="H169" s="67">
        <f t="shared" si="110"/>
        <v>236.86666666666665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51.998489924038495</v>
      </c>
      <c r="T169" s="59">
        <f t="shared" si="142"/>
        <v>206.32767973856241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2.3550749364977301</v>
      </c>
      <c r="AA169" s="21">
        <f>EXP(-LN(2)/25)*AA168+(1-EXP(-LN(2)/25))/(LN(2)/25)*Calculateur!V169*Calculateur!X169*VLOOKUP('Données projet'!$B$9,Paramètres!$A$1:$I$89,3,0)*0.475*44/12</f>
        <v>0.2047254190915983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2.5598003555893283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356.02637444732096</v>
      </c>
      <c r="AO169" s="59">
        <f t="shared" si="144"/>
        <v>263.30053404008095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31.331003074509361</v>
      </c>
      <c r="AV169" s="21">
        <f>EXP(-LN(2)/25)*AV168+(1-EXP(-LN(2)/25))/(LN(2)/25)*Calculateur!AQ169*Calculateur!AS169*VLOOKUP('Données projet'!$B$10,Paramètres!$A$1:$I$89,3,0)*0.475*44/12</f>
        <v>7.4397055279592035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38.770708602468567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4.2632564145606011E-14</v>
      </c>
      <c r="BE169" s="13">
        <f>BD169*VLOOKUP('Données projet'!$B$11,Paramètres!$A$1:$I$89,3,0)*VLOOKUP('Données projet'!$B$11,Paramètres!$A$1:$I$89,5,0)</f>
        <v>4.3229420043644499E-14</v>
      </c>
      <c r="BF169" s="13">
        <f t="shared" si="167"/>
        <v>7.1602263387468399E-13</v>
      </c>
      <c r="BG169" s="20">
        <f t="shared" si="168"/>
        <v>1.3223639939077553E-12</v>
      </c>
      <c r="BH169" s="59">
        <f t="shared" si="116"/>
        <v>291.97830076594778</v>
      </c>
      <c r="BI169" s="59">
        <f ca="1">AVERAGE(OFFSET($BH$3,0,0,'Données projet'!$E$11+1,1))-AVERAGE(OFFSET($H$3,0,0,'Données projet'!$E$11+1,1))</f>
        <v>478.2340976873212</v>
      </c>
      <c r="BJ169" s="59">
        <f t="shared" si="146"/>
        <v>342.90128902463823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139.17572227583841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139.17572227583841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2.0572770154103635E-13</v>
      </c>
      <c r="CA169" s="13">
        <f t="shared" si="170"/>
        <v>2.8416956338469711E-12</v>
      </c>
      <c r="CB169" s="20">
        <f t="shared" si="171"/>
        <v>5.3075956424674458E-12</v>
      </c>
      <c r="CC169" s="59">
        <f t="shared" si="119"/>
        <v>291.97830076595176</v>
      </c>
      <c r="CD169" s="59">
        <f ca="1">AVERAGE(OFFSET($CC$3,0,0,'Données projet'!$E$12+1,1))-AVERAGE(OFFSET($H$3,0,0,'Données projet'!$E$12+1,1))</f>
        <v>471.03166569378629</v>
      </c>
      <c r="CE169" s="59">
        <f t="shared" si="148"/>
        <v>259.15709238853287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75.834546537557358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75.834546537557358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-4.5474735088646412E-13</v>
      </c>
      <c r="CU169" s="17">
        <f>CT169*VLOOKUP('Données projet'!$B$13,Paramètres!$A$1:$I$89,3,0)*VLOOKUP('Données projet'!$B$13,Paramètres!$A$1:$I$89,5,0)</f>
        <v>-2.1282176021486519E-13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364.67256251031029</v>
      </c>
      <c r="CZ169" s="59">
        <f t="shared" si="150"/>
        <v>347.4139588390766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61.676896284396989</v>
      </c>
      <c r="DG169" s="21">
        <f>EXP(-LN(2)/25)*DG168+(1-EXP(-LN(2)/25))/(LN(2)/25)*Calculateur!DB169*Calculateur!DD169*VLOOKUP('Données projet'!$B$13,Paramètres!$A$1:$I$89,3,0)*0.475*44/12</f>
        <v>15.527544688797706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77.204440973194693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69.630445663439943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1.35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4.95</v>
      </c>
      <c r="H170" s="67">
        <f t="shared" si="110"/>
        <v>236.86666666666665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51.998489924038495</v>
      </c>
      <c r="T170" s="59">
        <f t="shared" si="142"/>
        <v>206.32767973856241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2.3088933534468827</v>
      </c>
      <c r="AA170" s="21">
        <f>EXP(-LN(2)/25)*AA169+(1-EXP(-LN(2)/25))/(LN(2)/25)*Calculateur!V170*Calculateur!X170*VLOOKUP('Données projet'!$B$9,Paramètres!$A$1:$I$89,3,0)*0.475*44/12</f>
        <v>0.19912719174049667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2.5080205451873794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356.02637444732096</v>
      </c>
      <c r="AO170" s="59">
        <f t="shared" si="144"/>
        <v>263.30053404008095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30.716621214243151</v>
      </c>
      <c r="AV170" s="21">
        <f>EXP(-LN(2)/25)*AV169+(1-EXP(-LN(2)/25))/(LN(2)/25)*Calculateur!AQ170*Calculateur!AS170*VLOOKUP('Données projet'!$B$10,Paramètres!$A$1:$I$89,3,0)*0.475*44/12</f>
        <v>7.2362663890600487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37.952887603303196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4.2632564145606011E-14</v>
      </c>
      <c r="BE170" s="13">
        <f>BD170*VLOOKUP('Données projet'!$B$11,Paramètres!$A$1:$I$89,3,0)*VLOOKUP('Données projet'!$B$11,Paramètres!$A$1:$I$89,5,0)</f>
        <v>4.3229420043644499E-14</v>
      </c>
      <c r="BF170" s="13">
        <f t="shared" si="167"/>
        <v>7.1602263387468399E-13</v>
      </c>
      <c r="BG170" s="20">
        <f t="shared" si="168"/>
        <v>1.3223639939077553E-12</v>
      </c>
      <c r="BH170" s="59">
        <f t="shared" si="116"/>
        <v>292.00180755159295</v>
      </c>
      <c r="BI170" s="59">
        <f ca="1">AVERAGE(OFFSET($BH$3,0,0,'Données projet'!$E$11+1,1))-AVERAGE(OFFSET($H$3,0,0,'Données projet'!$E$11+1,1))</f>
        <v>478.2340976873212</v>
      </c>
      <c r="BJ170" s="59">
        <f t="shared" si="146"/>
        <v>342.90128902463823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136.44657125081773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136.44657125081773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2.0572770154103635E-13</v>
      </c>
      <c r="CA170" s="13">
        <f t="shared" si="170"/>
        <v>2.8416956338469711E-12</v>
      </c>
      <c r="CB170" s="20">
        <f t="shared" si="171"/>
        <v>5.3075956424674458E-12</v>
      </c>
      <c r="CC170" s="59">
        <f t="shared" si="119"/>
        <v>292.00180755159693</v>
      </c>
      <c r="CD170" s="59">
        <f ca="1">AVERAGE(OFFSET($CC$3,0,0,'Données projet'!$E$12+1,1))-AVERAGE(OFFSET($H$3,0,0,'Données projet'!$E$12+1,1))</f>
        <v>471.03166569378629</v>
      </c>
      <c r="CE170" s="59">
        <f t="shared" si="148"/>
        <v>259.15709238853287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74.347477334461999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74.347477334461999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-4.5474735088646412E-13</v>
      </c>
      <c r="CU170" s="17">
        <f>CT170*VLOOKUP('Données projet'!$B$13,Paramètres!$A$1:$I$89,3,0)*VLOOKUP('Données projet'!$B$13,Paramètres!$A$1:$I$89,5,0)</f>
        <v>-2.1282176021486519E-13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364.67256251031029</v>
      </c>
      <c r="CZ170" s="59">
        <f t="shared" si="150"/>
        <v>347.4139588390766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60.467449967452112</v>
      </c>
      <c r="DG170" s="21">
        <f>EXP(-LN(2)/25)*DG169+(1-EXP(-LN(2)/25))/(LN(2)/25)*Calculateur!DB170*Calculateur!DD170*VLOOKUP('Données projet'!$B$13,Paramètres!$A$1:$I$89,3,0)*0.475*44/12</f>
        <v>15.102943162724445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75.570393130176555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69.636856604979542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1.35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4.95</v>
      </c>
      <c r="H171" s="67">
        <f t="shared" si="110"/>
        <v>236.86666666666665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51.998489924038495</v>
      </c>
      <c r="T171" s="59">
        <f t="shared" si="142"/>
        <v>206.32767973856241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2.2636173630716785</v>
      </c>
      <c r="AA171" s="21">
        <f>EXP(-LN(2)/25)*AA170+(1-EXP(-LN(2)/25))/(LN(2)/25)*Calculateur!V171*Calculateur!X171*VLOOKUP('Données projet'!$B$9,Paramètres!$A$1:$I$89,3,0)*0.475*44/12</f>
        <v>0.19368204821070889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2.4572994112823876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356.02637444732096</v>
      </c>
      <c r="AO171" s="59">
        <f t="shared" si="144"/>
        <v>263.30053404008095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30.114287007520826</v>
      </c>
      <c r="AV171" s="21">
        <f>EXP(-LN(2)/25)*AV170+(1-EXP(-LN(2)/25))/(LN(2)/25)*Calculateur!AQ171*Calculateur!AS171*VLOOKUP('Données projet'!$B$10,Paramètres!$A$1:$I$89,3,0)*0.475*44/12</f>
        <v>7.0383903041124913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37.152677311633319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4.2632564145606011E-14</v>
      </c>
      <c r="BE171" s="13">
        <f>BD171*VLOOKUP('Données projet'!$B$11,Paramètres!$A$1:$I$89,3,0)*VLOOKUP('Données projet'!$B$11,Paramètres!$A$1:$I$89,5,0)</f>
        <v>4.3229420043644499E-14</v>
      </c>
      <c r="BF171" s="13">
        <f t="shared" si="167"/>
        <v>7.1602263387468399E-13</v>
      </c>
      <c r="BG171" s="20">
        <f t="shared" si="168"/>
        <v>1.3223639939077553E-12</v>
      </c>
      <c r="BH171" s="59">
        <f t="shared" si="116"/>
        <v>292.02490654706048</v>
      </c>
      <c r="BI171" s="59">
        <f ca="1">AVERAGE(OFFSET($BH$3,0,0,'Données projet'!$E$11+1,1))-AVERAGE(OFFSET($H$3,0,0,'Données projet'!$E$11+1,1))</f>
        <v>478.2340976873212</v>
      </c>
      <c r="BJ171" s="59">
        <f t="shared" si="146"/>
        <v>342.90128902463823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133.77093721277996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133.77093721277996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2.0572770154103635E-13</v>
      </c>
      <c r="CA171" s="13">
        <f t="shared" si="170"/>
        <v>2.8416956338469711E-12</v>
      </c>
      <c r="CB171" s="20">
        <f t="shared" si="171"/>
        <v>5.3075956424674458E-12</v>
      </c>
      <c r="CC171" s="59">
        <f t="shared" si="119"/>
        <v>292.02490654706446</v>
      </c>
      <c r="CD171" s="59">
        <f ca="1">AVERAGE(OFFSET($CC$3,0,0,'Données projet'!$E$12+1,1))-AVERAGE(OFFSET($H$3,0,0,'Données projet'!$E$12+1,1))</f>
        <v>471.03166569378629</v>
      </c>
      <c r="CE171" s="59">
        <f t="shared" si="148"/>
        <v>259.15709238853287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72.889568651416681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72.889568651416681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-4.5474735088646412E-13</v>
      </c>
      <c r="CU171" s="17">
        <f>CT171*VLOOKUP('Données projet'!$B$13,Paramètres!$A$1:$I$89,3,0)*VLOOKUP('Données projet'!$B$13,Paramètres!$A$1:$I$89,5,0)</f>
        <v>-2.1282176021486519E-13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364.67256251031029</v>
      </c>
      <c r="CZ171" s="59">
        <f t="shared" si="150"/>
        <v>347.4139588390766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59.281720155093112</v>
      </c>
      <c r="DG171" s="21">
        <f>EXP(-LN(2)/25)*DG170+(1-EXP(-LN(2)/25))/(LN(2)/25)*Calculateur!DB171*Calculateur!DD171*VLOOKUP('Données projet'!$B$13,Paramètres!$A$1:$I$89,3,0)*0.475*44/12</f>
        <v>14.689952387710482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73.971672542803589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69.643156331016144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1.35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4.95</v>
      </c>
      <c r="H172" s="67">
        <f t="shared" si="110"/>
        <v>236.86666666666665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51.998489924038495</v>
      </c>
      <c r="T172" s="59">
        <f t="shared" si="142"/>
        <v>206.32767973856241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2.2192292072521043</v>
      </c>
      <c r="AA172" s="21">
        <f>EXP(-LN(2)/25)*AA171+(1-EXP(-LN(2)/25))/(LN(2)/25)*Calculateur!V172*Calculateur!X172*VLOOKUP('Données projet'!$B$9,Paramètres!$A$1:$I$89,3,0)*0.475*44/12</f>
        <v>0.1883858024170908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2.4076150096691951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356.02637444732096</v>
      </c>
      <c r="AO172" s="59">
        <f t="shared" si="144"/>
        <v>263.30053404008095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29.523764207204739</v>
      </c>
      <c r="AV172" s="21">
        <f>EXP(-LN(2)/25)*AV171+(1-EXP(-LN(2)/25))/(LN(2)/25)*Calculateur!AQ172*Calculateur!AS172*VLOOKUP('Données projet'!$B$10,Paramètres!$A$1:$I$89,3,0)*0.475*44/12</f>
        <v>6.8459251511136756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36.369689358318411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4.2632564145606011E-14</v>
      </c>
      <c r="BE172" s="13">
        <f>BD172*VLOOKUP('Données projet'!$B$11,Paramètres!$A$1:$I$89,3,0)*VLOOKUP('Données projet'!$B$11,Paramètres!$A$1:$I$89,5,0)</f>
        <v>4.3229420043644499E-14</v>
      </c>
      <c r="BF172" s="13">
        <f t="shared" si="167"/>
        <v>7.1602263387468399E-13</v>
      </c>
      <c r="BG172" s="20">
        <f t="shared" si="168"/>
        <v>1.3223639939077553E-12</v>
      </c>
      <c r="BH172" s="59">
        <f t="shared" si="116"/>
        <v>292.04760482659822</v>
      </c>
      <c r="BI172" s="59">
        <f ca="1">AVERAGE(OFFSET($BH$3,0,0,'Données projet'!$E$11+1,1))-AVERAGE(OFFSET($H$3,0,0,'Données projet'!$E$11+1,1))</f>
        <v>478.2340976873212</v>
      </c>
      <c r="BJ172" s="59">
        <f t="shared" si="146"/>
        <v>342.90128902463823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131.14777072625247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131.14777072625247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2.0572770154103635E-13</v>
      </c>
      <c r="CA172" s="13">
        <f t="shared" si="170"/>
        <v>2.8416956338469711E-12</v>
      </c>
      <c r="CB172" s="20">
        <f t="shared" si="171"/>
        <v>5.3075956424674458E-12</v>
      </c>
      <c r="CC172" s="59">
        <f t="shared" si="119"/>
        <v>292.0476048266022</v>
      </c>
      <c r="CD172" s="59">
        <f ca="1">AVERAGE(OFFSET($CC$3,0,0,'Données projet'!$E$12+1,1))-AVERAGE(OFFSET($H$3,0,0,'Données projet'!$E$12+1,1))</f>
        <v>471.03166569378629</v>
      </c>
      <c r="CE172" s="59">
        <f t="shared" si="148"/>
        <v>259.15709238853287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71.460248668409392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71.460248668409392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-4.5474735088646412E-13</v>
      </c>
      <c r="CU172" s="17">
        <f>CT172*VLOOKUP('Données projet'!$B$13,Paramètres!$A$1:$I$89,3,0)*VLOOKUP('Données projet'!$B$13,Paramètres!$A$1:$I$89,5,0)</f>
        <v>-2.1282176021486519E-13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364.67256251031029</v>
      </c>
      <c r="CZ172" s="59">
        <f t="shared" si="150"/>
        <v>347.4139588390766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58.119241781130697</v>
      </c>
      <c r="DG172" s="21">
        <f>EXP(-LN(2)/25)*DG171+(1-EXP(-LN(2)/25))/(LN(2)/25)*Calculateur!DB172*Calculateur!DD172*VLOOKUP('Données projet'!$B$13,Paramètres!$A$1:$I$89,3,0)*0.475*44/12</f>
        <v>14.288254867157518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72.407496648288216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69.649346770890077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1.35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4.95</v>
      </c>
      <c r="H173" s="67">
        <f t="shared" si="110"/>
        <v>236.86666666666665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51.998489924038495</v>
      </c>
      <c r="T173" s="59">
        <f t="shared" si="142"/>
        <v>206.32767973856241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2.1757114760940506</v>
      </c>
      <c r="AA173" s="21">
        <f>EXP(-LN(2)/25)*AA172+(1-EXP(-LN(2)/25))/(LN(2)/25)*Calculateur!V173*Calculateur!X173*VLOOKUP('Données projet'!$B$9,Paramètres!$A$1:$I$89,3,0)*0.475*44/12</f>
        <v>0.18323438274321666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2.3589458588372674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356.02637444732096</v>
      </c>
      <c r="AO173" s="59">
        <f t="shared" si="144"/>
        <v>263.30053404008095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28.944821198819504</v>
      </c>
      <c r="AV173" s="21">
        <f>EXP(-LN(2)/25)*AV172+(1-EXP(-LN(2)/25))/(LN(2)/25)*Calculateur!AQ173*Calculateur!AS173*VLOOKUP('Données projet'!$B$10,Paramètres!$A$1:$I$89,3,0)*0.475*44/12</f>
        <v>6.6587229678449154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35.60354416666442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4.2632564145606011E-14</v>
      </c>
      <c r="BE173" s="13">
        <f>BD173*VLOOKUP('Données projet'!$B$11,Paramètres!$A$1:$I$89,3,0)*VLOOKUP('Données projet'!$B$11,Paramètres!$A$1:$I$89,5,0)</f>
        <v>4.3229420043644499E-14</v>
      </c>
      <c r="BF173" s="13">
        <f t="shared" si="167"/>
        <v>7.1602263387468399E-13</v>
      </c>
      <c r="BG173" s="20">
        <f t="shared" si="168"/>
        <v>1.3223639939077553E-12</v>
      </c>
      <c r="BH173" s="59">
        <f t="shared" si="116"/>
        <v>292.06990934173189</v>
      </c>
      <c r="BI173" s="59">
        <f ca="1">AVERAGE(OFFSET($BH$3,0,0,'Données projet'!$E$11+1,1))-AVERAGE(OFFSET($H$3,0,0,'Données projet'!$E$11+1,1))</f>
        <v>478.2340976873212</v>
      </c>
      <c r="BJ173" s="59">
        <f t="shared" si="146"/>
        <v>342.90128902463823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128.57604293455222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128.57604293455222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2.0572770154103635E-13</v>
      </c>
      <c r="CA173" s="13">
        <f t="shared" si="170"/>
        <v>2.8416956338469711E-12</v>
      </c>
      <c r="CB173" s="20">
        <f t="shared" si="171"/>
        <v>5.3075956424674458E-12</v>
      </c>
      <c r="CC173" s="59">
        <f t="shared" si="119"/>
        <v>292.06990934173587</v>
      </c>
      <c r="CD173" s="59">
        <f ca="1">AVERAGE(OFFSET($CC$3,0,0,'Données projet'!$E$12+1,1))-AVERAGE(OFFSET($H$3,0,0,'Données projet'!$E$12+1,1))</f>
        <v>471.03166569378629</v>
      </c>
      <c r="CE173" s="59">
        <f t="shared" si="148"/>
        <v>259.15709238853287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70.058956778469764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70.058956778469764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-4.5474735088646412E-13</v>
      </c>
      <c r="CU173" s="17">
        <f>CT173*VLOOKUP('Données projet'!$B$13,Paramètres!$A$1:$I$89,3,0)*VLOOKUP('Données projet'!$B$13,Paramètres!$A$1:$I$89,5,0)</f>
        <v>-2.1282176021486519E-13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364.67256251031029</v>
      </c>
      <c r="CZ173" s="59">
        <f t="shared" si="150"/>
        <v>347.4139588390766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56.979558899039887</v>
      </c>
      <c r="DG173" s="21">
        <f>EXP(-LN(2)/25)*DG172+(1-EXP(-LN(2)/25))/(LN(2)/25)*Calculateur!DB173*Calculateur!DD173*VLOOKUP('Données projet'!$B$13,Paramètres!$A$1:$I$89,3,0)*0.475*44/12</f>
        <v>13.897541786428429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70.877100685468321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69.655429820471966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1.35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4.95</v>
      </c>
      <c r="H174" s="67">
        <f t="shared" si="110"/>
        <v>236.86666666666665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51.998489924038495</v>
      </c>
      <c r="T174" s="59">
        <f t="shared" si="142"/>
        <v>206.32767973856241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2.1330471011008112</v>
      </c>
      <c r="AA174" s="21">
        <f>EXP(-LN(2)/25)*AA173+(1-EXP(-LN(2)/25))/(LN(2)/25)*Calculateur!V174*Calculateur!X174*VLOOKUP('Données projet'!$B$9,Paramètres!$A$1:$I$89,3,0)*0.475*44/12</f>
        <v>0.17822382891122598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2.3112709300120371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356.02637444732096</v>
      </c>
      <c r="AO174" s="59">
        <f t="shared" si="144"/>
        <v>263.30053404008095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28.377230909708338</v>
      </c>
      <c r="AV174" s="21">
        <f>EXP(-LN(2)/25)*AV173+(1-EXP(-LN(2)/25))/(LN(2)/25)*Calculateur!AQ174*Calculateur!AS174*VLOOKUP('Données projet'!$B$10,Paramètres!$A$1:$I$89,3,0)*0.475*44/12</f>
        <v>6.4766398381221739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34.853870747830513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4.2632564145606011E-14</v>
      </c>
      <c r="BE174" s="13">
        <f>BD174*VLOOKUP('Données projet'!$B$11,Paramètres!$A$1:$I$89,3,0)*VLOOKUP('Données projet'!$B$11,Paramètres!$A$1:$I$89,5,0)</f>
        <v>4.3229420043644499E-14</v>
      </c>
      <c r="BF174" s="13">
        <f t="shared" si="167"/>
        <v>7.1602263387468399E-13</v>
      </c>
      <c r="BG174" s="20">
        <f t="shared" si="168"/>
        <v>1.3223639939077553E-12</v>
      </c>
      <c r="BH174" s="59">
        <f t="shared" si="116"/>
        <v>292.09182692339323</v>
      </c>
      <c r="BI174" s="59">
        <f ca="1">AVERAGE(OFFSET($BH$3,0,0,'Données projet'!$E$11+1,1))-AVERAGE(OFFSET($H$3,0,0,'Données projet'!$E$11+1,1))</f>
        <v>478.2340976873212</v>
      </c>
      <c r="BJ174" s="59">
        <f t="shared" si="146"/>
        <v>342.90128902463823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126.05474515624815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126.05474515624815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2.0572770154103635E-13</v>
      </c>
      <c r="CA174" s="13">
        <f t="shared" si="170"/>
        <v>2.8416956338469711E-12</v>
      </c>
      <c r="CB174" s="20">
        <f t="shared" si="171"/>
        <v>5.3075956424674458E-12</v>
      </c>
      <c r="CC174" s="59">
        <f t="shared" si="119"/>
        <v>292.09182692339721</v>
      </c>
      <c r="CD174" s="59">
        <f ca="1">AVERAGE(OFFSET($CC$3,0,0,'Données projet'!$E$12+1,1))-AVERAGE(OFFSET($H$3,0,0,'Données projet'!$E$12+1,1))</f>
        <v>471.03166569378629</v>
      </c>
      <c r="CE174" s="59">
        <f t="shared" si="148"/>
        <v>259.15709238853287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68.6851433677882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68.6851433677882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-4.5474735088646412E-13</v>
      </c>
      <c r="CU174" s="17">
        <f>CT174*VLOOKUP('Données projet'!$B$13,Paramètres!$A$1:$I$89,3,0)*VLOOKUP('Données projet'!$B$13,Paramètres!$A$1:$I$89,5,0)</f>
        <v>-2.1282176021486519E-13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364.67256251031029</v>
      </c>
      <c r="CZ174" s="59">
        <f t="shared" si="150"/>
        <v>347.4139588390766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55.862224503128964</v>
      </c>
      <c r="DG174" s="21">
        <f>EXP(-LN(2)/25)*DG173+(1-EXP(-LN(2)/25))/(LN(2)/25)*Calculateur!DB174*Calculateur!DD174*VLOOKUP('Données projet'!$B$13,Paramètres!$A$1:$I$89,3,0)*0.475*44/12</f>
        <v>13.517512775438584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69.379737278567546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69.66140734274326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1.35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4.95</v>
      </c>
      <c r="H175" s="67">
        <f t="shared" si="110"/>
        <v>236.86666666666665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51.998489924038495</v>
      </c>
      <c r="T175" s="59">
        <f t="shared" si="142"/>
        <v>206.32767973856241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2.0912193484784898</v>
      </c>
      <c r="AA175" s="21">
        <f>EXP(-LN(2)/25)*AA174+(1-EXP(-LN(2)/25))/(LN(2)/25)*Calculateur!V175*Calculateur!X175*VLOOKUP('Données projet'!$B$9,Paramètres!$A$1:$I$89,3,0)*0.475*44/12</f>
        <v>0.17335028893726467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2.2645696374157547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356.02637444732096</v>
      </c>
      <c r="AO175" s="59">
        <f t="shared" si="144"/>
        <v>263.30053404008095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27.820770719970749</v>
      </c>
      <c r="AV175" s="21">
        <f>EXP(-LN(2)/25)*AV174+(1-EXP(-LN(2)/25))/(LN(2)/25)*Calculateur!AQ175*Calculateur!AS175*VLOOKUP('Données projet'!$B$10,Paramètres!$A$1:$I$89,3,0)*0.475*44/12</f>
        <v>6.2995357811570365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34.120306501127786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4.2632564145606011E-14</v>
      </c>
      <c r="BE175" s="13">
        <f>BD175*VLOOKUP('Données projet'!$B$11,Paramètres!$A$1:$I$89,3,0)*VLOOKUP('Données projet'!$B$11,Paramètres!$A$1:$I$89,5,0)</f>
        <v>4.3229420043644499E-14</v>
      </c>
      <c r="BF175" s="13">
        <f t="shared" si="167"/>
        <v>7.1602263387468399E-13</v>
      </c>
      <c r="BG175" s="20">
        <f t="shared" si="168"/>
        <v>1.3223639939077553E-12</v>
      </c>
      <c r="BH175" s="59">
        <f t="shared" si="116"/>
        <v>292.11336428401319</v>
      </c>
      <c r="BI175" s="59">
        <f ca="1">AVERAGE(OFFSET($BH$3,0,0,'Données projet'!$E$11+1,1))-AVERAGE(OFFSET($H$3,0,0,'Données projet'!$E$11+1,1))</f>
        <v>478.2340976873212</v>
      </c>
      <c r="BJ175" s="59">
        <f t="shared" si="146"/>
        <v>342.90128902463823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123.58288848953683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123.58288848953683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2.0572770154103635E-13</v>
      </c>
      <c r="CA175" s="13">
        <f t="shared" si="170"/>
        <v>2.8416956338469711E-12</v>
      </c>
      <c r="CB175" s="20">
        <f t="shared" si="171"/>
        <v>5.3075956424674458E-12</v>
      </c>
      <c r="CC175" s="59">
        <f t="shared" si="119"/>
        <v>292.11336428401717</v>
      </c>
      <c r="CD175" s="59">
        <f ca="1">AVERAGE(OFFSET($CC$3,0,0,'Données projet'!$E$12+1,1))-AVERAGE(OFFSET($H$3,0,0,'Données projet'!$E$12+1,1))</f>
        <v>471.03166569378629</v>
      </c>
      <c r="CE175" s="59">
        <f t="shared" si="148"/>
        <v>259.15709238853287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67.33826960014666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67.33826960014666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-4.5474735088646412E-13</v>
      </c>
      <c r="CU175" s="17">
        <f>CT175*VLOOKUP('Données projet'!$B$13,Paramètres!$A$1:$I$89,3,0)*VLOOKUP('Données projet'!$B$13,Paramètres!$A$1:$I$89,5,0)</f>
        <v>-2.1282176021486519E-13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364.67256251031029</v>
      </c>
      <c r="CZ175" s="59">
        <f t="shared" si="150"/>
        <v>347.4139588390766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54.76680035321516</v>
      </c>
      <c r="DG175" s="21">
        <f>EXP(-LN(2)/25)*DG174+(1-EXP(-LN(2)/25))/(LN(2)/25)*Calculateur!DB175*Calculateur!DD175*VLOOKUP('Données projet'!$B$13,Paramètres!$A$1:$I$89,3,0)*0.475*44/12</f>
        <v>13.147875677739114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67.914676030954269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69.667281168366884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1.35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4.95</v>
      </c>
      <c r="H176" s="67">
        <f t="shared" si="110"/>
        <v>236.86666666666665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51.998489924038495</v>
      </c>
      <c r="T176" s="59">
        <f t="shared" si="142"/>
        <v>206.32767973856241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2.050211812572682</v>
      </c>
      <c r="AA176" s="21">
        <f>EXP(-LN(2)/25)*AA175+(1-EXP(-LN(2)/25))/(LN(2)/25)*Calculateur!V176*Calculateur!X176*VLOOKUP('Données projet'!$B$9,Paramètres!$A$1:$I$89,3,0)*0.475*44/12</f>
        <v>0.16861001617017968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2.2188218287428616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356.02637444732096</v>
      </c>
      <c r="AO176" s="59">
        <f t="shared" si="144"/>
        <v>263.30053404008095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27.275222375146711</v>
      </c>
      <c r="AV176" s="21">
        <f>EXP(-LN(2)/25)*AV175+(1-EXP(-LN(2)/25))/(LN(2)/25)*Calculateur!AQ176*Calculateur!AS176*VLOOKUP('Données projet'!$B$10,Paramètres!$A$1:$I$89,3,0)*0.475*44/12</f>
        <v>6.1272746439431085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33.402497019089822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4.2632564145606011E-14</v>
      </c>
      <c r="BE176" s="13">
        <f>BD176*VLOOKUP('Données projet'!$B$11,Paramètres!$A$1:$I$89,3,0)*VLOOKUP('Données projet'!$B$11,Paramètres!$A$1:$I$89,5,0)</f>
        <v>4.3229420043644499E-14</v>
      </c>
      <c r="BF176" s="13">
        <f t="shared" si="167"/>
        <v>7.1602263387468399E-13</v>
      </c>
      <c r="BG176" s="20">
        <f t="shared" si="168"/>
        <v>1.3223639939077553E-12</v>
      </c>
      <c r="BH176" s="59">
        <f t="shared" si="116"/>
        <v>292.13452801957669</v>
      </c>
      <c r="BI176" s="59">
        <f ca="1">AVERAGE(OFFSET($BH$3,0,0,'Données projet'!$E$11+1,1))-AVERAGE(OFFSET($H$3,0,0,'Données projet'!$E$11+1,1))</f>
        <v>478.2340976873212</v>
      </c>
      <c r="BJ176" s="59">
        <f t="shared" si="146"/>
        <v>342.90128902463823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121.15950342437601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121.15950342437601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2.0572770154103635E-13</v>
      </c>
      <c r="CA176" s="13">
        <f t="shared" si="170"/>
        <v>2.8416956338469711E-12</v>
      </c>
      <c r="CB176" s="20">
        <f t="shared" si="171"/>
        <v>5.3075956424674458E-12</v>
      </c>
      <c r="CC176" s="59">
        <f t="shared" si="119"/>
        <v>292.13452801958067</v>
      </c>
      <c r="CD176" s="59">
        <f ca="1">AVERAGE(OFFSET($CC$3,0,0,'Données projet'!$E$12+1,1))-AVERAGE(OFFSET($H$3,0,0,'Données projet'!$E$12+1,1))</f>
        <v>471.03166569378629</v>
      </c>
      <c r="CE176" s="59">
        <f t="shared" si="148"/>
        <v>259.15709238853287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66.017807205576688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66.017807205576688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-4.5474735088646412E-13</v>
      </c>
      <c r="CU176" s="17">
        <f>CT176*VLOOKUP('Données projet'!$B$13,Paramètres!$A$1:$I$89,3,0)*VLOOKUP('Données projet'!$B$13,Paramètres!$A$1:$I$89,5,0)</f>
        <v>-2.1282176021486519E-13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364.67256251031029</v>
      </c>
      <c r="CZ176" s="59">
        <f t="shared" si="150"/>
        <v>347.4139588390766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53.692856802738412</v>
      </c>
      <c r="DG176" s="21">
        <f>EXP(-LN(2)/25)*DG175+(1-EXP(-LN(2)/25))/(LN(2)/25)*Calculateur!DB176*Calculateur!DD176*VLOOKUP('Données projet'!$B$13,Paramètres!$A$1:$I$89,3,0)*0.475*44/12</f>
        <v>12.788346325914606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66.481203128653021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69.673053096247841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1.35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4.95</v>
      </c>
      <c r="H177" s="67">
        <f t="shared" si="110"/>
        <v>236.86666666666665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51.998489924038495</v>
      </c>
      <c r="T177" s="59">
        <f t="shared" si="142"/>
        <v>206.32767973856241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2.0100084094338602</v>
      </c>
      <c r="AA177" s="21">
        <f>EXP(-LN(2)/25)*AA176+(1-EXP(-LN(2)/25))/(LN(2)/25)*Calculateur!V177*Calculateur!X177*VLOOKUP('Données projet'!$B$9,Paramètres!$A$1:$I$89,3,0)*0.475*44/12</f>
        <v>0.16399936641119073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2.1740077758450509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356.02637444732096</v>
      </c>
      <c r="AO177" s="59">
        <f t="shared" si="144"/>
        <v>263.30053404008095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26.740371900613042</v>
      </c>
      <c r="AV177" s="21">
        <f>EXP(-LN(2)/25)*AV176+(1-EXP(-LN(2)/25))/(LN(2)/25)*Calculateur!AQ177*Calculateur!AS177*VLOOKUP('Données projet'!$B$10,Paramètres!$A$1:$I$89,3,0)*0.475*44/12</f>
        <v>5.9597239965851143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32.700095897198153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4.2632564145606011E-14</v>
      </c>
      <c r="BE177" s="13">
        <f>BD177*VLOOKUP('Données projet'!$B$11,Paramètres!$A$1:$I$89,3,0)*VLOOKUP('Données projet'!$B$11,Paramètres!$A$1:$I$89,5,0)</f>
        <v>4.3229420043644499E-14</v>
      </c>
      <c r="BF177" s="13">
        <f t="shared" si="167"/>
        <v>7.1602263387468399E-13</v>
      </c>
      <c r="BG177" s="20">
        <f t="shared" si="168"/>
        <v>1.3223639939077553E-12</v>
      </c>
      <c r="BH177" s="59">
        <f t="shared" si="116"/>
        <v>292.15532461164327</v>
      </c>
      <c r="BI177" s="59">
        <f ca="1">AVERAGE(OFFSET($BH$3,0,0,'Données projet'!$E$11+1,1))-AVERAGE(OFFSET($H$3,0,0,'Données projet'!$E$11+1,1))</f>
        <v>478.2340976873212</v>
      </c>
      <c r="BJ177" s="59">
        <f t="shared" si="146"/>
        <v>342.90128902463823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118.78363946222407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118.78363946222407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2.0572770154103635E-13</v>
      </c>
      <c r="CA177" s="13">
        <f t="shared" si="170"/>
        <v>2.8416956338469711E-12</v>
      </c>
      <c r="CB177" s="20">
        <f t="shared" si="171"/>
        <v>5.3075956424674458E-12</v>
      </c>
      <c r="CC177" s="59">
        <f t="shared" si="119"/>
        <v>292.15532461164725</v>
      </c>
      <c r="CD177" s="59">
        <f ca="1">AVERAGE(OFFSET($CC$3,0,0,'Données projet'!$E$12+1,1))-AVERAGE(OFFSET($H$3,0,0,'Données projet'!$E$12+1,1))</f>
        <v>471.03166569378629</v>
      </c>
      <c r="CE177" s="59">
        <f t="shared" si="148"/>
        <v>259.15709238853287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64.723238273161698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64.723238273161698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-4.5474735088646412E-13</v>
      </c>
      <c r="CU177" s="17">
        <f>CT177*VLOOKUP('Données projet'!$B$13,Paramètres!$A$1:$I$89,3,0)*VLOOKUP('Données projet'!$B$13,Paramètres!$A$1:$I$89,5,0)</f>
        <v>-2.1282176021486519E-13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364.67256251031029</v>
      </c>
      <c r="CZ177" s="59">
        <f t="shared" si="150"/>
        <v>347.4139588390766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52.639972630245623</v>
      </c>
      <c r="DG177" s="21">
        <f>EXP(-LN(2)/25)*DG176+(1-EXP(-LN(2)/25))/(LN(2)/25)*Calculateur!DB177*Calculateur!DD177*VLOOKUP('Données projet'!$B$13,Paramètres!$A$1:$I$89,3,0)*0.475*44/12</f>
        <v>12.438648323122566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65.078620953368187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69.678724894084169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1.35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4.95</v>
      </c>
      <c r="H178" s="67">
        <f t="shared" si="110"/>
        <v>236.86666666666665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51.998489924038495</v>
      </c>
      <c r="T178" s="59">
        <f t="shared" si="142"/>
        <v>206.32767973856241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1.970593370508936</v>
      </c>
      <c r="AA178" s="21">
        <f>EXP(-LN(2)/25)*AA177+(1-EXP(-LN(2)/25))/(LN(2)/25)*Calculateur!V178*Calculateur!X178*VLOOKUP('Données projet'!$B$9,Paramètres!$A$1:$I$89,3,0)*0.475*44/12</f>
        <v>0.15951479511232486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2.130108165621261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356.02637444732096</v>
      </c>
      <c r="AO178" s="59">
        <f t="shared" si="144"/>
        <v>263.30053404008095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26.216009517658399</v>
      </c>
      <c r="AV178" s="21">
        <f>EXP(-LN(2)/25)*AV177+(1-EXP(-LN(2)/25))/(LN(2)/25)*Calculateur!AQ178*Calculateur!AS178*VLOOKUP('Données projet'!$B$10,Paramètres!$A$1:$I$89,3,0)*0.475*44/12</f>
        <v>5.7967550304902309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32.012764548148631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4.2632564145606011E-14</v>
      </c>
      <c r="BE178" s="13">
        <f>BD178*VLOOKUP('Données projet'!$B$11,Paramètres!$A$1:$I$89,3,0)*VLOOKUP('Données projet'!$B$11,Paramètres!$A$1:$I$89,5,0)</f>
        <v>4.3229420043644499E-14</v>
      </c>
      <c r="BF178" s="13">
        <f t="shared" si="167"/>
        <v>7.1602263387468399E-13</v>
      </c>
      <c r="BG178" s="20">
        <f t="shared" si="168"/>
        <v>1.3223639939077553E-12</v>
      </c>
      <c r="BH178" s="59">
        <f t="shared" si="116"/>
        <v>292.17576042933166</v>
      </c>
      <c r="BI178" s="59">
        <f ca="1">AVERAGE(OFFSET($BH$3,0,0,'Données projet'!$E$11+1,1))-AVERAGE(OFFSET($H$3,0,0,'Données projet'!$E$11+1,1))</f>
        <v>478.2340976873212</v>
      </c>
      <c r="BJ178" s="59">
        <f t="shared" si="146"/>
        <v>342.90128902463823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116.454364743236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116.454364743236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2.0572770154103635E-13</v>
      </c>
      <c r="CA178" s="13">
        <f t="shared" si="170"/>
        <v>2.8416956338469711E-12</v>
      </c>
      <c r="CB178" s="20">
        <f t="shared" si="171"/>
        <v>5.3075956424674458E-12</v>
      </c>
      <c r="CC178" s="59">
        <f t="shared" si="119"/>
        <v>292.17576042933564</v>
      </c>
      <c r="CD178" s="59">
        <f ca="1">AVERAGE(OFFSET($CC$3,0,0,'Données projet'!$E$12+1,1))-AVERAGE(OFFSET($H$3,0,0,'Données projet'!$E$12+1,1))</f>
        <v>471.03166569378629</v>
      </c>
      <c r="CE178" s="59">
        <f t="shared" si="148"/>
        <v>259.15709238853287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63.454055047902287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63.454055047902287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-4.5474735088646412E-13</v>
      </c>
      <c r="CU178" s="17">
        <f>CT178*VLOOKUP('Données projet'!$B$13,Paramètres!$A$1:$I$89,3,0)*VLOOKUP('Données projet'!$B$13,Paramètres!$A$1:$I$89,5,0)</f>
        <v>-2.1282176021486519E-13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364.67256251031029</v>
      </c>
      <c r="CZ178" s="59">
        <f t="shared" si="150"/>
        <v>347.4139588390766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51.607734874179485</v>
      </c>
      <c r="DG178" s="21">
        <f>EXP(-LN(2)/25)*DG177+(1-EXP(-LN(2)/25))/(LN(2)/25)*Calculateur!DB178*Calculateur!DD178*VLOOKUP('Données projet'!$B$13,Paramètres!$A$1:$I$89,3,0)*0.475*44/12</f>
        <v>12.098512830606692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63.706247704786179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69.684298298908274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1.35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4.95</v>
      </c>
      <c r="H179" s="67">
        <f t="shared" si="110"/>
        <v>236.86666666666665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51.998489924038495</v>
      </c>
      <c r="T179" s="59">
        <f t="shared" si="142"/>
        <v>206.32767973856241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1.9319512364565297</v>
      </c>
      <c r="AA179" s="21">
        <f>EXP(-LN(2)/25)*AA178+(1-EXP(-LN(2)/25))/(LN(2)/25)*Calculateur!V179*Calculateur!X179*VLOOKUP('Données projet'!$B$9,Paramètres!$A$1:$I$89,3,0)*0.475*44/12</f>
        <v>0.15515285465145984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2.0871040911079897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356.02637444732096</v>
      </c>
      <c r="AO179" s="59">
        <f t="shared" si="144"/>
        <v>263.30053404008095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25.701929561204025</v>
      </c>
      <c r="AV179" s="21">
        <f>EXP(-LN(2)/25)*AV178+(1-EXP(-LN(2)/25))/(LN(2)/25)*Calculateur!AQ179*Calculateur!AS179*VLOOKUP('Données projet'!$B$10,Paramètres!$A$1:$I$89,3,0)*0.475*44/12</f>
        <v>5.6382424593433775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31.340172020547403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4.2632564145606011E-14</v>
      </c>
      <c r="BE179" s="13">
        <f>BD179*VLOOKUP('Données projet'!$B$11,Paramètres!$A$1:$I$89,3,0)*VLOOKUP('Données projet'!$B$11,Paramètres!$A$1:$I$89,5,0)</f>
        <v>4.3229420043644499E-14</v>
      </c>
      <c r="BF179" s="13">
        <f t="shared" si="167"/>
        <v>7.1602263387468399E-13</v>
      </c>
      <c r="BG179" s="20">
        <f t="shared" si="168"/>
        <v>1.3223639939077553E-12</v>
      </c>
      <c r="BH179" s="59">
        <f t="shared" si="116"/>
        <v>292.19584173127078</v>
      </c>
      <c r="BI179" s="59">
        <f ca="1">AVERAGE(OFFSET($BH$3,0,0,'Données projet'!$E$11+1,1))-AVERAGE(OFFSET($H$3,0,0,'Données projet'!$E$11+1,1))</f>
        <v>478.2340976873212</v>
      </c>
      <c r="BJ179" s="59">
        <f t="shared" si="146"/>
        <v>342.90128902463823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114.17076568076999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114.17076568076999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2.0572770154103635E-13</v>
      </c>
      <c r="CA179" s="13">
        <f t="shared" si="170"/>
        <v>2.8416956338469711E-12</v>
      </c>
      <c r="CB179" s="20">
        <f t="shared" si="171"/>
        <v>5.3075956424674458E-12</v>
      </c>
      <c r="CC179" s="59">
        <f t="shared" si="119"/>
        <v>292.19584173127475</v>
      </c>
      <c r="CD179" s="59">
        <f ca="1">AVERAGE(OFFSET($CC$3,0,0,'Données projet'!$E$12+1,1))-AVERAGE(OFFSET($H$3,0,0,'Données projet'!$E$12+1,1))</f>
        <v>471.03166569378629</v>
      </c>
      <c r="CE179" s="59">
        <f t="shared" si="148"/>
        <v>259.15709238853287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62.209759731564887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62.209759731564887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-4.5474735088646412E-13</v>
      </c>
      <c r="CU179" s="17">
        <f>CT179*VLOOKUP('Données projet'!$B$13,Paramètres!$A$1:$I$89,3,0)*VLOOKUP('Données projet'!$B$13,Paramètres!$A$1:$I$89,5,0)</f>
        <v>-2.1282176021486519E-13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364.67256251031029</v>
      </c>
      <c r="CZ179" s="59">
        <f t="shared" si="150"/>
        <v>347.4139588390766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50.59573867090694</v>
      </c>
      <c r="DG179" s="21">
        <f>EXP(-LN(2)/25)*DG178+(1-EXP(-LN(2)/25))/(LN(2)/25)*Calculateur!DB179*Calculateur!DD179*VLOOKUP('Données projet'!$B$13,Paramètres!$A$1:$I$89,3,0)*0.475*44/12</f>
        <v>11.767678361020614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62.363417031927554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69.689775017618956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1.35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4.95</v>
      </c>
      <c r="H180" s="67">
        <f t="shared" si="110"/>
        <v>236.86666666666665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51.998489924038495</v>
      </c>
      <c r="T180" s="59">
        <f t="shared" si="142"/>
        <v>206.32767973856241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1.8940668510835166</v>
      </c>
      <c r="AA180" s="21">
        <f>EXP(-LN(2)/25)*AA179+(1-EXP(-LN(2)/25))/(LN(2)/25)*Calculateur!V180*Calculateur!X180*VLOOKUP('Données projet'!$B$9,Paramètres!$A$1:$I$89,3,0)*0.475*44/12</f>
        <v>0.15091019168188166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2.0449770427653982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356.02637444732096</v>
      </c>
      <c r="AO180" s="59">
        <f t="shared" si="144"/>
        <v>263.30053404008095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25.19793039913791</v>
      </c>
      <c r="AV180" s="21">
        <f>EXP(-LN(2)/25)*AV179+(1-EXP(-LN(2)/25))/(LN(2)/25)*Calculateur!AQ180*Calculateur!AS180*VLOOKUP('Données projet'!$B$10,Paramètres!$A$1:$I$89,3,0)*0.475*44/12</f>
        <v>5.4840644227903486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30.681994821928257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4.2632564145606011E-14</v>
      </c>
      <c r="BE180" s="13">
        <f>BD180*VLOOKUP('Données projet'!$B$11,Paramètres!$A$1:$I$89,3,0)*VLOOKUP('Données projet'!$B$11,Paramètres!$A$1:$I$89,5,0)</f>
        <v>4.3229420043644499E-14</v>
      </c>
      <c r="BF180" s="13">
        <f t="shared" si="167"/>
        <v>7.1602263387468399E-13</v>
      </c>
      <c r="BG180" s="20">
        <f t="shared" si="168"/>
        <v>1.3223639939077553E-12</v>
      </c>
      <c r="BH180" s="59">
        <f t="shared" si="116"/>
        <v>292.21557466751642</v>
      </c>
      <c r="BI180" s="59">
        <f ca="1">AVERAGE(OFFSET($BH$3,0,0,'Données projet'!$E$11+1,1))-AVERAGE(OFFSET($H$3,0,0,'Données projet'!$E$11+1,1))</f>
        <v>478.2340976873212</v>
      </c>
      <c r="BJ180" s="59">
        <f t="shared" si="146"/>
        <v>342.90128902463823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111.93194660306105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111.93194660306105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2.0572770154103635E-13</v>
      </c>
      <c r="CA180" s="13">
        <f t="shared" si="170"/>
        <v>2.8416956338469711E-12</v>
      </c>
      <c r="CB180" s="20">
        <f t="shared" si="171"/>
        <v>5.3075956424674458E-12</v>
      </c>
      <c r="CC180" s="59">
        <f t="shared" si="119"/>
        <v>292.2155746675204</v>
      </c>
      <c r="CD180" s="59">
        <f ca="1">AVERAGE(OFFSET($CC$3,0,0,'Données projet'!$E$12+1,1))-AVERAGE(OFFSET($H$3,0,0,'Données projet'!$E$12+1,1))</f>
        <v>471.03166569378629</v>
      </c>
      <c r="CE180" s="59">
        <f t="shared" si="148"/>
        <v>259.15709238853287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60.989864287435658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60.989864287435658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-4.5474735088646412E-13</v>
      </c>
      <c r="CU180" s="17">
        <f>CT180*VLOOKUP('Données projet'!$B$13,Paramètres!$A$1:$I$89,3,0)*VLOOKUP('Données projet'!$B$13,Paramètres!$A$1:$I$89,5,0)</f>
        <v>-2.1282176021486519E-13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364.67256251031029</v>
      </c>
      <c r="CZ180" s="59">
        <f t="shared" si="150"/>
        <v>347.4139588390766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49.603587095923835</v>
      </c>
      <c r="DG180" s="21">
        <f>EXP(-LN(2)/25)*DG179+(1-EXP(-LN(2)/25))/(LN(2)/25)*Calculateur!DB180*Calculateur!DD180*VLOOKUP('Données projet'!$B$13,Paramètres!$A$1:$I$89,3,0)*0.475*44/12</f>
        <v>11.445890577403196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61.049477673327033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69.695156727504113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1.35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4.95</v>
      </c>
      <c r="H181" s="67">
        <f t="shared" si="110"/>
        <v>236.86666666666665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51.998489924038495</v>
      </c>
      <c r="T181" s="59">
        <f t="shared" si="142"/>
        <v>206.32767973856241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1.8569253554004748</v>
      </c>
      <c r="AA181" s="21">
        <f>EXP(-LN(2)/25)*AA180+(1-EXP(-LN(2)/25))/(LN(2)/25)*Calculateur!V181*Calculateur!X181*VLOOKUP('Données projet'!$B$9,Paramètres!$A$1:$I$89,3,0)*0.475*44/12</f>
        <v>0.14678354455431852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2.0037088999547934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356.02637444732096</v>
      </c>
      <c r="AO181" s="59">
        <f t="shared" si="144"/>
        <v>263.30053404008095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24.703814353230776</v>
      </c>
      <c r="AV181" s="21">
        <f>EXP(-LN(2)/25)*AV180+(1-EXP(-LN(2)/25))/(LN(2)/25)*Calculateur!AQ181*Calculateur!AS181*VLOOKUP('Données projet'!$B$10,Paramètres!$A$1:$I$89,3,0)*0.475*44/12</f>
        <v>5.3341023927547324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30.037916745985509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4.2632564145606011E-14</v>
      </c>
      <c r="BE181" s="13">
        <f>BD181*VLOOKUP('Données projet'!$B$11,Paramètres!$A$1:$I$89,3,0)*VLOOKUP('Données projet'!$B$11,Paramètres!$A$1:$I$89,5,0)</f>
        <v>4.3229420043644499E-14</v>
      </c>
      <c r="BF181" s="13">
        <f t="shared" si="167"/>
        <v>7.1602263387468399E-13</v>
      </c>
      <c r="BG181" s="20">
        <f t="shared" si="168"/>
        <v>1.3223639939077553E-12</v>
      </c>
      <c r="BH181" s="59">
        <f t="shared" si="116"/>
        <v>292.23496528143426</v>
      </c>
      <c r="BI181" s="59">
        <f ca="1">AVERAGE(OFFSET($BH$3,0,0,'Données projet'!$E$11+1,1))-AVERAGE(OFFSET($H$3,0,0,'Données projet'!$E$11+1,1))</f>
        <v>478.2340976873212</v>
      </c>
      <c r="BJ181" s="59">
        <f t="shared" si="146"/>
        <v>342.90128902463823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109.73702940192118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109.73702940192118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2.0572770154103635E-13</v>
      </c>
      <c r="CA181" s="13">
        <f t="shared" si="170"/>
        <v>2.8416956338469711E-12</v>
      </c>
      <c r="CB181" s="20">
        <f t="shared" si="171"/>
        <v>5.3075956424674458E-12</v>
      </c>
      <c r="CC181" s="59">
        <f t="shared" si="119"/>
        <v>292.23496528143824</v>
      </c>
      <c r="CD181" s="59">
        <f ca="1">AVERAGE(OFFSET($CC$3,0,0,'Données projet'!$E$12+1,1))-AVERAGE(OFFSET($H$3,0,0,'Données projet'!$E$12+1,1))</f>
        <v>471.03166569378629</v>
      </c>
      <c r="CE181" s="59">
        <f t="shared" si="148"/>
        <v>259.15709238853287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59.793890248903054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59.793890248903054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-4.5474735088646412E-13</v>
      </c>
      <c r="CU181" s="17">
        <f>CT181*VLOOKUP('Données projet'!$B$13,Paramètres!$A$1:$I$89,3,0)*VLOOKUP('Données projet'!$B$13,Paramètres!$A$1:$I$89,5,0)</f>
        <v>-2.1282176021486519E-13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364.67256251031029</v>
      </c>
      <c r="CZ181" s="59">
        <f t="shared" si="150"/>
        <v>347.4139588390766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48.630891008173442</v>
      </c>
      <c r="DG181" s="21">
        <f>EXP(-LN(2)/25)*DG180+(1-EXP(-LN(2)/25))/(LN(2)/25)*Calculateur!DB181*Calculateur!DD181*VLOOKUP('Données projet'!$B$13,Paramètres!$A$1:$I$89,3,0)*0.475*44/12</f>
        <v>11.132902097650881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59.76379310582432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69.700445076754448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1.35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4.95</v>
      </c>
      <c r="H182" s="67">
        <f t="shared" si="110"/>
        <v>236.86666666666665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51.998489924038495</v>
      </c>
      <c r="T182" s="59">
        <f t="shared" si="142"/>
        <v>206.32767973856241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1.820512181793702</v>
      </c>
      <c r="AA182" s="21">
        <f>EXP(-LN(2)/25)*AA181+(1-EXP(-LN(2)/25))/(LN(2)/25)*Calculateur!V182*Calculateur!X182*VLOOKUP('Données projet'!$B$9,Paramètres!$A$1:$I$89,3,0)*0.475*44/12</f>
        <v>0.14276974080946955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1.9632819226031715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356.02637444732096</v>
      </c>
      <c r="AO182" s="59">
        <f t="shared" si="144"/>
        <v>263.30053404008095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24.219387621602849</v>
      </c>
      <c r="AV182" s="21">
        <f>EXP(-LN(2)/25)*AV181+(1-EXP(-LN(2)/25))/(LN(2)/25)*Calculateur!AQ182*Calculateur!AS182*VLOOKUP('Données projet'!$B$10,Paramètres!$A$1:$I$89,3,0)*0.475*44/12</f>
        <v>5.1882410823166003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29.40762870391945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4.2632564145606011E-14</v>
      </c>
      <c r="BE182" s="13">
        <f>BD182*VLOOKUP('Données projet'!$B$11,Paramètres!$A$1:$I$89,3,0)*VLOOKUP('Données projet'!$B$11,Paramètres!$A$1:$I$89,5,0)</f>
        <v>4.3229420043644499E-14</v>
      </c>
      <c r="BF182" s="13">
        <f t="shared" si="167"/>
        <v>7.1602263387468399E-13</v>
      </c>
      <c r="BG182" s="20">
        <f t="shared" si="168"/>
        <v>1.3223639939077553E-12</v>
      </c>
      <c r="BH182" s="59">
        <f t="shared" si="116"/>
        <v>292.25401951155169</v>
      </c>
      <c r="BI182" s="59">
        <f ca="1">AVERAGE(OFFSET($BH$3,0,0,'Données projet'!$E$11+1,1))-AVERAGE(OFFSET($H$3,0,0,'Données projet'!$E$11+1,1))</f>
        <v>478.2340976873212</v>
      </c>
      <c r="BJ182" s="59">
        <f t="shared" si="146"/>
        <v>342.90128902463823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107.58515318832835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107.58515318832835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2.0572770154103635E-13</v>
      </c>
      <c r="CA182" s="13">
        <f t="shared" si="170"/>
        <v>2.8416956338469711E-12</v>
      </c>
      <c r="CB182" s="20">
        <f t="shared" si="171"/>
        <v>5.3075956424674458E-12</v>
      </c>
      <c r="CC182" s="59">
        <f t="shared" si="119"/>
        <v>292.25401951155567</v>
      </c>
      <c r="CD182" s="59">
        <f ca="1">AVERAGE(OFFSET($CC$3,0,0,'Données projet'!$E$12+1,1))-AVERAGE(OFFSET($H$3,0,0,'Données projet'!$E$12+1,1))</f>
        <v>471.03166569378629</v>
      </c>
      <c r="CE182" s="59">
        <f t="shared" si="148"/>
        <v>259.15709238853287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58.621368531793934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58.621368531793934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-4.5474735088646412E-13</v>
      </c>
      <c r="CU182" s="17">
        <f>CT182*VLOOKUP('Données projet'!$B$13,Paramètres!$A$1:$I$89,3,0)*VLOOKUP('Données projet'!$B$13,Paramètres!$A$1:$I$89,5,0)</f>
        <v>-2.1282176021486519E-13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364.67256251031029</v>
      </c>
      <c r="CZ182" s="59">
        <f t="shared" si="150"/>
        <v>347.4139588390766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47.677268897417804</v>
      </c>
      <c r="DG182" s="21">
        <f>EXP(-LN(2)/25)*DG181+(1-EXP(-LN(2)/25))/(LN(2)/25)*Calculateur!DB182*Calculateur!DD182*VLOOKUP('Données projet'!$B$13,Paramètres!$A$1:$I$89,3,0)*0.475*44/12</f>
        <v>10.82847230433674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58.505741201754546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69.705641684968285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1.35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4.95</v>
      </c>
      <c r="H183" s="67">
        <f t="shared" si="110"/>
        <v>236.86666666666665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51.998489924038495</v>
      </c>
      <c r="T183" s="59">
        <f t="shared" si="142"/>
        <v>206.32767973856241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1.7848130483115152</v>
      </c>
      <c r="AA183" s="21">
        <f>EXP(-LN(2)/25)*AA182+(1-EXP(-LN(2)/25))/(LN(2)/25)*Calculateur!V183*Calculateur!X183*VLOOKUP('Données projet'!$B$9,Paramètres!$A$1:$I$89,3,0)*0.475*44/12</f>
        <v>0.13886569473910024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1.9236787430506155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356.02637444732096</v>
      </c>
      <c r="AO183" s="59">
        <f t="shared" si="144"/>
        <v>263.30053404008095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23.744460202711014</v>
      </c>
      <c r="AV183" s="21">
        <f>EXP(-LN(2)/25)*AV182+(1-EXP(-LN(2)/25))/(LN(2)/25)*Calculateur!AQ183*Calculateur!AS183*VLOOKUP('Données projet'!$B$10,Paramètres!$A$1:$I$89,3,0)*0.475*44/12</f>
        <v>5.0463683570829119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28.790828559793926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4.2632564145606011E-14</v>
      </c>
      <c r="BE183" s="13">
        <f>BD183*VLOOKUP('Données projet'!$B$11,Paramètres!$A$1:$I$89,3,0)*VLOOKUP('Données projet'!$B$11,Paramètres!$A$1:$I$89,5,0)</f>
        <v>4.3229420043644499E-14</v>
      </c>
      <c r="BF183" s="13">
        <f t="shared" si="167"/>
        <v>7.1602263387468399E-13</v>
      </c>
      <c r="BG183" s="20">
        <f t="shared" si="168"/>
        <v>1.3223639939077553E-12</v>
      </c>
      <c r="BH183" s="59">
        <f t="shared" si="116"/>
        <v>292.27274319337539</v>
      </c>
      <c r="BI183" s="59">
        <f ca="1">AVERAGE(OFFSET($BH$3,0,0,'Données projet'!$E$11+1,1))-AVERAGE(OFFSET($H$3,0,0,'Données projet'!$E$11+1,1))</f>
        <v>478.2340976873212</v>
      </c>
      <c r="BJ183" s="59">
        <f t="shared" si="146"/>
        <v>342.90128902463823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105.47547395476919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105.47547395476919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2.0572770154103635E-13</v>
      </c>
      <c r="CA183" s="13">
        <f t="shared" si="170"/>
        <v>2.8416956338469711E-12</v>
      </c>
      <c r="CB183" s="20">
        <f t="shared" si="171"/>
        <v>5.3075956424674458E-12</v>
      </c>
      <c r="CC183" s="59">
        <f t="shared" si="119"/>
        <v>292.27274319337937</v>
      </c>
      <c r="CD183" s="59">
        <f ca="1">AVERAGE(OFFSET($CC$3,0,0,'Données projet'!$E$12+1,1))-AVERAGE(OFFSET($H$3,0,0,'Données projet'!$E$12+1,1))</f>
        <v>471.03166569378629</v>
      </c>
      <c r="CE183" s="59">
        <f t="shared" si="148"/>
        <v>259.15709238853287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57.471839250389699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57.471839250389699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-4.5474735088646412E-13</v>
      </c>
      <c r="CU183" s="17">
        <f>CT183*VLOOKUP('Données projet'!$B$13,Paramètres!$A$1:$I$89,3,0)*VLOOKUP('Données projet'!$B$13,Paramètres!$A$1:$I$89,5,0)</f>
        <v>-2.1282176021486519E-13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364.67256251031029</v>
      </c>
      <c r="CZ183" s="59">
        <f t="shared" si="150"/>
        <v>347.4139588390766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46.74234673460203</v>
      </c>
      <c r="DG183" s="21">
        <f>EXP(-LN(2)/25)*DG182+(1-EXP(-LN(2)/25))/(LN(2)/25)*Calculateur!DB183*Calculateur!DD183*VLOOKUP('Données projet'!$B$13,Paramètres!$A$1:$I$89,3,0)*0.475*44/12</f>
        <v>10.532367159730043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57.274713894332073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69.710748143647479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1.35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4.95</v>
      </c>
      <c r="H184" s="67">
        <f t="shared" si="110"/>
        <v>236.86666666666665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51.998489924038495</v>
      </c>
      <c r="T184" s="59">
        <f t="shared" si="142"/>
        <v>206.32767973856241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1.7498139530625927</v>
      </c>
      <c r="AA184" s="21">
        <f>EXP(-LN(2)/25)*AA183+(1-EXP(-LN(2)/25))/(LN(2)/25)*Calculateur!V184*Calculateur!X184*VLOOKUP('Données projet'!$B$9,Paramètres!$A$1:$I$89,3,0)*0.475*44/12</f>
        <v>0.13506840501383002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1.8848823580764227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356.02637444732096</v>
      </c>
      <c r="AO184" s="59">
        <f t="shared" si="144"/>
        <v>263.30053404008095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23.278845820826529</v>
      </c>
      <c r="AV184" s="21">
        <f>EXP(-LN(2)/25)*AV183+(1-EXP(-LN(2)/25))/(LN(2)/25)*Calculateur!AQ184*Calculateur!AS184*VLOOKUP('Données projet'!$B$10,Paramètres!$A$1:$I$89,3,0)*0.475*44/12</f>
        <v>4.9083751489815013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28.187220969808031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4.2632564145606011E-14</v>
      </c>
      <c r="BE184" s="13">
        <f>BD184*VLOOKUP('Données projet'!$B$11,Paramètres!$A$1:$I$89,3,0)*VLOOKUP('Données projet'!$B$11,Paramètres!$A$1:$I$89,5,0)</f>
        <v>4.3229420043644499E-14</v>
      </c>
      <c r="BF184" s="13">
        <f t="shared" si="167"/>
        <v>7.1602263387468399E-13</v>
      </c>
      <c r="BG184" s="20">
        <f t="shared" si="168"/>
        <v>1.3223639939077553E-12</v>
      </c>
      <c r="BH184" s="59">
        <f t="shared" si="116"/>
        <v>292.29114206117936</v>
      </c>
      <c r="BI184" s="59">
        <f ca="1">AVERAGE(OFFSET($BH$3,0,0,'Données projet'!$E$11+1,1))-AVERAGE(OFFSET($H$3,0,0,'Données projet'!$E$11+1,1))</f>
        <v>478.2340976873212</v>
      </c>
      <c r="BJ184" s="59">
        <f t="shared" si="146"/>
        <v>342.90128902463823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103.40716424420285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103.40716424420285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2.0572770154103635E-13</v>
      </c>
      <c r="CA184" s="13">
        <f t="shared" si="170"/>
        <v>2.8416956338469711E-12</v>
      </c>
      <c r="CB184" s="20">
        <f t="shared" si="171"/>
        <v>5.3075956424674458E-12</v>
      </c>
      <c r="CC184" s="59">
        <f t="shared" si="119"/>
        <v>292.29114206118334</v>
      </c>
      <c r="CD184" s="59">
        <f ca="1">AVERAGE(OFFSET($CC$3,0,0,'Données projet'!$E$12+1,1))-AVERAGE(OFFSET($H$3,0,0,'Données projet'!$E$12+1,1))</f>
        <v>471.03166569378629</v>
      </c>
      <c r="CE184" s="59">
        <f t="shared" si="148"/>
        <v>259.15709238853287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56.344851537050168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56.344851537050168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-4.5474735088646412E-13</v>
      </c>
      <c r="CU184" s="17">
        <f>CT184*VLOOKUP('Données projet'!$B$13,Paramètres!$A$1:$I$89,3,0)*VLOOKUP('Données projet'!$B$13,Paramètres!$A$1:$I$89,5,0)</f>
        <v>-2.1282176021486519E-13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364.67256251031029</v>
      </c>
      <c r="CZ184" s="59">
        <f t="shared" si="150"/>
        <v>347.4139588390766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45.825757825152863</v>
      </c>
      <c r="DG184" s="21">
        <f>EXP(-LN(2)/25)*DG183+(1-EXP(-LN(2)/25))/(LN(2)/25)*Calculateur!DB184*Calculateur!DD184*VLOOKUP('Données projet'!$B$13,Paramètres!$A$1:$I$89,3,0)*0.475*44/12</f>
        <v>10.244359025874108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56.070116851026967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69.715766016684924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1.35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4.95</v>
      </c>
      <c r="H185" s="67">
        <f t="shared" si="110"/>
        <v>236.86666666666665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51.998489924038495</v>
      </c>
      <c r="T185" s="59">
        <f t="shared" si="142"/>
        <v>206.32767973856241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1.7155011687241613</v>
      </c>
      <c r="AA185" s="21">
        <f>EXP(-LN(2)/25)*AA184+(1-EXP(-LN(2)/25))/(LN(2)/25)*Calculateur!V185*Calculateur!X185*VLOOKUP('Données projet'!$B$9,Paramètres!$A$1:$I$89,3,0)*0.475*44/12</f>
        <v>0.13137495237578811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1.8468761210999494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356.02637444732096</v>
      </c>
      <c r="AO185" s="59">
        <f t="shared" si="144"/>
        <v>263.30053404008095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22.822361852974065</v>
      </c>
      <c r="AV185" s="21">
        <f>EXP(-LN(2)/25)*AV184+(1-EXP(-LN(2)/25))/(LN(2)/25)*Calculateur!AQ185*Calculateur!AS185*VLOOKUP('Données projet'!$B$10,Paramètres!$A$1:$I$89,3,0)*0.475*44/12</f>
        <v>4.7741553724123715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27.596517225386435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4.2632564145606011E-14</v>
      </c>
      <c r="BE185" s="13">
        <f>BD185*VLOOKUP('Données projet'!$B$11,Paramètres!$A$1:$I$89,3,0)*VLOOKUP('Données projet'!$B$11,Paramètres!$A$1:$I$89,5,0)</f>
        <v>4.3229420043644499E-14</v>
      </c>
      <c r="BF185" s="13">
        <f t="shared" si="167"/>
        <v>7.1602263387468399E-13</v>
      </c>
      <c r="BG185" s="20">
        <f t="shared" si="168"/>
        <v>1.3223639939077553E-12</v>
      </c>
      <c r="BH185" s="59">
        <f t="shared" si="116"/>
        <v>292.3092217497607</v>
      </c>
      <c r="BI185" s="59">
        <f ca="1">AVERAGE(OFFSET($BH$3,0,0,'Données projet'!$E$11+1,1))-AVERAGE(OFFSET($H$3,0,0,'Données projet'!$E$11+1,1))</f>
        <v>478.2340976873212</v>
      </c>
      <c r="BJ185" s="59">
        <f t="shared" si="146"/>
        <v>342.90128902463823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101.37941282551635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101.37941282551635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2.0572770154103635E-13</v>
      </c>
      <c r="CA185" s="13">
        <f t="shared" si="170"/>
        <v>2.8416956338469711E-12</v>
      </c>
      <c r="CB185" s="20">
        <f t="shared" si="171"/>
        <v>5.3075956424674458E-12</v>
      </c>
      <c r="CC185" s="59">
        <f t="shared" si="119"/>
        <v>292.30922174976467</v>
      </c>
      <c r="CD185" s="59">
        <f ca="1">AVERAGE(OFFSET($CC$3,0,0,'Données projet'!$E$12+1,1))-AVERAGE(OFFSET($H$3,0,0,'Données projet'!$E$12+1,1))</f>
        <v>471.03166569378629</v>
      </c>
      <c r="CE185" s="59">
        <f t="shared" si="148"/>
        <v>259.15709238853287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55.239963365374599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55.239963365374599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-4.5474735088646412E-13</v>
      </c>
      <c r="CU185" s="17">
        <f>CT185*VLOOKUP('Données projet'!$B$13,Paramètres!$A$1:$I$89,3,0)*VLOOKUP('Données projet'!$B$13,Paramètres!$A$1:$I$89,5,0)</f>
        <v>-2.1282176021486519E-13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364.67256251031029</v>
      </c>
      <c r="CZ185" s="59">
        <f t="shared" si="150"/>
        <v>347.4139588390766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44.927142665153958</v>
      </c>
      <c r="DG185" s="21">
        <f>EXP(-LN(2)/25)*DG184+(1-EXP(-LN(2)/25))/(LN(2)/25)*Calculateur!DB185*Calculateur!DD185*VLOOKUP('Données projet'!$B$13,Paramètres!$A$1:$I$89,3,0)*0.475*44/12</f>
        <v>9.9642264895841528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54.891369154738115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69.720696840843459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1.35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4.95</v>
      </c>
      <c r="H186" s="67">
        <f t="shared" si="110"/>
        <v>236.86666666666665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51.998489924038495</v>
      </c>
      <c r="T186" s="59">
        <f t="shared" si="142"/>
        <v>206.32767973856241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1.6818612371578747</v>
      </c>
      <c r="AA186" s="21">
        <f>EXP(-LN(2)/25)*AA185+(1-EXP(-LN(2)/25))/(LN(2)/25)*Calculateur!V186*Calculateur!X186*VLOOKUP('Données projet'!$B$9,Paramètres!$A$1:$I$89,3,0)*0.475*44/12</f>
        <v>0.1277824973943637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1.8096437345522385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356.02637444732096</v>
      </c>
      <c r="AO186" s="59">
        <f t="shared" si="144"/>
        <v>263.30053404008095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22.374829257303464</v>
      </c>
      <c r="AV186" s="21">
        <f>EXP(-LN(2)/25)*AV185+(1-EXP(-LN(2)/25))/(LN(2)/25)*Calculateur!AQ186*Calculateur!AS186*VLOOKUP('Données projet'!$B$10,Paramètres!$A$1:$I$89,3,0)*0.475*44/12</f>
        <v>4.6436058426918354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27.018435099995301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4.2632564145606011E-14</v>
      </c>
      <c r="BE186" s="13">
        <f>BD186*VLOOKUP('Données projet'!$B$11,Paramètres!$A$1:$I$89,3,0)*VLOOKUP('Données projet'!$B$11,Paramètres!$A$1:$I$89,5,0)</f>
        <v>4.3229420043644499E-14</v>
      </c>
      <c r="BF186" s="13">
        <f t="shared" si="167"/>
        <v>7.1602263387468399E-13</v>
      </c>
      <c r="BG186" s="20">
        <f t="shared" si="168"/>
        <v>1.3223639939077553E-12</v>
      </c>
      <c r="BH186" s="59">
        <f t="shared" si="116"/>
        <v>292.32698779616516</v>
      </c>
      <c r="BI186" s="59">
        <f ca="1">AVERAGE(OFFSET($BH$3,0,0,'Données projet'!$E$11+1,1))-AVERAGE(OFFSET($H$3,0,0,'Données projet'!$E$11+1,1))</f>
        <v>478.2340976873212</v>
      </c>
      <c r="BJ186" s="59">
        <f t="shared" si="146"/>
        <v>342.90128902463823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99.391424375344073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99.391424375344073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2.0572770154103635E-13</v>
      </c>
      <c r="CA186" s="13">
        <f t="shared" si="170"/>
        <v>2.8416956338469711E-12</v>
      </c>
      <c r="CB186" s="20">
        <f t="shared" si="171"/>
        <v>5.3075956424674458E-12</v>
      </c>
      <c r="CC186" s="59">
        <f t="shared" si="119"/>
        <v>292.32698779616913</v>
      </c>
      <c r="CD186" s="59">
        <f ca="1">AVERAGE(OFFSET($CC$3,0,0,'Données projet'!$E$12+1,1))-AVERAGE(OFFSET($H$3,0,0,'Données projet'!$E$12+1,1))</f>
        <v>471.03166569378629</v>
      </c>
      <c r="CE186" s="59">
        <f t="shared" si="148"/>
        <v>259.15709238853287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54.156741376830347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54.156741376830347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-4.5474735088646412E-13</v>
      </c>
      <c r="CU186" s="17">
        <f>CT186*VLOOKUP('Données projet'!$B$13,Paramètres!$A$1:$I$89,3,0)*VLOOKUP('Données projet'!$B$13,Paramètres!$A$1:$I$89,5,0)</f>
        <v>-2.1282176021486519E-13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364.67256251031029</v>
      </c>
      <c r="CZ186" s="59">
        <f t="shared" si="150"/>
        <v>347.4139588390766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44.046148800341506</v>
      </c>
      <c r="DG186" s="21">
        <f>EXP(-LN(2)/25)*DG185+(1-EXP(-LN(2)/25))/(LN(2)/25)*Calculateur!DB186*Calculateur!DD186*VLOOKUP('Données projet'!$B$13,Paramètres!$A$1:$I$89,3,0)*0.475*44/12</f>
        <v>9.6917541922305759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53.737902992572081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69.7255421262265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1.35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4.95</v>
      </c>
      <c r="H187" s="67">
        <f t="shared" si="110"/>
        <v>236.86666666666665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51.998489924038495</v>
      </c>
      <c r="T187" s="59">
        <f t="shared" si="142"/>
        <v>206.32767973856241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1.6488809641312707</v>
      </c>
      <c r="AA187" s="21">
        <f>EXP(-LN(2)/25)*AA186+(1-EXP(-LN(2)/25))/(LN(2)/25)*Calculateur!V187*Calculateur!X187*VLOOKUP('Données projet'!$B$9,Paramètres!$A$1:$I$89,3,0)*0.475*44/12</f>
        <v>0.12428827828332534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1.7731692424145962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356.02637444732096</v>
      </c>
      <c r="AO187" s="59">
        <f t="shared" si="144"/>
        <v>263.30053404008095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21.936072502866033</v>
      </c>
      <c r="AV187" s="21">
        <f>EXP(-LN(2)/25)*AV186+(1-EXP(-LN(2)/25))/(LN(2)/25)*Calculateur!AQ187*Calculateur!AS187*VLOOKUP('Données projet'!$B$10,Paramètres!$A$1:$I$89,3,0)*0.475*44/12</f>
        <v>4.5166261967268087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26.45269869959284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4.2632564145606011E-14</v>
      </c>
      <c r="BE187" s="13">
        <f>BD187*VLOOKUP('Données projet'!$B$11,Paramètres!$A$1:$I$89,3,0)*VLOOKUP('Données projet'!$B$11,Paramètres!$A$1:$I$89,5,0)</f>
        <v>4.3229420043644499E-14</v>
      </c>
      <c r="BF187" s="13">
        <f t="shared" si="167"/>
        <v>7.1602263387468399E-13</v>
      </c>
      <c r="BG187" s="20">
        <f t="shared" si="168"/>
        <v>1.3223639939077553E-12</v>
      </c>
      <c r="BH187" s="59">
        <f t="shared" si="116"/>
        <v>292.34444564138346</v>
      </c>
      <c r="BI187" s="59">
        <f ca="1">AVERAGE(OFFSET($BH$3,0,0,'Données projet'!$E$11+1,1))-AVERAGE(OFFSET($H$3,0,0,'Données projet'!$E$11+1,1))</f>
        <v>478.2340976873212</v>
      </c>
      <c r="BJ187" s="59">
        <f t="shared" si="146"/>
        <v>342.90128902463823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97.442419166126442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97.442419166126442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2.0572770154103635E-13</v>
      </c>
      <c r="CA187" s="13">
        <f t="shared" si="170"/>
        <v>2.8416956338469711E-12</v>
      </c>
      <c r="CB187" s="20">
        <f t="shared" si="171"/>
        <v>5.3075956424674458E-12</v>
      </c>
      <c r="CC187" s="59">
        <f t="shared" si="119"/>
        <v>292.34444564138744</v>
      </c>
      <c r="CD187" s="59">
        <f ca="1">AVERAGE(OFFSET($CC$3,0,0,'Données projet'!$E$12+1,1))-AVERAGE(OFFSET($H$3,0,0,'Données projet'!$E$12+1,1))</f>
        <v>471.03166569378629</v>
      </c>
      <c r="CE187" s="59">
        <f t="shared" si="148"/>
        <v>259.15709238853287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53.094760710781273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53.094760710781273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-4.5474735088646412E-13</v>
      </c>
      <c r="CU187" s="17">
        <f>CT187*VLOOKUP('Données projet'!$B$13,Paramètres!$A$1:$I$89,3,0)*VLOOKUP('Données projet'!$B$13,Paramètres!$A$1:$I$89,5,0)</f>
        <v>-2.1282176021486519E-13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364.67256251031029</v>
      </c>
      <c r="CZ187" s="59">
        <f t="shared" si="150"/>
        <v>347.4139588390766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43.18243068786483</v>
      </c>
      <c r="DG187" s="21">
        <f>EXP(-LN(2)/25)*DG186+(1-EXP(-LN(2)/25))/(LN(2)/25)*Calculateur!DB187*Calculateur!DD187*VLOOKUP('Données projet'!$B$13,Paramètres!$A$1:$I$89,3,0)*0.475*44/12</f>
        <v>9.4267326641768285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52.609163352041662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69.730303356740592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1.35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4.95</v>
      </c>
      <c r="H188" s="67">
        <f t="shared" si="110"/>
        <v>236.86666666666665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51.998489924038495</v>
      </c>
      <c r="T188" s="59">
        <f t="shared" si="142"/>
        <v>206.32767973856241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1.6165474141427383</v>
      </c>
      <c r="AA188" s="21">
        <f>EXP(-LN(2)/25)*AA187+(1-EXP(-LN(2)/25))/(LN(2)/25)*Calculateur!V188*Calculateur!X188*VLOOKUP('Données projet'!$B$9,Paramètres!$A$1:$I$89,3,0)*0.475*44/12</f>
        <v>0.12088960877763132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1.7374370229203695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356.02637444732096</v>
      </c>
      <c r="AO188" s="59">
        <f t="shared" si="144"/>
        <v>263.30053404008095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21.505919500767924</v>
      </c>
      <c r="AV188" s="21">
        <f>EXP(-LN(2)/25)*AV187+(1-EXP(-LN(2)/25))/(LN(2)/25)*Calculateur!AQ188*Calculateur!AS188*VLOOKUP('Données projet'!$B$10,Paramètres!$A$1:$I$89,3,0)*0.475*44/12</f>
        <v>4.3931188158582657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25.899038316626189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4.2632564145606011E-14</v>
      </c>
      <c r="BE188" s="13">
        <f>BD188*VLOOKUP('Données projet'!$B$11,Paramètres!$A$1:$I$89,3,0)*VLOOKUP('Données projet'!$B$11,Paramètres!$A$1:$I$89,5,0)</f>
        <v>4.3229420043644499E-14</v>
      </c>
      <c r="BF188" s="13">
        <f t="shared" si="167"/>
        <v>7.1602263387468399E-13</v>
      </c>
      <c r="BG188" s="20">
        <f t="shared" si="168"/>
        <v>1.3223639939077553E-12</v>
      </c>
      <c r="BH188" s="59">
        <f t="shared" si="116"/>
        <v>292.36160063201714</v>
      </c>
      <c r="BI188" s="59">
        <f ca="1">AVERAGE(OFFSET($BH$3,0,0,'Données projet'!$E$11+1,1))-AVERAGE(OFFSET($H$3,0,0,'Données projet'!$E$11+1,1))</f>
        <v>478.2340976873212</v>
      </c>
      <c r="BJ188" s="59">
        <f t="shared" si="146"/>
        <v>342.90128902463823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95.531632760285774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95.531632760285774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2.0572770154103635E-13</v>
      </c>
      <c r="CA188" s="13">
        <f t="shared" si="170"/>
        <v>2.8416956338469711E-12</v>
      </c>
      <c r="CB188" s="20">
        <f t="shared" si="171"/>
        <v>5.3075956424674458E-12</v>
      </c>
      <c r="CC188" s="59">
        <f t="shared" si="119"/>
        <v>292.36160063202112</v>
      </c>
      <c r="CD188" s="59">
        <f ca="1">AVERAGE(OFFSET($CC$3,0,0,'Données projet'!$E$12+1,1))-AVERAGE(OFFSET($H$3,0,0,'Données projet'!$E$12+1,1))</f>
        <v>471.03166569378629</v>
      </c>
      <c r="CE188" s="59">
        <f t="shared" si="148"/>
        <v>259.15709238853287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52.053604837849171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52.053604837849171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-4.5474735088646412E-13</v>
      </c>
      <c r="CU188" s="17">
        <f>CT188*VLOOKUP('Données projet'!$B$13,Paramètres!$A$1:$I$89,3,0)*VLOOKUP('Données projet'!$B$13,Paramètres!$A$1:$I$89,5,0)</f>
        <v>-2.1282176021486519E-13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364.67256251031029</v>
      </c>
      <c r="CZ188" s="59">
        <f t="shared" si="150"/>
        <v>347.4139588390766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42.335649560757794</v>
      </c>
      <c r="DG188" s="21">
        <f>EXP(-LN(2)/25)*DG187+(1-EXP(-LN(2)/25))/(LN(2)/25)*Calculateur!DB188*Calculateur!DD188*VLOOKUP('Données projet'!$B$13,Paramètres!$A$1:$I$89,3,0)*0.475*44/12</f>
        <v>9.1689581637445876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51.504607724502378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69.734981990549784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1.35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4.95</v>
      </c>
      <c r="H189" s="67">
        <f t="shared" si="110"/>
        <v>236.86666666666665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51.998489924038495</v>
      </c>
      <c r="T189" s="59">
        <f t="shared" si="142"/>
        <v>206.32767973856241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1.5848479053479627</v>
      </c>
      <c r="AA189" s="21">
        <f>EXP(-LN(2)/25)*AA188+(1-EXP(-LN(2)/25))/(LN(2)/25)*Calculateur!V189*Calculateur!X189*VLOOKUP('Données projet'!$B$9,Paramètres!$A$1:$I$89,3,0)*0.475*44/12</f>
        <v>0.11758387606829876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1.7024317814162615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356.02637444732096</v>
      </c>
      <c r="AO189" s="59">
        <f t="shared" si="144"/>
        <v>263.30053404008095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21.084201536673532</v>
      </c>
      <c r="AV189" s="21">
        <f>EXP(-LN(2)/25)*AV188+(1-EXP(-LN(2)/25))/(LN(2)/25)*Calculateur!AQ189*Calculateur!AS189*VLOOKUP('Données projet'!$B$10,Paramètres!$A$1:$I$89,3,0)*0.475*44/12</f>
        <v>4.2729887508145437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25.357190287488077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4.2632564145606011E-14</v>
      </c>
      <c r="BE189" s="13">
        <f>BD189*VLOOKUP('Données projet'!$B$11,Paramètres!$A$1:$I$89,3,0)*VLOOKUP('Données projet'!$B$11,Paramètres!$A$1:$I$89,5,0)</f>
        <v>4.3229420043644499E-14</v>
      </c>
      <c r="BF189" s="13">
        <f t="shared" si="167"/>
        <v>7.1602263387468399E-13</v>
      </c>
      <c r="BG189" s="20">
        <f t="shared" si="168"/>
        <v>1.3223639939077553E-12</v>
      </c>
      <c r="BH189" s="59">
        <f t="shared" si="116"/>
        <v>292.37845802191617</v>
      </c>
      <c r="BI189" s="59">
        <f ca="1">AVERAGE(OFFSET($BH$3,0,0,'Données projet'!$E$11+1,1))-AVERAGE(OFFSET($H$3,0,0,'Données projet'!$E$11+1,1))</f>
        <v>478.2340976873212</v>
      </c>
      <c r="BJ189" s="59">
        <f t="shared" si="146"/>
        <v>342.90128902463823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93.658315710399009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93.658315710399009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2.0572770154103635E-13</v>
      </c>
      <c r="CA189" s="13">
        <f t="shared" si="170"/>
        <v>2.8416956338469711E-12</v>
      </c>
      <c r="CB189" s="20">
        <f t="shared" si="171"/>
        <v>5.3075956424674458E-12</v>
      </c>
      <c r="CC189" s="59">
        <f t="shared" si="119"/>
        <v>292.37845802192015</v>
      </c>
      <c r="CD189" s="59">
        <f ca="1">AVERAGE(OFFSET($CC$3,0,0,'Données projet'!$E$12+1,1))-AVERAGE(OFFSET($H$3,0,0,'Données projet'!$E$12+1,1))</f>
        <v>471.03166569378629</v>
      </c>
      <c r="CE189" s="59">
        <f t="shared" si="148"/>
        <v>259.15709238853287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51.032865396542888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51.032865396542888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-4.5474735088646412E-13</v>
      </c>
      <c r="CU189" s="17">
        <f>CT189*VLOOKUP('Données projet'!$B$13,Paramètres!$A$1:$I$89,3,0)*VLOOKUP('Données projet'!$B$13,Paramètres!$A$1:$I$89,5,0)</f>
        <v>-2.1282176021486519E-13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364.67256251031029</v>
      </c>
      <c r="CZ189" s="59">
        <f t="shared" si="150"/>
        <v>347.4139588390766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41.505473295067837</v>
      </c>
      <c r="DG189" s="21">
        <f>EXP(-LN(2)/25)*DG188+(1-EXP(-LN(2)/25))/(LN(2)/25)*Calculateur!DB189*Calculateur!DD189*VLOOKUP('Données projet'!$B$13,Paramètres!$A$1:$I$89,3,0)*0.475*44/12</f>
        <v>8.9182325205824373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50.423705815650273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69.739579460522236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1.35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4.95</v>
      </c>
      <c r="H190" s="67">
        <f t="shared" si="110"/>
        <v>236.86666666666665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51.998489924038495</v>
      </c>
      <c r="T190" s="59">
        <f t="shared" si="142"/>
        <v>206.32767973856241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1.5537700045858616</v>
      </c>
      <c r="AA190" s="21">
        <f>EXP(-LN(2)/25)*AA189+(1-EXP(-LN(2)/25))/(LN(2)/25)*Calculateur!V190*Calculateur!X190*VLOOKUP('Données projet'!$B$9,Paramètres!$A$1:$I$89,3,0)*0.475*44/12</f>
        <v>0.11436853879374383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1.6681385433796054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356.02637444732096</v>
      </c>
      <c r="AO190" s="59">
        <f t="shared" si="144"/>
        <v>263.30053404008095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20.670753204632472</v>
      </c>
      <c r="AV190" s="21">
        <f>EXP(-LN(2)/25)*AV189+(1-EXP(-LN(2)/25))/(LN(2)/25)*Calculateur!AQ190*Calculateur!AS190*VLOOKUP('Données projet'!$B$10,Paramètres!$A$1:$I$89,3,0)*0.475*44/12</f>
        <v>4.1561436487168075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24.826896853349279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4.2632564145606011E-14</v>
      </c>
      <c r="BE190" s="13">
        <f>BD190*VLOOKUP('Données projet'!$B$11,Paramètres!$A$1:$I$89,3,0)*VLOOKUP('Données projet'!$B$11,Paramètres!$A$1:$I$89,5,0)</f>
        <v>4.3229420043644499E-14</v>
      </c>
      <c r="BF190" s="13">
        <f t="shared" si="167"/>
        <v>7.1602263387468399E-13</v>
      </c>
      <c r="BG190" s="20">
        <f t="shared" si="168"/>
        <v>1.3223639939077553E-12</v>
      </c>
      <c r="BH190" s="59">
        <f t="shared" si="116"/>
        <v>292.39502297378789</v>
      </c>
      <c r="BI190" s="59">
        <f ca="1">AVERAGE(OFFSET($BH$3,0,0,'Données projet'!$E$11+1,1))-AVERAGE(OFFSET($H$3,0,0,'Données projet'!$E$11+1,1))</f>
        <v>478.2340976873212</v>
      </c>
      <c r="BJ190" s="59">
        <f t="shared" si="146"/>
        <v>342.90128902463823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91.821733265249946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91.821733265249946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2.0572770154103635E-13</v>
      </c>
      <c r="CA190" s="13">
        <f t="shared" si="170"/>
        <v>2.8416956338469711E-12</v>
      </c>
      <c r="CB190" s="20">
        <f t="shared" si="171"/>
        <v>5.3075956424674458E-12</v>
      </c>
      <c r="CC190" s="59">
        <f t="shared" si="119"/>
        <v>292.39502297379187</v>
      </c>
      <c r="CD190" s="59">
        <f ca="1">AVERAGE(OFFSET($CC$3,0,0,'Données projet'!$E$12+1,1))-AVERAGE(OFFSET($H$3,0,0,'Données projet'!$E$12+1,1))</f>
        <v>471.03166569378629</v>
      </c>
      <c r="CE190" s="59">
        <f t="shared" si="148"/>
        <v>259.15709238853287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50.032142033091041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50.032142033091041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-4.5474735088646412E-13</v>
      </c>
      <c r="CU190" s="17">
        <f>CT190*VLOOKUP('Données projet'!$B$13,Paramètres!$A$1:$I$89,3,0)*VLOOKUP('Données projet'!$B$13,Paramètres!$A$1:$I$89,5,0)</f>
        <v>-2.1282176021486519E-13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364.67256251031029</v>
      </c>
      <c r="CZ190" s="59">
        <f t="shared" si="150"/>
        <v>347.4139588390766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40.691576279590535</v>
      </c>
      <c r="DG190" s="21">
        <f>EXP(-LN(2)/25)*DG189+(1-EXP(-LN(2)/25))/(LN(2)/25)*Calculateur!DB190*Calculateur!DD190*VLOOKUP('Données projet'!$B$13,Paramètres!$A$1:$I$89,3,0)*0.475*44/12</f>
        <v>8.6743629833176445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49.365939262908178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69.744097174669065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1.35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4.95</v>
      </c>
      <c r="H191" s="67">
        <f t="shared" si="110"/>
        <v>236.86666666666665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51.998489924038495</v>
      </c>
      <c r="T191" s="59">
        <f t="shared" si="142"/>
        <v>206.32767973856241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1.5233015225020574</v>
      </c>
      <c r="AA191" s="21">
        <f>EXP(-LN(2)/25)*AA190+(1-EXP(-LN(2)/25))/(LN(2)/25)*Calculateur!V191*Calculateur!X191*VLOOKUP('Données projet'!$B$9,Paramètres!$A$1:$I$89,3,0)*0.475*44/12</f>
        <v>0.11124112508604884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1.6345426475881062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356.02637444732096</v>
      </c>
      <c r="AO191" s="59">
        <f t="shared" si="144"/>
        <v>263.30053404008095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20.265412342204158</v>
      </c>
      <c r="AV191" s="21">
        <f>EXP(-LN(2)/25)*AV190+(1-EXP(-LN(2)/25))/(LN(2)/25)*Calculateur!AQ191*Calculateur!AS191*VLOOKUP('Données projet'!$B$10,Paramètres!$A$1:$I$89,3,0)*0.475*44/12</f>
        <v>4.0424936820805506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24.307906024284708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4.2632564145606011E-14</v>
      </c>
      <c r="BE191" s="13">
        <f>BD191*VLOOKUP('Données projet'!$B$11,Paramètres!$A$1:$I$89,3,0)*VLOOKUP('Données projet'!$B$11,Paramètres!$A$1:$I$89,5,0)</f>
        <v>4.3229420043644499E-14</v>
      </c>
      <c r="BF191" s="13">
        <f t="shared" si="167"/>
        <v>7.1602263387468399E-13</v>
      </c>
      <c r="BG191" s="20">
        <f t="shared" si="168"/>
        <v>1.3223639939077553E-12</v>
      </c>
      <c r="BH191" s="59">
        <f t="shared" si="116"/>
        <v>292.41130056077827</v>
      </c>
      <c r="BI191" s="59">
        <f ca="1">AVERAGE(OFFSET($BH$3,0,0,'Données projet'!$E$11+1,1))-AVERAGE(OFFSET($H$3,0,0,'Données projet'!$E$11+1,1))</f>
        <v>478.2340976873212</v>
      </c>
      <c r="BJ191" s="59">
        <f t="shared" si="146"/>
        <v>342.90128902463823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90.021165081645577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90.021165081645577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2.0572770154103635E-13</v>
      </c>
      <c r="CA191" s="13">
        <f t="shared" si="170"/>
        <v>2.8416956338469711E-12</v>
      </c>
      <c r="CB191" s="20">
        <f t="shared" si="171"/>
        <v>5.3075956424674458E-12</v>
      </c>
      <c r="CC191" s="59">
        <f t="shared" si="119"/>
        <v>292.41130056078225</v>
      </c>
      <c r="CD191" s="59">
        <f ca="1">AVERAGE(OFFSET($CC$3,0,0,'Données projet'!$E$12+1,1))-AVERAGE(OFFSET($H$3,0,0,'Données projet'!$E$12+1,1))</f>
        <v>471.03166569378629</v>
      </c>
      <c r="CE191" s="59">
        <f t="shared" si="148"/>
        <v>259.15709238853287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49.051042244415505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49.051042244415505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-4.5474735088646412E-13</v>
      </c>
      <c r="CU191" s="17">
        <f>CT191*VLOOKUP('Données projet'!$B$13,Paramètres!$A$1:$I$89,3,0)*VLOOKUP('Données projet'!$B$13,Paramètres!$A$1:$I$89,5,0)</f>
        <v>-2.1282176021486519E-13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364.67256251031029</v>
      </c>
      <c r="CZ191" s="59">
        <f t="shared" si="150"/>
        <v>347.4139588390766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39.893639288158582</v>
      </c>
      <c r="DG191" s="21">
        <f>EXP(-LN(2)/25)*DG190+(1-EXP(-LN(2)/25))/(LN(2)/25)*Calculateur!DB191*Calculateur!DD191*VLOOKUP('Données projet'!$B$13,Paramètres!$A$1:$I$89,3,0)*0.475*44/12</f>
        <v>8.4371620713738995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48.330801359532479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69.748536516575541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1.35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4.95</v>
      </c>
      <c r="H192" s="67">
        <f t="shared" si="110"/>
        <v>236.86666666666665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51.998489924038495</v>
      </c>
      <c r="T192" s="59">
        <f t="shared" si="142"/>
        <v>206.32767973856241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1.4934305087679776</v>
      </c>
      <c r="AA192" s="21">
        <f>EXP(-LN(2)/25)*AA191+(1-EXP(-LN(2)/25))/(LN(2)/25)*Calculateur!V192*Calculateur!X192*VLOOKUP('Données projet'!$B$9,Paramètres!$A$1:$I$89,3,0)*0.475*44/12</f>
        <v>0.10819923067065432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1.6016297394386318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356.02637444732096</v>
      </c>
      <c r="AO192" s="59">
        <f t="shared" si="144"/>
        <v>263.30053404008095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19.868019966854547</v>
      </c>
      <c r="AV192" s="21">
        <f>EXP(-LN(2)/25)*AV191+(1-EXP(-LN(2)/25))/(LN(2)/25)*Calculateur!AQ192*Calculateur!AS192*VLOOKUP('Données projet'!$B$10,Paramètres!$A$1:$I$89,3,0)*0.475*44/12</f>
        <v>3.9319514797585544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23.7999714466131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4.2632564145606011E-14</v>
      </c>
      <c r="BE192" s="13">
        <f>BD192*VLOOKUP('Données projet'!$B$11,Paramètres!$A$1:$I$89,3,0)*VLOOKUP('Données projet'!$B$11,Paramètres!$A$1:$I$89,5,0)</f>
        <v>4.3229420043644499E-14</v>
      </c>
      <c r="BF192" s="13">
        <f t="shared" si="167"/>
        <v>7.1602263387468399E-13</v>
      </c>
      <c r="BG192" s="20">
        <f t="shared" si="168"/>
        <v>1.3223639939077553E-12</v>
      </c>
      <c r="BH192" s="59">
        <f t="shared" si="116"/>
        <v>292.42729576802572</v>
      </c>
      <c r="BI192" s="59">
        <f ca="1">AVERAGE(OFFSET($BH$3,0,0,'Données projet'!$E$11+1,1))-AVERAGE(OFFSET($H$3,0,0,'Données projet'!$E$11+1,1))</f>
        <v>478.2340976873212</v>
      </c>
      <c r="BJ192" s="59">
        <f t="shared" si="146"/>
        <v>342.90128902463823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88.255904941883543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88.255904941883543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2.0572770154103635E-13</v>
      </c>
      <c r="CA192" s="13">
        <f t="shared" si="170"/>
        <v>2.8416956338469711E-12</v>
      </c>
      <c r="CB192" s="20">
        <f t="shared" si="171"/>
        <v>5.3075956424674458E-12</v>
      </c>
      <c r="CC192" s="59">
        <f t="shared" si="119"/>
        <v>292.42729576802969</v>
      </c>
      <c r="CD192" s="59">
        <f ca="1">AVERAGE(OFFSET($CC$3,0,0,'Données projet'!$E$12+1,1))-AVERAGE(OFFSET($H$3,0,0,'Données projet'!$E$12+1,1))</f>
        <v>471.03166569378629</v>
      </c>
      <c r="CE192" s="59">
        <f t="shared" si="148"/>
        <v>259.15709238853287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48.089181224184109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48.089181224184109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-4.5474735088646412E-13</v>
      </c>
      <c r="CU192" s="17">
        <f>CT192*VLOOKUP('Données projet'!$B$13,Paramètres!$A$1:$I$89,3,0)*VLOOKUP('Données projet'!$B$13,Paramètres!$A$1:$I$89,5,0)</f>
        <v>-2.1282176021486519E-13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364.67256251031029</v>
      </c>
      <c r="CZ192" s="59">
        <f t="shared" si="150"/>
        <v>347.4139588390766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39.111349354435099</v>
      </c>
      <c r="DG192" s="21">
        <f>EXP(-LN(2)/25)*DG191+(1-EXP(-LN(2)/25))/(LN(2)/25)*Calculateur!DB192*Calculateur!DD192*VLOOKUP('Données projet'!$B$13,Paramètres!$A$1:$I$89,3,0)*0.475*44/12</f>
        <v>8.2064474308411111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47.317796785276208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69.752898845824831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1.35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4.95</v>
      </c>
      <c r="H193" s="67">
        <f t="shared" si="110"/>
        <v>236.86666666666665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51.998489924038495</v>
      </c>
      <c r="T193" s="59">
        <f t="shared" si="142"/>
        <v>206.32767973856241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1.4641452473937038</v>
      </c>
      <c r="AA193" s="21">
        <f>EXP(-LN(2)/25)*AA192+(1-EXP(-LN(2)/25))/(LN(2)/25)*Calculateur!V193*Calculateur!X193*VLOOKUP('Données projet'!$B$9,Paramètres!$A$1:$I$89,3,0)*0.475*44/12</f>
        <v>0.10524051701801503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1.5693857644117188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356.02637444732096</v>
      </c>
      <c r="AO193" s="59">
        <f t="shared" si="144"/>
        <v>263.30053404008095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19.478420213600128</v>
      </c>
      <c r="AV193" s="21">
        <f>EXP(-LN(2)/25)*AV192+(1-EXP(-LN(2)/25))/(LN(2)/25)*Calculateur!AQ193*Calculateur!AS193*VLOOKUP('Données projet'!$B$10,Paramètres!$A$1:$I$89,3,0)*0.475*44/12</f>
        <v>3.824432059772215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23.302852273372341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4.2632564145606011E-14</v>
      </c>
      <c r="BE193" s="13">
        <f>BD193*VLOOKUP('Données projet'!$B$11,Paramètres!$A$1:$I$89,3,0)*VLOOKUP('Données projet'!$B$11,Paramètres!$A$1:$I$89,5,0)</f>
        <v>4.3229420043644499E-14</v>
      </c>
      <c r="BF193" s="13">
        <f t="shared" si="167"/>
        <v>7.1602263387468399E-13</v>
      </c>
      <c r="BG193" s="20">
        <f t="shared" si="168"/>
        <v>1.3223639939077553E-12</v>
      </c>
      <c r="BH193" s="59">
        <f t="shared" si="116"/>
        <v>292.4430134941872</v>
      </c>
      <c r="BI193" s="59">
        <f ca="1">AVERAGE(OFFSET($BH$3,0,0,'Données projet'!$E$11+1,1))-AVERAGE(OFFSET($H$3,0,0,'Données projet'!$E$11+1,1))</f>
        <v>478.2340976873212</v>
      </c>
      <c r="BJ193" s="59">
        <f t="shared" si="146"/>
        <v>342.90128902463823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86.525260476759868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86.525260476759868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2.0572770154103635E-13</v>
      </c>
      <c r="CA193" s="13">
        <f t="shared" si="170"/>
        <v>2.8416956338469711E-12</v>
      </c>
      <c r="CB193" s="20">
        <f t="shared" si="171"/>
        <v>5.3075956424674458E-12</v>
      </c>
      <c r="CC193" s="59">
        <f t="shared" si="119"/>
        <v>292.44301349419118</v>
      </c>
      <c r="CD193" s="59">
        <f ca="1">AVERAGE(OFFSET($CC$3,0,0,'Données projet'!$E$12+1,1))-AVERAGE(OFFSET($H$3,0,0,'Données projet'!$E$12+1,1))</f>
        <v>471.03166569378629</v>
      </c>
      <c r="CE193" s="59">
        <f t="shared" si="148"/>
        <v>259.15709238853287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47.146181711882157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47.146181711882157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-4.5474735088646412E-13</v>
      </c>
      <c r="CU193" s="17">
        <f>CT193*VLOOKUP('Données projet'!$B$13,Paramètres!$A$1:$I$89,3,0)*VLOOKUP('Données projet'!$B$13,Paramètres!$A$1:$I$89,5,0)</f>
        <v>-2.1282176021486519E-13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364.67256251031029</v>
      </c>
      <c r="CZ193" s="59">
        <f t="shared" si="150"/>
        <v>347.4139588390766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38.344399649162192</v>
      </c>
      <c r="DG193" s="21">
        <f>EXP(-LN(2)/25)*DG192+(1-EXP(-LN(2)/25))/(LN(2)/25)*Calculateur!DB193*Calculateur!DD193*VLOOKUP('Données projet'!$B$13,Paramètres!$A$1:$I$89,3,0)*0.475*44/12</f>
        <v>7.9820416942864467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46.326441343448636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69.757185498414344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1.35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4.95</v>
      </c>
      <c r="H194" s="67">
        <f t="shared" si="110"/>
        <v>236.86666666666665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51.998489924038495</v>
      </c>
      <c r="T194" s="59">
        <f t="shared" si="142"/>
        <v>206.32767973856241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1.4354342521327337</v>
      </c>
      <c r="AA194" s="21">
        <f>EXP(-LN(2)/25)*AA193+(1-EXP(-LN(2)/25))/(LN(2)/25)*Calculateur!V194*Calculateur!X194*VLOOKUP('Données projet'!$B$9,Paramètres!$A$1:$I$89,3,0)*0.475*44/12</f>
        <v>0.10236270954579915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1.5377969616785327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356.02637444732096</v>
      </c>
      <c r="AO194" s="59">
        <f t="shared" si="144"/>
        <v>263.30053404008095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19.096460273874641</v>
      </c>
      <c r="AV194" s="21">
        <f>EXP(-LN(2)/25)*AV193+(1-EXP(-LN(2)/25))/(LN(2)/25)*Calculateur!AQ194*Calculateur!AS194*VLOOKUP('Données projet'!$B$10,Paramètres!$A$1:$I$89,3,0)*0.475*44/12</f>
        <v>3.7198527639796026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22.816313037854243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4.2632564145606011E-14</v>
      </c>
      <c r="BE194" s="13">
        <f>BD194*VLOOKUP('Données projet'!$B$11,Paramètres!$A$1:$I$89,3,0)*VLOOKUP('Données projet'!$B$11,Paramètres!$A$1:$I$89,5,0)</f>
        <v>4.3229420043644499E-14</v>
      </c>
      <c r="BF194" s="13">
        <f t="shared" si="167"/>
        <v>7.1602263387468399E-13</v>
      </c>
      <c r="BG194" s="20">
        <f t="shared" si="168"/>
        <v>1.3223639939077553E-12</v>
      </c>
      <c r="BH194" s="59">
        <f t="shared" si="116"/>
        <v>292.45845855293953</v>
      </c>
      <c r="BI194" s="59">
        <f ca="1">AVERAGE(OFFSET($BH$3,0,0,'Données projet'!$E$11+1,1))-AVERAGE(OFFSET($H$3,0,0,'Données projet'!$E$11+1,1))</f>
        <v>478.2340976873212</v>
      </c>
      <c r="BJ194" s="59">
        <f t="shared" si="146"/>
        <v>342.90128902463823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84.828552894008382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84.828552894008382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2.0572770154103635E-13</v>
      </c>
      <c r="CA194" s="13">
        <f t="shared" si="170"/>
        <v>2.8416956338469711E-12</v>
      </c>
      <c r="CB194" s="20">
        <f t="shared" si="171"/>
        <v>5.3075956424674458E-12</v>
      </c>
      <c r="CC194" s="59">
        <f t="shared" si="119"/>
        <v>292.45845855294351</v>
      </c>
      <c r="CD194" s="59">
        <f ca="1">AVERAGE(OFFSET($CC$3,0,0,'Données projet'!$E$12+1,1))-AVERAGE(OFFSET($H$3,0,0,'Données projet'!$E$12+1,1))</f>
        <v>471.03166569378629</v>
      </c>
      <c r="CE194" s="59">
        <f t="shared" si="148"/>
        <v>259.15709238853287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46.221673844843544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46.221673844843544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-4.5474735088646412E-13</v>
      </c>
      <c r="CU194" s="17">
        <f>CT194*VLOOKUP('Données projet'!$B$13,Paramètres!$A$1:$I$89,3,0)*VLOOKUP('Données projet'!$B$13,Paramètres!$A$1:$I$89,5,0)</f>
        <v>-2.1282176021486519E-13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364.67256251031029</v>
      </c>
      <c r="CZ194" s="59">
        <f t="shared" si="150"/>
        <v>347.4139588390766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37.592489359816554</v>
      </c>
      <c r="DG194" s="21">
        <f>EXP(-LN(2)/25)*DG193+(1-EXP(-LN(2)/25))/(LN(2)/25)*Calculateur!DB194*Calculateur!DD194*VLOOKUP('Données projet'!$B$13,Paramètres!$A$1:$I$89,3,0)*0.475*44/12</f>
        <v>7.7637723443988547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45.356261704215406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69.761397787164967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1.35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4.95</v>
      </c>
      <c r="H195" s="67">
        <f t="shared" si="110"/>
        <v>236.86666666666665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51.998489924038495</v>
      </c>
      <c r="T195" s="59">
        <f t="shared" si="142"/>
        <v>206.32767973856241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1.4072862619768534</v>
      </c>
      <c r="AA195" s="21">
        <f>EXP(-LN(2)/25)*AA194+(1-EXP(-LN(2)/25))/(LN(2)/25)*Calculateur!V195*Calculateur!X195*VLOOKUP('Données projet'!$B$9,Paramètres!$A$1:$I$89,3,0)*0.475*44/12</f>
        <v>9.9563595870248336E-2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1.5068498578471017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356.02637444732096</v>
      </c>
      <c r="AO195" s="59">
        <f t="shared" si="144"/>
        <v>263.30053404008095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18.721990335594612</v>
      </c>
      <c r="AV195" s="21">
        <f>EXP(-LN(2)/25)*AV194+(1-EXP(-LN(2)/25))/(LN(2)/25)*Calculateur!AQ195*Calculateur!AS195*VLOOKUP('Données projet'!$B$10,Paramètres!$A$1:$I$89,3,0)*0.475*44/12</f>
        <v>3.6181331945300252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22.340123530124636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4.2632564145606011E-14</v>
      </c>
      <c r="BE195" s="13">
        <f>BD195*VLOOKUP('Données projet'!$B$11,Paramètres!$A$1:$I$89,3,0)*VLOOKUP('Données projet'!$B$11,Paramètres!$A$1:$I$89,5,0)</f>
        <v>4.3229420043644499E-14</v>
      </c>
      <c r="BF195" s="13">
        <f t="shared" si="167"/>
        <v>7.1602263387468399E-13</v>
      </c>
      <c r="BG195" s="20">
        <f t="shared" si="168"/>
        <v>1.3223639939077553E-12</v>
      </c>
      <c r="BH195" s="59">
        <f t="shared" si="116"/>
        <v>292.47363567445234</v>
      </c>
      <c r="BI195" s="59">
        <f ca="1">AVERAGE(OFFSET($BH$3,0,0,'Données projet'!$E$11+1,1))-AVERAGE(OFFSET($H$3,0,0,'Données projet'!$E$11+1,1))</f>
        <v>478.2340976873212</v>
      </c>
      <c r="BJ195" s="59">
        <f t="shared" si="146"/>
        <v>342.90128902463823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83.165116712065213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83.165116712065213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2.0572770154103635E-13</v>
      </c>
      <c r="CA195" s="13">
        <f t="shared" si="170"/>
        <v>2.8416956338469711E-12</v>
      </c>
      <c r="CB195" s="20">
        <f t="shared" si="171"/>
        <v>5.3075956424674458E-12</v>
      </c>
      <c r="CC195" s="59">
        <f t="shared" si="119"/>
        <v>292.47363567445632</v>
      </c>
      <c r="CD195" s="59">
        <f ca="1">AVERAGE(OFFSET($CC$3,0,0,'Données projet'!$E$12+1,1))-AVERAGE(OFFSET($H$3,0,0,'Données projet'!$E$12+1,1))</f>
        <v>471.03166569378629</v>
      </c>
      <c r="CE195" s="59">
        <f t="shared" si="148"/>
        <v>259.15709238853287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45.315295013183437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45.315295013183437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-4.5474735088646412E-13</v>
      </c>
      <c r="CU195" s="17">
        <f>CT195*VLOOKUP('Données projet'!$B$13,Paramètres!$A$1:$I$89,3,0)*VLOOKUP('Données projet'!$B$13,Paramètres!$A$1:$I$89,5,0)</f>
        <v>-2.1282176021486519E-13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364.67256251031029</v>
      </c>
      <c r="CZ195" s="59">
        <f t="shared" si="150"/>
        <v>347.4139588390766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36.855323572624997</v>
      </c>
      <c r="DG195" s="21">
        <f>EXP(-LN(2)/25)*DG194+(1-EXP(-LN(2)/25))/(LN(2)/25)*Calculateur!DB195*Calculateur!DD195*VLOOKUP('Données projet'!$B$13,Paramètres!$A$1:$I$89,3,0)*0.475*44/12</f>
        <v>7.5514715813622244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44.406795153987218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69.765537002123011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1.35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4.95</v>
      </c>
      <c r="H196" s="67">
        <f t="shared" ref="H196:H203" si="192">(B196+E196+F196)*44/12+(C196+D196)*0.475*44/12</f>
        <v>236.86666666666665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51.998489924038495</v>
      </c>
      <c r="T196" s="59">
        <f t="shared" si="142"/>
        <v>206.32767973856241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1.3796902367393511</v>
      </c>
      <c r="AA196" s="21">
        <f>EXP(-LN(2)/25)*AA195+(1-EXP(-LN(2)/25))/(LN(2)/25)*Calculateur!V196*Calculateur!X196*VLOOKUP('Données projet'!$B$9,Paramètres!$A$1:$I$89,3,0)*0.475*44/12</f>
        <v>9.6841024105354445E-2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1.4765312608447054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356.02637444732096</v>
      </c>
      <c r="AO196" s="59">
        <f t="shared" si="144"/>
        <v>263.30053404008095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18.354863524400145</v>
      </c>
      <c r="AV196" s="21">
        <f>EXP(-LN(2)/25)*AV195+(1-EXP(-LN(2)/25))/(LN(2)/25)*Calculateur!AQ196*Calculateur!AS196*VLOOKUP('Données projet'!$B$10,Paramètres!$A$1:$I$89,3,0)*0.475*44/12</f>
        <v>3.5191951520562466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21.874058676456393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4.2632564145606011E-14</v>
      </c>
      <c r="BE196" s="13">
        <f>BD196*VLOOKUP('Données projet'!$B$11,Paramètres!$A$1:$I$89,3,0)*VLOOKUP('Données projet'!$B$11,Paramètres!$A$1:$I$89,5,0)</f>
        <v>4.3229420043644499E-14</v>
      </c>
      <c r="BF196" s="13">
        <f t="shared" si="167"/>
        <v>7.1602263387468399E-13</v>
      </c>
      <c r="BG196" s="20">
        <f t="shared" si="168"/>
        <v>1.3223639939077553E-12</v>
      </c>
      <c r="BH196" s="59">
        <f t="shared" ref="BH196:BH203" si="194">BG196+(AY196+AZ196)*44/12</f>
        <v>292.48854950683796</v>
      </c>
      <c r="BI196" s="59">
        <f ca="1">AVERAGE(OFFSET($BH$3,0,0,'Données projet'!$E$11+1,1))-AVERAGE(OFFSET($H$3,0,0,'Données projet'!$E$11+1,1))</f>
        <v>478.2340976873212</v>
      </c>
      <c r="BJ196" s="59">
        <f t="shared" si="146"/>
        <v>342.90128902463823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81.534299499054057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81.534299499054057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2.0572770154103635E-13</v>
      </c>
      <c r="CA196" s="13">
        <f t="shared" si="170"/>
        <v>2.8416956338469711E-12</v>
      </c>
      <c r="CB196" s="20">
        <f t="shared" si="171"/>
        <v>5.3075956424674458E-12</v>
      </c>
      <c r="CC196" s="59">
        <f t="shared" ref="CC196:CC203" si="195">CB196+(BT196+BU196)*44/12</f>
        <v>292.48854950684193</v>
      </c>
      <c r="CD196" s="59">
        <f ca="1">AVERAGE(OFFSET($CC$3,0,0,'Données projet'!$E$12+1,1))-AVERAGE(OFFSET($H$3,0,0,'Données projet'!$E$12+1,1))</f>
        <v>471.03166569378629</v>
      </c>
      <c r="CE196" s="59">
        <f t="shared" si="148"/>
        <v>259.15709238853287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44.426689717575684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44.426689717575684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-4.5474735088646412E-13</v>
      </c>
      <c r="CU196" s="17">
        <f>CT196*VLOOKUP('Données projet'!$B$13,Paramètres!$A$1:$I$89,3,0)*VLOOKUP('Données projet'!$B$13,Paramètres!$A$1:$I$89,5,0)</f>
        <v>-2.1282176021486519E-13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364.67256251031029</v>
      </c>
      <c r="CZ196" s="59">
        <f t="shared" si="150"/>
        <v>347.4139588390766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36.132613156893534</v>
      </c>
      <c r="DG196" s="21">
        <f>EXP(-LN(2)/25)*DG195+(1-EXP(-LN(2)/25))/(LN(2)/25)*Calculateur!DB196*Calculateur!DD196*VLOOKUP('Données projet'!$B$13,Paramètres!$A$1:$I$89,3,0)*0.475*44/12</f>
        <v>7.3449761938552429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43.477589350748779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69.769604410955452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1.35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4.95</v>
      </c>
      <c r="H197" s="67">
        <f t="shared" si="192"/>
        <v>236.86666666666665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51.998489924038495</v>
      </c>
      <c r="T197" s="59">
        <f t="shared" ref="T197:T203" si="204">$T$3</f>
        <v>206.32767973856241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1.3526353527248429</v>
      </c>
      <c r="AA197" s="21">
        <f>EXP(-LN(2)/25)*AA196+(1-EXP(-LN(2)/25))/(LN(2)/25)*Calculateur!V197*Calculateur!X197*VLOOKUP('Données projet'!$B$9,Paramètres!$A$1:$I$89,3,0)*0.475*44/12</f>
        <v>9.4192901208545399E-2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1.4468282539333883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356.02637444732096</v>
      </c>
      <c r="AO197" s="59">
        <f t="shared" ref="AO197:AO203" si="205">$AO$3</f>
        <v>263.30053404008095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17.994935846047959</v>
      </c>
      <c r="AV197" s="21">
        <f>EXP(-LN(2)/25)*AV196+(1-EXP(-LN(2)/25))/(LN(2)/25)*Calculateur!AQ197*Calculateur!AS197*VLOOKUP('Données projet'!$B$10,Paramètres!$A$1:$I$89,3,0)*0.475*44/12</f>
        <v>3.4229625755568387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21.417898421604797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4.2632564145606011E-14</v>
      </c>
      <c r="BE197" s="13">
        <f>BD197*VLOOKUP('Données projet'!$B$11,Paramètres!$A$1:$I$89,3,0)*VLOOKUP('Données projet'!$B$11,Paramètres!$A$1:$I$89,5,0)</f>
        <v>4.3229420043644499E-14</v>
      </c>
      <c r="BF197" s="13">
        <f t="shared" si="167"/>
        <v>7.1602263387468399E-13</v>
      </c>
      <c r="BG197" s="20">
        <f t="shared" si="168"/>
        <v>1.3223639939077553E-12</v>
      </c>
      <c r="BH197" s="59">
        <f t="shared" si="194"/>
        <v>292.50320461757394</v>
      </c>
      <c r="BI197" s="59">
        <f ca="1">AVERAGE(OFFSET($BH$3,0,0,'Données projet'!$E$11+1,1))-AVERAGE(OFFSET($H$3,0,0,'Données projet'!$E$11+1,1))</f>
        <v>478.2340976873212</v>
      </c>
      <c r="BJ197" s="59">
        <f t="shared" ref="BJ197:BJ203" si="206">$BJ$3</f>
        <v>342.90128902463823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79.935461616889768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79.935461616889768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2.0572770154103635E-13</v>
      </c>
      <c r="CA197" s="13">
        <f t="shared" si="170"/>
        <v>2.8416956338469711E-12</v>
      </c>
      <c r="CB197" s="20">
        <f t="shared" si="171"/>
        <v>5.3075956424674458E-12</v>
      </c>
      <c r="CC197" s="59">
        <f t="shared" si="195"/>
        <v>292.50320461757792</v>
      </c>
      <c r="CD197" s="59">
        <f ca="1">AVERAGE(OFFSET($CC$3,0,0,'Données projet'!$E$12+1,1))-AVERAGE(OFFSET($H$3,0,0,'Données projet'!$E$12+1,1))</f>
        <v>471.03166569378629</v>
      </c>
      <c r="CE197" s="59">
        <f t="shared" ref="CE197:CE203" si="207">$CE$3</f>
        <v>259.15709238853287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43.555509429819089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43.555509429819089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-4.5474735088646412E-13</v>
      </c>
      <c r="CU197" s="17">
        <f>CT197*VLOOKUP('Données projet'!$B$13,Paramètres!$A$1:$I$89,3,0)*VLOOKUP('Données projet'!$B$13,Paramètres!$A$1:$I$89,5,0)</f>
        <v>-2.1282176021486519E-13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364.67256251031029</v>
      </c>
      <c r="CZ197" s="59">
        <f t="shared" ref="CZ197:CZ203" si="208">$CZ$3</f>
        <v>347.4139588390766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35.424074651604734</v>
      </c>
      <c r="DG197" s="21">
        <f>EXP(-LN(2)/25)*DG196+(1-EXP(-LN(2)/25))/(LN(2)/25)*Calculateur!DB197*Calculateur!DD197*VLOOKUP('Données projet'!$B$13,Paramètres!$A$1:$I$89,3,0)*0.475*44/12</f>
        <v>7.1441274335787606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42.568202085183493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69.773601259337994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1.35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4.95</v>
      </c>
      <c r="H198" s="67">
        <f t="shared" si="192"/>
        <v>236.86666666666665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51.998489924038495</v>
      </c>
      <c r="T198" s="59">
        <f t="shared" si="204"/>
        <v>206.32767973856241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1.3261109984840094</v>
      </c>
      <c r="AA198" s="21">
        <f>EXP(-LN(2)/25)*AA197+(1-EXP(-LN(2)/25))/(LN(2)/25)*Calculateur!V198*Calculateur!X198*VLOOKUP('Données projet'!$B$9,Paramètres!$A$1:$I$89,3,0)*0.475*44/12</f>
        <v>9.1617191371608328E-2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1.4177281898556178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356.02637444732096</v>
      </c>
      <c r="AO198" s="59">
        <f t="shared" si="205"/>
        <v>263.30053404008095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17.642066129934051</v>
      </c>
      <c r="AV198" s="21">
        <f>EXP(-LN(2)/25)*AV197+(1-EXP(-LN(2)/25))/(LN(2)/25)*Calculateur!AQ198*Calculateur!AS198*VLOOKUP('Données projet'!$B$10,Paramètres!$A$1:$I$89,3,0)*0.475*44/12</f>
        <v>3.3293614839224586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20.971427613856509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4.2632564145606011E-14</v>
      </c>
      <c r="BE198" s="13">
        <f>BD198*VLOOKUP('Données projet'!$B$11,Paramètres!$A$1:$I$89,3,0)*VLOOKUP('Données projet'!$B$11,Paramètres!$A$1:$I$89,5,0)</f>
        <v>4.3229420043644499E-14</v>
      </c>
      <c r="BF198" s="13">
        <f t="shared" si="167"/>
        <v>7.1602263387468399E-13</v>
      </c>
      <c r="BG198" s="20">
        <f t="shared" si="168"/>
        <v>1.3223639939077553E-12</v>
      </c>
      <c r="BH198" s="59">
        <f t="shared" si="194"/>
        <v>292.51760549490268</v>
      </c>
      <c r="BI198" s="59">
        <f ca="1">AVERAGE(OFFSET($BH$3,0,0,'Données projet'!$E$11+1,1))-AVERAGE(OFFSET($H$3,0,0,'Données projet'!$E$11+1,1))</f>
        <v>478.2340976873212</v>
      </c>
      <c r="BJ198" s="59">
        <f t="shared" si="206"/>
        <v>342.90128902463823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78.367975970399911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78.367975970399911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2.0572770154103635E-13</v>
      </c>
      <c r="CA198" s="13">
        <f t="shared" si="170"/>
        <v>2.8416956338469711E-12</v>
      </c>
      <c r="CB198" s="20">
        <f t="shared" si="171"/>
        <v>5.3075956424674458E-12</v>
      </c>
      <c r="CC198" s="59">
        <f t="shared" si="195"/>
        <v>292.51760549490666</v>
      </c>
      <c r="CD198" s="59">
        <f ca="1">AVERAGE(OFFSET($CC$3,0,0,'Données projet'!$E$12+1,1))-AVERAGE(OFFSET($H$3,0,0,'Données projet'!$E$12+1,1))</f>
        <v>471.03166569378629</v>
      </c>
      <c r="CE198" s="59">
        <f t="shared" si="207"/>
        <v>259.15709238853287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42.701412456137888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42.701412456137888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-4.5474735088646412E-13</v>
      </c>
      <c r="CU198" s="17">
        <f>CT198*VLOOKUP('Données projet'!$B$13,Paramètres!$A$1:$I$89,3,0)*VLOOKUP('Données projet'!$B$13,Paramètres!$A$1:$I$89,5,0)</f>
        <v>-2.1282176021486519E-13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364.67256251031029</v>
      </c>
      <c r="CZ198" s="59">
        <f t="shared" si="208"/>
        <v>347.4139588390766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34.729430154238834</v>
      </c>
      <c r="DG198" s="21">
        <f>EXP(-LN(2)/25)*DG197+(1-EXP(-LN(2)/25))/(LN(2)/25)*Calculateur!DB198*Calculateur!DD198*VLOOKUP('Données projet'!$B$13,Paramètres!$A$1:$I$89,3,0)*0.475*44/12</f>
        <v>6.948770893214216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41.678201047453051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69.777528771336733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1.35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4.95</v>
      </c>
      <c r="H199" s="67">
        <f t="shared" si="192"/>
        <v>236.86666666666665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51.998489924038495</v>
      </c>
      <c r="T199" s="59">
        <f t="shared" si="204"/>
        <v>206.32767973856241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1.3001067706515799</v>
      </c>
      <c r="AA199" s="21">
        <f>EXP(-LN(2)/25)*AA198+(1-EXP(-LN(2)/25))/(LN(2)/25)*Calculateur!V199*Calculateur!X199*VLOOKUP('Données projet'!$B$9,Paramètres!$A$1:$I$89,3,0)*0.475*44/12</f>
        <v>8.9111914455612992E-2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1.3892186851071928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356.02637444732096</v>
      </c>
      <c r="AO199" s="59">
        <f t="shared" si="205"/>
        <v>263.30053404008095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17.296115973723861</v>
      </c>
      <c r="AV199" s="21">
        <f>EXP(-LN(2)/25)*AV198+(1-EXP(-LN(2)/25))/(LN(2)/25)*Calculateur!AQ199*Calculateur!AS199*VLOOKUP('Données projet'!$B$10,Paramètres!$A$1:$I$89,3,0)*0.475*44/12</f>
        <v>3.2383199190610878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20.534435892784948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4.2632564145606011E-14</v>
      </c>
      <c r="BE199" s="13">
        <f>BD199*VLOOKUP('Données projet'!$B$11,Paramètres!$A$1:$I$89,3,0)*VLOOKUP('Données projet'!$B$11,Paramètres!$A$1:$I$89,5,0)</f>
        <v>4.3229420043644499E-14</v>
      </c>
      <c r="BF199" s="13">
        <f t="shared" si="167"/>
        <v>7.1602263387468399E-13</v>
      </c>
      <c r="BG199" s="20">
        <f t="shared" si="168"/>
        <v>1.3223639939077553E-12</v>
      </c>
      <c r="BH199" s="59">
        <f t="shared" si="194"/>
        <v>292.53175654920523</v>
      </c>
      <c r="BI199" s="59">
        <f ca="1">AVERAGE(OFFSET($BH$3,0,0,'Données projet'!$E$11+1,1))-AVERAGE(OFFSET($H$3,0,0,'Données projet'!$E$11+1,1))</f>
        <v>478.2340976873212</v>
      </c>
      <c r="BJ199" s="59">
        <f t="shared" si="206"/>
        <v>342.90128902463823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76.831227761365881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76.831227761365881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2.0572770154103635E-13</v>
      </c>
      <c r="CA199" s="13">
        <f t="shared" si="170"/>
        <v>2.8416956338469711E-12</v>
      </c>
      <c r="CB199" s="20">
        <f t="shared" si="171"/>
        <v>5.3075956424674458E-12</v>
      </c>
      <c r="CC199" s="59">
        <f t="shared" si="195"/>
        <v>292.53175654920921</v>
      </c>
      <c r="CD199" s="59">
        <f ca="1">AVERAGE(OFFSET($CC$3,0,0,'Données projet'!$E$12+1,1))-AVERAGE(OFFSET($H$3,0,0,'Données projet'!$E$12+1,1))</f>
        <v>471.03166569378629</v>
      </c>
      <c r="CE199" s="59">
        <f t="shared" si="207"/>
        <v>259.15709238853287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41.864063803162864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41.864063803162864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-4.5474735088646412E-13</v>
      </c>
      <c r="CU199" s="17">
        <f>CT199*VLOOKUP('Données projet'!$B$13,Paramètres!$A$1:$I$89,3,0)*VLOOKUP('Données projet'!$B$13,Paramètres!$A$1:$I$89,5,0)</f>
        <v>-2.1282176021486519E-13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364.67256251031029</v>
      </c>
      <c r="CZ199" s="59">
        <f t="shared" si="208"/>
        <v>347.4139588390766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34.048407211774972</v>
      </c>
      <c r="DG199" s="21">
        <f>EXP(-LN(2)/25)*DG198+(1-EXP(-LN(2)/25))/(LN(2)/25)*Calculateur!DB199*Calculateur!DD199*VLOOKUP('Données projet'!$B$13,Paramètres!$A$1:$I$89,3,0)*0.475*44/12</f>
        <v>6.758756387719294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40.807163599494267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69.781388149782885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1.35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4.95</v>
      </c>
      <c r="H200" s="67">
        <f t="shared" si="192"/>
        <v>236.86666666666665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51.998489924038495</v>
      </c>
      <c r="T200" s="59">
        <f t="shared" si="204"/>
        <v>206.32767973856241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1.2746124698659316</v>
      </c>
      <c r="AA200" s="21">
        <f>EXP(-LN(2)/25)*AA199+(1-EXP(-LN(2)/25))/(LN(2)/25)*Calculateur!V200*Calculateur!X200*VLOOKUP('Données projet'!$B$9,Paramètres!$A$1:$I$89,3,0)*0.475*44/12</f>
        <v>8.6675144468632337E-2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1.361287614334564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356.02637444732096</v>
      </c>
      <c r="AO200" s="59">
        <f t="shared" si="205"/>
        <v>263.30053404008095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16.956949689068196</v>
      </c>
      <c r="AV200" s="21">
        <f>EXP(-LN(2)/25)*AV199+(1-EXP(-LN(2)/25))/(LN(2)/25)*Calculateur!AQ200*Calculateur!AS200*VLOOKUP('Données projet'!$B$10,Paramètres!$A$1:$I$89,3,0)*0.475*44/12</f>
        <v>3.1497678905785191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20.106717579646716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4.2632564145606011E-14</v>
      </c>
      <c r="BE200" s="13">
        <f>BD200*VLOOKUP('Données projet'!$B$11,Paramètres!$A$1:$I$89,3,0)*VLOOKUP('Données projet'!$B$11,Paramètres!$A$1:$I$89,5,0)</f>
        <v>4.3229420043644499E-14</v>
      </c>
      <c r="BF200" s="13">
        <f t="shared" si="167"/>
        <v>7.1602263387468399E-13</v>
      </c>
      <c r="BG200" s="20">
        <f t="shared" si="168"/>
        <v>1.3223639939077553E-12</v>
      </c>
      <c r="BH200" s="59">
        <f t="shared" si="194"/>
        <v>292.54566211435258</v>
      </c>
      <c r="BI200" s="59">
        <f ca="1">AVERAGE(OFFSET($BH$3,0,0,'Données projet'!$E$11+1,1))-AVERAGE(OFFSET($H$3,0,0,'Données projet'!$E$11+1,1))</f>
        <v>478.2340976873212</v>
      </c>
      <c r="BJ200" s="59">
        <f t="shared" si="206"/>
        <v>342.90128902463823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75.324614247387146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75.324614247387146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2.0572770154103635E-13</v>
      </c>
      <c r="CA200" s="13">
        <f t="shared" si="170"/>
        <v>2.8416956338469711E-12</v>
      </c>
      <c r="CB200" s="20">
        <f t="shared" si="171"/>
        <v>5.3075956424674458E-12</v>
      </c>
      <c r="CC200" s="59">
        <f t="shared" si="195"/>
        <v>292.54566211435656</v>
      </c>
      <c r="CD200" s="59">
        <f ca="1">AVERAGE(OFFSET($CC$3,0,0,'Données projet'!$E$12+1,1))-AVERAGE(OFFSET($H$3,0,0,'Données projet'!$E$12+1,1))</f>
        <v>471.03166569378629</v>
      </c>
      <c r="CE200" s="59">
        <f t="shared" si="207"/>
        <v>259.15709238853287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41.043135046540435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41.043135046540435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-4.5474735088646412E-13</v>
      </c>
      <c r="CU200" s="17">
        <f>CT200*VLOOKUP('Données projet'!$B$13,Paramètres!$A$1:$I$89,3,0)*VLOOKUP('Données projet'!$B$13,Paramètres!$A$1:$I$89,5,0)</f>
        <v>-2.1282176021486519E-13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364.67256251031029</v>
      </c>
      <c r="CZ200" s="59">
        <f t="shared" si="208"/>
        <v>347.4139588390766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33.380738713829842</v>
      </c>
      <c r="DG200" s="21">
        <f>EXP(-LN(2)/25)*DG199+(1-EXP(-LN(2)/25))/(LN(2)/25)*Calculateur!DB200*Calculateur!DD200*VLOOKUP('Données projet'!$B$13,Paramètres!$A$1:$I$89,3,0)*0.475*44/12</f>
        <v>6.5739378388695586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39.954676552699404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69.785180576641267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1.35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4.95</v>
      </c>
      <c r="H201" s="67">
        <f t="shared" si="192"/>
        <v>236.86666666666665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51.998489924038495</v>
      </c>
      <c r="T201" s="59">
        <f t="shared" si="204"/>
        <v>206.32767973856241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1.2496180967687018</v>
      </c>
      <c r="AA201" s="21">
        <f>EXP(-LN(2)/25)*AA200+(1-EXP(-LN(2)/25))/(LN(2)/25)*Calculateur!V201*Calculateur!X201*VLOOKUP('Données projet'!$B$9,Paramètres!$A$1:$I$89,3,0)*0.475*44/12</f>
        <v>8.4305008085089839E-2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1.3339231048537916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356.02637444732096</v>
      </c>
      <c r="AO201" s="59">
        <f t="shared" si="205"/>
        <v>263.30053404008095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16.624434248383622</v>
      </c>
      <c r="AV201" s="21">
        <f>EXP(-LN(2)/25)*AV200+(1-EXP(-LN(2)/25))/(LN(2)/25)*Calculateur!AQ201*Calculateur!AS201*VLOOKUP('Données projet'!$B$10,Paramètres!$A$1:$I$89,3,0)*0.475*44/12</f>
        <v>3.0636373219715551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19.688071570355177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4.2632564145606011E-14</v>
      </c>
      <c r="BE201" s="13">
        <f>BD201*VLOOKUP('Données projet'!$B$11,Paramètres!$A$1:$I$89,3,0)*VLOOKUP('Données projet'!$B$11,Paramètres!$A$1:$I$89,5,0)</f>
        <v>4.3229420043644499E-14</v>
      </c>
      <c r="BF201" s="13">
        <f t="shared" si="167"/>
        <v>7.1602263387468399E-13</v>
      </c>
      <c r="BG201" s="20">
        <f t="shared" si="168"/>
        <v>1.3223639939077553E-12</v>
      </c>
      <c r="BH201" s="59">
        <f t="shared" si="194"/>
        <v>292.55932644903294</v>
      </c>
      <c r="BI201" s="59">
        <f ca="1">AVERAGE(OFFSET($BH$3,0,0,'Données projet'!$E$11+1,1))-AVERAGE(OFFSET($H$3,0,0,'Données projet'!$E$11+1,1))</f>
        <v>478.2340976873212</v>
      </c>
      <c r="BJ201" s="59">
        <f t="shared" si="206"/>
        <v>342.90128902463823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73.847544505474033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73.847544505474033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2.0572770154103635E-13</v>
      </c>
      <c r="CA201" s="13">
        <f t="shared" si="170"/>
        <v>2.8416956338469711E-12</v>
      </c>
      <c r="CB201" s="20">
        <f t="shared" si="171"/>
        <v>5.3075956424674458E-12</v>
      </c>
      <c r="CC201" s="59">
        <f t="shared" si="195"/>
        <v>292.55932644903692</v>
      </c>
      <c r="CD201" s="59">
        <f ca="1">AVERAGE(OFFSET($CC$3,0,0,'Données projet'!$E$12+1,1))-AVERAGE(OFFSET($H$3,0,0,'Données projet'!$E$12+1,1))</f>
        <v>471.03166569378629</v>
      </c>
      <c r="CE201" s="59">
        <f t="shared" si="207"/>
        <v>259.15709238853287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40.238304202118272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40.238304202118272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-4.5474735088646412E-13</v>
      </c>
      <c r="CU201" s="17">
        <f>CT201*VLOOKUP('Données projet'!$B$13,Paramètres!$A$1:$I$89,3,0)*VLOOKUP('Données projet'!$B$13,Paramètres!$A$1:$I$89,5,0)</f>
        <v>-2.1282176021486519E-13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364.67256251031029</v>
      </c>
      <c r="CZ201" s="59">
        <f t="shared" si="208"/>
        <v>347.4139588390766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32.726162787891845</v>
      </c>
      <c r="DG201" s="21">
        <f>EXP(-LN(2)/25)*DG200+(1-EXP(-LN(2)/25))/(LN(2)/25)*Calculateur!DB201*Calculateur!DD201*VLOOKUP('Données projet'!$B$13,Paramètres!$A$1:$I$89,3,0)*0.475*44/12</f>
        <v>6.3941731629573049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39.120335950849153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69.788907213372255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1.35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4.95</v>
      </c>
      <c r="H202" s="67">
        <f t="shared" si="192"/>
        <v>236.86666666666665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51.998489924038495</v>
      </c>
      <c r="T202" s="59">
        <f t="shared" si="204"/>
        <v>206.32767973856241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1.2251138480828465</v>
      </c>
      <c r="AA202" s="21">
        <f>EXP(-LN(2)/25)*AA201+(1-EXP(-LN(2)/25))/(LN(2)/25)*Calculateur!V202*Calculateur!X202*VLOOKUP('Données projet'!$B$9,Paramètres!$A$1:$I$89,3,0)*0.475*44/12</f>
        <v>8.1999683205595364E-2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1.3071135312884419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356.02637444732096</v>
      </c>
      <c r="AO202" s="59">
        <f t="shared" si="205"/>
        <v>263.30053404008095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16.298439232676479</v>
      </c>
      <c r="AV202" s="21">
        <f>EXP(-LN(2)/25)*AV201+(1-EXP(-LN(2)/25))/(LN(2)/25)*Calculateur!AQ202*Calculateur!AS202*VLOOKUP('Données projet'!$B$10,Paramètres!$A$1:$I$89,3,0)*0.475*44/12</f>
        <v>2.979861998292558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19.278301230969038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4.2632564145606011E-14</v>
      </c>
      <c r="BE202" s="13">
        <f>BD202*VLOOKUP('Données projet'!$B$11,Paramètres!$A$1:$I$89,3,0)*VLOOKUP('Données projet'!$B$11,Paramètres!$A$1:$I$89,5,0)</f>
        <v>4.3229420043644499E-14</v>
      </c>
      <c r="BF202" s="13">
        <f t="shared" si="167"/>
        <v>7.1602263387468399E-13</v>
      </c>
      <c r="BG202" s="20">
        <f t="shared" si="168"/>
        <v>1.3223639939077553E-12</v>
      </c>
      <c r="BH202" s="59">
        <f t="shared" si="194"/>
        <v>292.57275373805538</v>
      </c>
      <c r="BI202" s="59">
        <f ca="1">AVERAGE(OFFSET($BH$3,0,0,'Données projet'!$E$11+1,1))-AVERAGE(OFFSET($H$3,0,0,'Données projet'!$E$11+1,1))</f>
        <v>478.2340976873212</v>
      </c>
      <c r="BJ202" s="59">
        <f t="shared" si="206"/>
        <v>342.90128902463823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72.399439200276248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72.399439200276248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2.0572770154103635E-13</v>
      </c>
      <c r="CA202" s="13">
        <f t="shared" si="170"/>
        <v>2.8416956338469711E-12</v>
      </c>
      <c r="CB202" s="20">
        <f t="shared" si="171"/>
        <v>5.3075956424674458E-12</v>
      </c>
      <c r="CC202" s="59">
        <f t="shared" si="195"/>
        <v>292.57275373805936</v>
      </c>
      <c r="CD202" s="59">
        <f ca="1">AVERAGE(OFFSET($CC$3,0,0,'Données projet'!$E$12+1,1))-AVERAGE(OFFSET($H$3,0,0,'Données projet'!$E$12+1,1))</f>
        <v>471.03166569378629</v>
      </c>
      <c r="CE202" s="59">
        <f t="shared" si="207"/>
        <v>259.15709238853287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39.44925559965688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39.44925559965688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-4.5474735088646412E-13</v>
      </c>
      <c r="CU202" s="17">
        <f>CT202*VLOOKUP('Données projet'!$B$13,Paramètres!$A$1:$I$89,3,0)*VLOOKUP('Données projet'!$B$13,Paramètres!$A$1:$I$89,5,0)</f>
        <v>-2.1282176021486519E-13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364.67256251031029</v>
      </c>
      <c r="CZ202" s="59">
        <f t="shared" si="208"/>
        <v>347.4139588390766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32.0844226966096</v>
      </c>
      <c r="DG202" s="21">
        <f>EXP(-LN(2)/25)*DG201+(1-EXP(-LN(2)/25))/(LN(2)/25)*Calculateur!DB202*Calculateur!DD202*VLOOKUP('Données projet'!$B$13,Paramètres!$A$1:$I$89,3,0)*0.475*44/12</f>
        <v>6.2193241615612846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38.303746858170882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69.792569201287478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1.35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63.25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4.95</v>
      </c>
      <c r="H203" s="67">
        <f t="shared" si="192"/>
        <v>236.86666666666665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51.998489924038495</v>
      </c>
      <c r="T203" s="59">
        <f t="shared" si="204"/>
        <v>206.32767973856241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1.2010901127676048</v>
      </c>
      <c r="AA203" s="21">
        <f>EXP(-LN(2)/25)*AA202+(1-EXP(-LN(2)/25))/(LN(2)/25)*Calculateur!V203*Calculateur!X203*VLOOKUP('Données projet'!$B$9,Paramètres!$A$1:$I$89,3,0)*0.475*44/12</f>
        <v>7.9757397556162429E-2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1.2808475103237673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356.02637444732096</v>
      </c>
      <c r="AO203" s="59">
        <f t="shared" si="205"/>
        <v>263.30053404008095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15.978836780390026</v>
      </c>
      <c r="AV203" s="21">
        <f>EXP(-LN(2)/25)*AV202+(1-EXP(-LN(2)/25))/(LN(2)/25)*Calculateur!AQ203*Calculateur!AS203*VLOOKUP('Données projet'!$B$10,Paramètres!$A$1:$I$89,3,0)*0.475*44/12</f>
        <v>2.8983775152451163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18.877214295635142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4.2632564145606011E-14</v>
      </c>
      <c r="BE203" s="13">
        <f>BD203*VLOOKUP('Données projet'!$B$11,Paramètres!$A$1:$I$89,3,0)*VLOOKUP('Données projet'!$B$11,Paramètres!$A$1:$I$89,5,0)</f>
        <v>4.3229420043644499E-14</v>
      </c>
      <c r="BF203" s="13">
        <f t="shared" si="167"/>
        <v>7.1602263387468399E-13</v>
      </c>
      <c r="BG203" s="20">
        <f t="shared" si="168"/>
        <v>1.3223639939077553E-12</v>
      </c>
      <c r="BH203" s="59">
        <f t="shared" si="194"/>
        <v>292.58594809363228</v>
      </c>
      <c r="BI203" s="59">
        <f ca="1">AVERAGE(OFFSET($BH$3,0,0,'Données projet'!$E$11+1,1))-AVERAGE(OFFSET($H$3,0,0,'Données projet'!$E$11+1,1))</f>
        <v>478.2340976873212</v>
      </c>
      <c r="BJ203" s="59">
        <f t="shared" si="206"/>
        <v>342.90128902463823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70.979730356856379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70.979730356856379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2.0572770154103635E-13</v>
      </c>
      <c r="CA203" s="13">
        <f t="shared" si="170"/>
        <v>2.8416956338469711E-12</v>
      </c>
      <c r="CB203" s="20">
        <f t="shared" si="171"/>
        <v>5.3075956424674458E-12</v>
      </c>
      <c r="CC203" s="59">
        <f t="shared" si="195"/>
        <v>292.58594809363626</v>
      </c>
      <c r="CD203" s="59">
        <f ca="1">AVERAGE(OFFSET($CC$3,0,0,'Données projet'!$E$12+1,1))-AVERAGE(OFFSET($H$3,0,0,'Données projet'!$E$12+1,1))</f>
        <v>471.03166569378629</v>
      </c>
      <c r="CE203" s="59">
        <f t="shared" si="207"/>
        <v>259.15709238853287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38.675679759017633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38.675679759017633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-4.5474735088646412E-13</v>
      </c>
      <c r="CU203" s="17">
        <f>CT203*VLOOKUP('Données projet'!$B$13,Paramètres!$A$1:$I$89,3,0)*VLOOKUP('Données projet'!$B$13,Paramètres!$A$1:$I$89,5,0)</f>
        <v>-2.1282176021486519E-13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364.67256251031029</v>
      </c>
      <c r="CZ203" s="59">
        <f t="shared" si="208"/>
        <v>347.4139588390766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31.455266737094597</v>
      </c>
      <c r="DG203" s="21">
        <f>EXP(-LN(2)/25)*DG202+(1-EXP(-LN(2)/25))/(LN(2)/25)*Calculateur!DB203*Calculateur!DD203*VLOOKUP('Données projet'!$B$13,Paramètres!$A$1:$I$89,3,0)*0.475*44/12</f>
        <v>6.0492564153033479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37.504523152397944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69.796167661899347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1.2225452705364885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1.2472301622014093</v>
      </c>
      <c r="BA205" s="82">
        <f>EXP(LN('Données projet'!B88)/'Données projet'!A88)</f>
        <v>1.1386942220473621</v>
      </c>
      <c r="BV205" s="82">
        <f>EXP(LN('Données projet'!B114)/'Données projet'!A114)</f>
        <v>1.1691171086187513</v>
      </c>
      <c r="CQ205" s="82">
        <f>EXP(LN('Données projet'!B140)/'Données projet'!A140)</f>
        <v>1.1544582689993719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25" sqref="I2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Peuplier Koster</v>
      </c>
      <c r="B6" s="146">
        <f>'Données projet'!D9</f>
        <v>0.76906184640707931</v>
      </c>
      <c r="C6" s="147">
        <f ca="1">IF(OR('Données projet'!B9="",'Données projet'!C9="",'Données projet'!C9=0%),0,Calculateur!S3)</f>
        <v>51.998489924038495</v>
      </c>
      <c r="D6" s="147">
        <f>IF(OR('Données projet'!B9="",'Données projet'!C9="",'Données projet'!C9=0%),0,Calculateur!T3)</f>
        <v>206.32767973856241</v>
      </c>
      <c r="E6" s="147">
        <f ca="1">MIN(C6,D6)</f>
        <v>51.998489924038495</v>
      </c>
      <c r="F6" s="147">
        <f ca="1">E6*B6</f>
        <v>39.990054671360951</v>
      </c>
      <c r="G6" s="147">
        <f ca="1">F6*(100%-'Données projet'!$C$24)*(100%-'Données projet'!$C$25)*(100%-'Données projet'!$C$26)*(100%-'Données projet'!$C$27)</f>
        <v>35.991049204224858</v>
      </c>
      <c r="H6" s="148">
        <f>IF(OR('Données projet'!B9="",'Données projet'!C9="",'Données projet'!C9=0%),0,AVERAGE(Calculateur!$AC$3:$AC$33)*B6)</f>
        <v>6.8672534477095235</v>
      </c>
      <c r="I6" s="149">
        <f>H6*(100%-'Données projet'!$C$24)*(100%-'Données projet'!$C$25)*(100%-'Données projet'!$C$26)*(100%-'Données projet'!$C$27)</f>
        <v>6.1805281029385712</v>
      </c>
      <c r="J6" s="150">
        <f>IF(OR('Données projet'!B9="",'Données projet'!C9="",'Données projet'!C9=0%),0,SUM(Calculateur!$V$3:$V$33)*VLOOKUP('Données projet'!$B$9,Paramètres!$A$1:$I$89,9,0)*B6)</f>
        <v>120.34338931181547</v>
      </c>
      <c r="K6" s="151">
        <f>J6*(100%-'Données projet'!$C$24)*(100%-'Données projet'!$C$25)*(100%-'Données projet'!$C$26)*(100%-'Données projet'!$C$27)</f>
        <v>108.30905038063392</v>
      </c>
      <c r="L6" s="152">
        <f ca="1">G6+I6+K6</f>
        <v>150.48062768779735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6.2899721989414159</v>
      </c>
      <c r="C7" s="147">
        <f ca="1">IF(OR('Données projet'!B10="",'Données projet'!C10="",'Données projet'!C10=0%),0,Calculateur!AN3)</f>
        <v>356.02637444732096</v>
      </c>
      <c r="D7" s="147">
        <f>IF(OR('Données projet'!B10="",'Données projet'!C10="",'Données projet'!C10=0%),0,Calculateur!AO3)</f>
        <v>263.30053404008095</v>
      </c>
      <c r="E7" s="147">
        <f t="shared" ref="E7:E15" ca="1" si="0">MIN(C7,D7)</f>
        <v>263.30053404008095</v>
      </c>
      <c r="F7" s="147">
        <f t="shared" ref="F7:F15" ca="1" si="1">E7*B7</f>
        <v>1656.1530390785372</v>
      </c>
      <c r="G7" s="147">
        <f ca="1">F7*(100%-'Données projet'!$C$24)*(100%-'Données projet'!$C$25)*(100%-'Données projet'!$C$26)*(100%-'Données projet'!$C$27)</f>
        <v>1490.5377351706834</v>
      </c>
      <c r="H7" s="155">
        <f>IF(OR('Données projet'!B10="",'Données projet'!C10="",'Données projet'!C10=0%),0,AVERAGE(Calculateur!$AX$3:$AX$33)*B7)</f>
        <v>37.038429849205961</v>
      </c>
      <c r="I7" s="149">
        <f>H7*(100%-'Données projet'!$C$24)*(100%-'Données projet'!$C$25)*(100%-'Données projet'!$C$26)*(100%-'Données projet'!$C$27)</f>
        <v>33.334586864285363</v>
      </c>
      <c r="J7" s="150">
        <f>IF(OR('Données projet'!B10="",'Données projet'!C10="",'Données projet'!C10=0%),0,SUM(Calculateur!$AQ$3:$AQ$33)*VLOOKUP('Données projet'!$B$10,Paramètres!$A$1:$I$89,9,0)*B7)</f>
        <v>244.09809611041899</v>
      </c>
      <c r="K7" s="151">
        <f>J7*(100%-'Données projet'!$C$24)*(100%-'Données projet'!$C$25)*(100%-'Données projet'!$C$26)*(100%-'Données projet'!$C$27)</f>
        <v>219.68828649937709</v>
      </c>
      <c r="L7" s="152">
        <f t="shared" ref="L7:L15" ca="1" si="2">G7+I7+K7</f>
        <v>1743.5606085343456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1.7436600448501598</v>
      </c>
      <c r="C8" s="147">
        <f ca="1">IF(OR('Données projet'!B11="",'Données projet'!C11="",'Données projet'!C11=0%),0,Calculateur!BI3)</f>
        <v>478.2340976873212</v>
      </c>
      <c r="D8" s="147">
        <f>IF(OR('Données projet'!B11="",'Données projet'!C11="",'Données projet'!C11=0%),0,Calculateur!BJ3)</f>
        <v>342.90128902463823</v>
      </c>
      <c r="E8" s="147">
        <f t="shared" ca="1" si="0"/>
        <v>342.90128902463823</v>
      </c>
      <c r="F8" s="147">
        <f t="shared" ca="1" si="1"/>
        <v>597.90327699987836</v>
      </c>
      <c r="G8" s="147">
        <f ca="1">F8*(100%-'Données projet'!$C$24)*(100%-'Données projet'!$C$25)*(100%-'Données projet'!$C$26)*(100%-'Données projet'!$C$27)</f>
        <v>538.11294929989049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538.11294929989049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sessile</v>
      </c>
      <c r="B9" s="154">
        <f>'Données projet'!D12</f>
        <v>1.4021657945802282</v>
      </c>
      <c r="C9" s="147">
        <f ca="1">IF(OR('Données projet'!B12="",'Données projet'!C12="",'Données projet'!C12=0%),0,Calculateur!CD3)</f>
        <v>471.03166569378629</v>
      </c>
      <c r="D9" s="147">
        <f>IF(OR('Données projet'!B12="",'Données projet'!C12="",'Données projet'!C12=0%),0,Calculateur!CE3)</f>
        <v>259.15709238853287</v>
      </c>
      <c r="E9" s="147">
        <f t="shared" ca="1" si="0"/>
        <v>259.15709238853287</v>
      </c>
      <c r="F9" s="147">
        <f t="shared" ca="1" si="1"/>
        <v>363.3812103700688</v>
      </c>
      <c r="G9" s="147">
        <f ca="1">F9*(100%-'Données projet'!$C$24)*(100%-'Données projet'!$C$25)*(100%-'Données projet'!$C$26)*(100%-'Données projet'!$C$27)</f>
        <v>327.04308933306191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327.04308933306191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Cèdre de l'Atlas</v>
      </c>
      <c r="B10" s="154">
        <f>'Données projet'!D13</f>
        <v>1.9154868356475712</v>
      </c>
      <c r="C10" s="147">
        <f ca="1">IF(OR('Données projet'!B13="",'Données projet'!C13="",'Données projet'!C13=0%),0,Calculateur!CY3)</f>
        <v>364.67256251031029</v>
      </c>
      <c r="D10" s="147">
        <f>IF(OR('Données projet'!B13="",'Données projet'!C13="",'Données projet'!C13=0%),0,Calculateur!CZ3)</f>
        <v>347.4139588390766</v>
      </c>
      <c r="E10" s="147">
        <f t="shared" ca="1" si="0"/>
        <v>347.4139588390766</v>
      </c>
      <c r="F10" s="147">
        <f t="shared" ca="1" si="1"/>
        <v>665.46686467645839</v>
      </c>
      <c r="G10" s="147">
        <f ca="1">F10*(100%-'Données projet'!$C$24)*(100%-'Données projet'!$C$25)*(100%-'Données projet'!$C$26)*(100%-'Données projet'!$C$27)</f>
        <v>598.92017820881256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598.92017820881256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3322.8944457963039</v>
      </c>
      <c r="G16" s="166">
        <f t="shared" ca="1" si="3"/>
        <v>2990.6050012166734</v>
      </c>
      <c r="H16" s="167">
        <f t="shared" si="3"/>
        <v>43.905683296915484</v>
      </c>
      <c r="I16" s="167">
        <f t="shared" si="3"/>
        <v>39.515114967223937</v>
      </c>
      <c r="J16" s="168">
        <f t="shared" si="3"/>
        <v>364.44148542223445</v>
      </c>
      <c r="K16" s="168">
        <f t="shared" si="3"/>
        <v>327.99733688001101</v>
      </c>
      <c r="L16" s="169">
        <f t="shared" ca="1" si="3"/>
        <v>3358.1174530639078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0" zoomScaleNormal="80" workbookViewId="0">
      <selection activeCell="T23" sqref="T23:V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-538.25157686699595</v>
      </c>
      <c r="U10" s="178">
        <f>'Données projet'!D9</f>
        <v>0.76906184640707931</v>
      </c>
      <c r="V10" s="177">
        <f>U10*T10</f>
        <v>-413.94875153685388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-1476.9501536955797</v>
      </c>
      <c r="U11" s="178">
        <f>'Données projet'!D10</f>
        <v>6.2899721989414159</v>
      </c>
      <c r="V11" s="177">
        <f t="shared" ref="V11" si="0">U11*T11</f>
        <v>-9289.9754059674469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-4026.6914181427064</v>
      </c>
      <c r="U12" s="178">
        <f>'Données projet'!D11</f>
        <v>1.7436600448501598</v>
      </c>
      <c r="V12" s="177">
        <f t="shared" ref="V12:V19" si="1">U12*T12</f>
        <v>-7021.1809387564654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-1549.8400994822698</v>
      </c>
      <c r="U13" s="178">
        <f>'Données projet'!D12</f>
        <v>1.4021657945802282</v>
      </c>
      <c r="V13" s="177">
        <f t="shared" si="1"/>
        <v>-2173.1327745628569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-534.92654786769594</v>
      </c>
      <c r="U14" s="178">
        <f>'Données projet'!D13</f>
        <v>1.9154868356475712</v>
      </c>
      <c r="V14" s="177">
        <f t="shared" si="1"/>
        <v>-1024.6447604789719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(496+310+824.8)/0.77</f>
        <v>2117.9220779220777</v>
      </c>
      <c r="F17" s="230"/>
      <c r="G17" s="303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I18" s="1" t="s">
        <v>325</v>
      </c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(800+270+100+25247+0.08*43466)/'Données projet'!C5+60+270+2000*0.15</f>
        <v>2887.8761329305134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20+340+2000*0.15</f>
        <v>660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20+270+2000*0.15</f>
        <v>590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151.92307692307691</v>
      </c>
      <c r="C23" s="193">
        <v>31.25</v>
      </c>
      <c r="D23" s="182">
        <f>B23*C23</f>
        <v>4747.5961538461534</v>
      </c>
      <c r="E23" s="193"/>
      <c r="F23" s="230"/>
      <c r="H23" s="190">
        <v>4</v>
      </c>
      <c r="I23" s="191">
        <v>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-75875.448827807209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-75875.448827807209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2000*(0.75+0.54)</f>
        <v>2580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0.15*E48</f>
        <v>387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52.41</v>
      </c>
      <c r="C54" s="191">
        <v>8.5</v>
      </c>
      <c r="D54" s="179">
        <f>B54*C54</f>
        <v>445.48499999999996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27</v>
      </c>
      <c r="B55" s="181">
        <f>'Données projet'!D63</f>
        <v>37.840000000000003</v>
      </c>
      <c r="C55" s="191">
        <v>8.5</v>
      </c>
      <c r="D55" s="179">
        <f t="shared" ref="D55:D73" si="4">B55*C55</f>
        <v>321.64000000000004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33</v>
      </c>
      <c r="B56" s="181">
        <f>'Données projet'!D64</f>
        <v>50.41</v>
      </c>
      <c r="C56" s="191">
        <v>15.5</v>
      </c>
      <c r="D56" s="179">
        <f t="shared" si="4"/>
        <v>781.3549999999999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41</v>
      </c>
      <c r="B57" s="181">
        <f>'Données projet'!D65</f>
        <v>72.13</v>
      </c>
      <c r="C57" s="191">
        <v>15.5</v>
      </c>
      <c r="D57" s="179">
        <f t="shared" si="4"/>
        <v>1118.0149999999999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70.2</v>
      </c>
      <c r="C58" s="191">
        <v>29.5</v>
      </c>
      <c r="D58" s="179">
        <f t="shared" si="4"/>
        <v>2070.9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69.849999999999994</v>
      </c>
      <c r="C59" s="191">
        <v>29.5</v>
      </c>
      <c r="D59" s="179">
        <f t="shared" si="4"/>
        <v>2060.5749999999998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 t="str">
        <f>IF(O58+1&lt;=MIN('Données projet'!$E$9:$E$18),O58+1,"STOP")</f>
        <v>STOP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67.88</v>
      </c>
      <c r="C60" s="191">
        <v>29.5</v>
      </c>
      <c r="D60" s="179">
        <f t="shared" si="4"/>
        <v>2002.4599999999998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520</v>
      </c>
      <c r="C61" s="191">
        <v>29.5</v>
      </c>
      <c r="D61" s="179">
        <f t="shared" si="4"/>
        <v>15340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2000*(1.55+0.54)</f>
        <v>4180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0.15*E79</f>
        <v>627</v>
      </c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40</v>
      </c>
      <c r="B85" s="181">
        <f>'Données projet'!D88</f>
        <v>84.13</v>
      </c>
      <c r="C85" s="191">
        <v>18.5</v>
      </c>
      <c r="D85" s="179">
        <f>B85*C85</f>
        <v>1556.405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47</v>
      </c>
      <c r="B86" s="181">
        <f>'Données projet'!D89</f>
        <v>43</v>
      </c>
      <c r="C86" s="191">
        <v>18.5</v>
      </c>
      <c r="D86" s="179">
        <f t="shared" ref="D86:D104" si="6">B86*C86</f>
        <v>795.5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55</v>
      </c>
      <c r="B87" s="181">
        <f>'Données projet'!D90</f>
        <v>50.03</v>
      </c>
      <c r="C87" s="191">
        <v>18.5</v>
      </c>
      <c r="D87" s="179">
        <f t="shared" si="6"/>
        <v>925.55500000000006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63</v>
      </c>
      <c r="B88" s="181">
        <f>'Données projet'!D91</f>
        <v>45.14</v>
      </c>
      <c r="C88" s="191">
        <v>32</v>
      </c>
      <c r="D88" s="179">
        <f t="shared" si="6"/>
        <v>1444.48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71</v>
      </c>
      <c r="B89" s="181">
        <f>'Données projet'!D92</f>
        <v>41.9</v>
      </c>
      <c r="C89" s="191">
        <v>32</v>
      </c>
      <c r="D89" s="179">
        <f t="shared" si="6"/>
        <v>1340.8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79</v>
      </c>
      <c r="B90" s="181">
        <f>'Données projet'!D93</f>
        <v>39.520000000000003</v>
      </c>
      <c r="C90" s="191">
        <v>32</v>
      </c>
      <c r="D90" s="179">
        <f t="shared" si="6"/>
        <v>1264.6400000000001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88</v>
      </c>
      <c r="B91" s="181">
        <f>'Données projet'!D94</f>
        <v>40.659999999999997</v>
      </c>
      <c r="C91" s="191">
        <v>32</v>
      </c>
      <c r="D91" s="179">
        <f t="shared" si="6"/>
        <v>1301.1199999999999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97</v>
      </c>
      <c r="B92" s="181">
        <f>'Données projet'!D95</f>
        <v>44.17</v>
      </c>
      <c r="C92" s="191">
        <v>32</v>
      </c>
      <c r="D92" s="179">
        <f t="shared" si="6"/>
        <v>1413.44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107</v>
      </c>
      <c r="B93" s="181">
        <f>'Données projet'!D96</f>
        <v>40.71</v>
      </c>
      <c r="C93" s="191">
        <v>32</v>
      </c>
      <c r="D93" s="179">
        <f t="shared" si="6"/>
        <v>1302.72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117</v>
      </c>
      <c r="B94" s="181">
        <f>'Données projet'!D97</f>
        <v>42.89</v>
      </c>
      <c r="C94" s="191">
        <v>32</v>
      </c>
      <c r="D94" s="179">
        <f t="shared" si="6"/>
        <v>1372.48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129</v>
      </c>
      <c r="B95" s="181">
        <f>'Données projet'!D98</f>
        <v>54</v>
      </c>
      <c r="C95" s="191">
        <v>32</v>
      </c>
      <c r="D95" s="179">
        <f t="shared" si="6"/>
        <v>1728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141</v>
      </c>
      <c r="B96" s="181">
        <f>'Données projet'!D99</f>
        <v>56.79</v>
      </c>
      <c r="C96" s="191">
        <v>32</v>
      </c>
      <c r="D96" s="179">
        <f t="shared" si="6"/>
        <v>1817.28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153</v>
      </c>
      <c r="B97" s="181">
        <f>'Données projet'!D100</f>
        <v>186.83</v>
      </c>
      <c r="C97" s="191">
        <v>32</v>
      </c>
      <c r="D97" s="179">
        <f t="shared" si="6"/>
        <v>5978.56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157</v>
      </c>
      <c r="B98" s="181">
        <f>'Données projet'!D101</f>
        <v>70.989999999999995</v>
      </c>
      <c r="C98" s="191">
        <v>32</v>
      </c>
      <c r="D98" s="179">
        <f t="shared" si="6"/>
        <v>2271.6799999999998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161</v>
      </c>
      <c r="B99" s="181">
        <f>'Données projet'!D102</f>
        <v>47.17</v>
      </c>
      <c r="C99" s="191">
        <v>32</v>
      </c>
      <c r="D99" s="179">
        <f t="shared" si="6"/>
        <v>1509.44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165</v>
      </c>
      <c r="B100" s="181">
        <f>'Données projet'!D103</f>
        <v>99.64</v>
      </c>
      <c r="C100" s="191">
        <v>32</v>
      </c>
      <c r="D100" s="179">
        <f t="shared" si="6"/>
        <v>3188.48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2000*(1.47+0.54)</f>
        <v>4019.9999999999995</v>
      </c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0.15*E110</f>
        <v>602.99999999999989</v>
      </c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31</v>
      </c>
      <c r="B116" s="181">
        <f>'Données projet'!D114</f>
        <v>26.77</v>
      </c>
      <c r="C116" s="191">
        <v>10</v>
      </c>
      <c r="D116" s="179">
        <f>B116*C116</f>
        <v>267.7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37</v>
      </c>
      <c r="B117" s="181">
        <f>'Données projet'!D115</f>
        <v>45.38</v>
      </c>
      <c r="C117" s="191">
        <v>10</v>
      </c>
      <c r="D117" s="179">
        <f t="shared" ref="D117:D135" si="8">B117*C117</f>
        <v>453.8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43</v>
      </c>
      <c r="B118" s="181">
        <f>'Données projet'!D116</f>
        <v>50.92</v>
      </c>
      <c r="C118" s="191">
        <v>58</v>
      </c>
      <c r="D118" s="179">
        <f t="shared" si="8"/>
        <v>2953.36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49</v>
      </c>
      <c r="B119" s="181">
        <f>'Données projet'!D117</f>
        <v>48.69</v>
      </c>
      <c r="C119" s="191">
        <v>58</v>
      </c>
      <c r="D119" s="179">
        <f t="shared" si="8"/>
        <v>2824.02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55</v>
      </c>
      <c r="B120" s="181">
        <f>'Données projet'!D118</f>
        <v>45.46</v>
      </c>
      <c r="C120" s="191">
        <v>58</v>
      </c>
      <c r="D120" s="179">
        <f t="shared" si="8"/>
        <v>2636.68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63</v>
      </c>
      <c r="B121" s="181">
        <f>'Données projet'!D119</f>
        <v>56.55</v>
      </c>
      <c r="C121" s="191">
        <v>106</v>
      </c>
      <c r="D121" s="179">
        <f t="shared" si="8"/>
        <v>5994.2999999999993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71</v>
      </c>
      <c r="B122" s="181">
        <f>'Données projet'!D120</f>
        <v>54.57</v>
      </c>
      <c r="C122" s="191">
        <v>106</v>
      </c>
      <c r="D122" s="179">
        <f t="shared" si="8"/>
        <v>5784.42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80</v>
      </c>
      <c r="B123" s="181">
        <f>'Données projet'!D121</f>
        <v>59.22</v>
      </c>
      <c r="C123" s="191">
        <v>106</v>
      </c>
      <c r="D123" s="179">
        <f t="shared" si="8"/>
        <v>6277.32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89</v>
      </c>
      <c r="B124" s="181">
        <f>'Données projet'!D122</f>
        <v>56.32</v>
      </c>
      <c r="C124" s="191">
        <v>106</v>
      </c>
      <c r="D124" s="179">
        <f t="shared" si="8"/>
        <v>5969.92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99</v>
      </c>
      <c r="B125" s="181">
        <f>'Données projet'!D123</f>
        <v>62.89</v>
      </c>
      <c r="C125" s="191">
        <v>106</v>
      </c>
      <c r="D125" s="179">
        <f t="shared" si="8"/>
        <v>6666.34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109</v>
      </c>
      <c r="B126" s="181">
        <f>'Données projet'!D124</f>
        <v>64.41</v>
      </c>
      <c r="C126" s="191">
        <v>106</v>
      </c>
      <c r="D126" s="179">
        <f t="shared" si="8"/>
        <v>6827.46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119</v>
      </c>
      <c r="B127" s="181">
        <f>'Données projet'!D125</f>
        <v>231.19</v>
      </c>
      <c r="C127" s="191">
        <v>106</v>
      </c>
      <c r="D127" s="179">
        <f t="shared" si="8"/>
        <v>24506.14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123</v>
      </c>
      <c r="B128" s="181">
        <f>'Données projet'!D126</f>
        <v>81.84</v>
      </c>
      <c r="C128" s="191">
        <v>106</v>
      </c>
      <c r="D128" s="179">
        <f t="shared" si="8"/>
        <v>8675.0400000000009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127</v>
      </c>
      <c r="B129" s="181">
        <f>'Données projet'!D127</f>
        <v>54.18</v>
      </c>
      <c r="C129" s="191">
        <v>106</v>
      </c>
      <c r="D129" s="179">
        <f t="shared" si="8"/>
        <v>5743.08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130</v>
      </c>
      <c r="B130" s="181">
        <f>'Données projet'!D128</f>
        <v>121.16</v>
      </c>
      <c r="C130" s="191">
        <v>106</v>
      </c>
      <c r="D130" s="179">
        <f t="shared" si="8"/>
        <v>12842.96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1500*(1.5+0.54)</f>
        <v>3060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0.15*E141</f>
        <v>459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182.39</v>
      </c>
      <c r="C147" s="191">
        <v>32.5</v>
      </c>
      <c r="D147" s="182">
        <f>B147*C147</f>
        <v>5927.6749999999993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49</v>
      </c>
      <c r="B148" s="175">
        <f>'Données projet'!D141</f>
        <v>100.16</v>
      </c>
      <c r="C148" s="191">
        <v>32.5</v>
      </c>
      <c r="D148" s="182">
        <f t="shared" ref="D148:D166" si="10">B148*C148</f>
        <v>3255.2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56</v>
      </c>
      <c r="B149" s="175">
        <f>'Données projet'!D142</f>
        <v>79.39</v>
      </c>
      <c r="C149" s="191">
        <v>43.5</v>
      </c>
      <c r="D149" s="182">
        <f t="shared" si="10"/>
        <v>3453.4650000000001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63</v>
      </c>
      <c r="B150" s="175">
        <f>'Données projet'!D143</f>
        <v>79.099999999999994</v>
      </c>
      <c r="C150" s="191">
        <v>43.5</v>
      </c>
      <c r="D150" s="182">
        <f t="shared" si="10"/>
        <v>3440.85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71</v>
      </c>
      <c r="B151" s="175">
        <f>'Données projet'!D144</f>
        <v>90.8</v>
      </c>
      <c r="C151" s="191">
        <v>43.5</v>
      </c>
      <c r="D151" s="182">
        <f t="shared" si="10"/>
        <v>3949.7999999999997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79</v>
      </c>
      <c r="B152" s="175">
        <f>'Données projet'!D145</f>
        <v>87.99</v>
      </c>
      <c r="C152" s="191">
        <v>43.5</v>
      </c>
      <c r="D152" s="182">
        <f t="shared" si="10"/>
        <v>3827.5649999999996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87</v>
      </c>
      <c r="B153" s="175">
        <f>'Données projet'!D146</f>
        <v>88.62</v>
      </c>
      <c r="C153" s="191">
        <v>43.5</v>
      </c>
      <c r="D153" s="182">
        <f t="shared" si="10"/>
        <v>3854.9700000000003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95</v>
      </c>
      <c r="B154" s="175">
        <f>'Données projet'!D147</f>
        <v>268.81</v>
      </c>
      <c r="C154" s="191">
        <v>43.5</v>
      </c>
      <c r="D154" s="182">
        <f t="shared" si="10"/>
        <v>11693.235000000001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105</v>
      </c>
      <c r="B155" s="175">
        <f>'Données projet'!D148</f>
        <v>356.68</v>
      </c>
      <c r="C155" s="191">
        <v>43.5</v>
      </c>
      <c r="D155" s="182">
        <f t="shared" si="10"/>
        <v>15515.58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 t="shared" ref="D178:D190" si="11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si="11"/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ref="D191:D197" si="12">B191*C191</f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/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 t="shared" ref="D209:D221" si="13"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si="13"/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ref="D222:D228" si="14">B222*C222</f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74461-5195-47C4-B296-1CA8A12A9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2024-04-16T07:25:06Z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