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14"/>
  <workbookPr codeName="ThisWorkbook"/>
  <mc:AlternateContent xmlns:mc="http://schemas.openxmlformats.org/markup-compatibility/2006">
    <mc:Choice Requires="x15">
      <x15ac:absPath xmlns:x15ac="http://schemas.microsoft.com/office/spreadsheetml/2010/11/ac" url="/Users/a.l-l/Library/CloudStorage/GoogleDrive-alabergere@stock-co2.fr/Drive partagés/STOCK CO2/5 - STOCKEURS/02-FORET-VERGERS/3-DEPOSE/226-B-HERMOUET-PDL(85)-BATAILLERE-GFduGland-Maurisson-Poiroux/"/>
    </mc:Choice>
  </mc:AlternateContent>
  <xr:revisionPtr revIDLastSave="0" documentId="13_ncr:1_{A99AF3DF-4C2C-1B4E-B771-602C36C49956}" xr6:coauthVersionLast="47" xr6:coauthVersionMax="47" xr10:uidLastSave="{00000000-0000-0000-0000-000000000000}"/>
  <bookViews>
    <workbookView xWindow="0" yWindow="760" windowWidth="30240" windowHeight="18880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42" i="1" l="1"/>
  <c r="D116" i="1"/>
  <c r="D90" i="1"/>
  <c r="B90" i="1"/>
  <c r="B89" i="1"/>
  <c r="B116" i="1"/>
  <c r="B115" i="1"/>
  <c r="B142" i="1"/>
  <c r="B141" i="1"/>
  <c r="C179" i="6"/>
  <c r="C180" i="6"/>
  <c r="C181" i="6"/>
  <c r="C182" i="6"/>
  <c r="C183" i="6"/>
  <c r="C184" i="6"/>
  <c r="C185" i="6"/>
  <c r="C186" i="6"/>
  <c r="C187" i="6"/>
  <c r="C188" i="6"/>
  <c r="C189" i="6"/>
  <c r="C190" i="6"/>
  <c r="C191" i="6"/>
  <c r="C192" i="6"/>
  <c r="C193" i="6"/>
  <c r="C194" i="6"/>
  <c r="C195" i="6"/>
  <c r="C196" i="6"/>
  <c r="C197" i="6"/>
  <c r="C178" i="6"/>
  <c r="C303" i="6"/>
  <c r="C304" i="6"/>
  <c r="C305" i="6"/>
  <c r="C306" i="6"/>
  <c r="C307" i="6"/>
  <c r="C308" i="6"/>
  <c r="C309" i="6"/>
  <c r="C310" i="6"/>
  <c r="C311" i="6"/>
  <c r="C312" i="6"/>
  <c r="C313" i="6"/>
  <c r="C314" i="6"/>
  <c r="C315" i="6"/>
  <c r="C316" i="6"/>
  <c r="C317" i="6"/>
  <c r="C318" i="6"/>
  <c r="C319" i="6"/>
  <c r="C320" i="6"/>
  <c r="C321" i="6"/>
  <c r="C302" i="6"/>
  <c r="C272" i="6"/>
  <c r="C273" i="6"/>
  <c r="C274" i="6"/>
  <c r="C275" i="6"/>
  <c r="C276" i="6"/>
  <c r="C277" i="6"/>
  <c r="C278" i="6"/>
  <c r="C279" i="6"/>
  <c r="C280" i="6"/>
  <c r="C281" i="6"/>
  <c r="C282" i="6"/>
  <c r="C283" i="6"/>
  <c r="C284" i="6"/>
  <c r="C285" i="6"/>
  <c r="C286" i="6"/>
  <c r="C287" i="6"/>
  <c r="C288" i="6"/>
  <c r="C289" i="6"/>
  <c r="C290" i="6"/>
  <c r="C271" i="6"/>
  <c r="C241" i="6"/>
  <c r="C242" i="6"/>
  <c r="C243" i="6"/>
  <c r="C244" i="6"/>
  <c r="C245" i="6"/>
  <c r="C246" i="6"/>
  <c r="C247" i="6"/>
  <c r="C248" i="6"/>
  <c r="C249" i="6"/>
  <c r="C250" i="6"/>
  <c r="C251" i="6"/>
  <c r="C252" i="6"/>
  <c r="C253" i="6"/>
  <c r="C254" i="6"/>
  <c r="C255" i="6"/>
  <c r="C256" i="6"/>
  <c r="C257" i="6"/>
  <c r="C258" i="6"/>
  <c r="C259" i="6"/>
  <c r="C240" i="6"/>
  <c r="C210" i="6"/>
  <c r="C211" i="6"/>
  <c r="C212" i="6"/>
  <c r="C213" i="6"/>
  <c r="C214" i="6"/>
  <c r="C215" i="6"/>
  <c r="C216" i="6"/>
  <c r="C217" i="6"/>
  <c r="C218" i="6"/>
  <c r="C219" i="6"/>
  <c r="C220" i="6"/>
  <c r="C221" i="6"/>
  <c r="C222" i="6"/>
  <c r="C223" i="6"/>
  <c r="C224" i="6"/>
  <c r="C225" i="6"/>
  <c r="C226" i="6"/>
  <c r="C227" i="6"/>
  <c r="C228" i="6"/>
  <c r="C209" i="6"/>
  <c r="C66" i="6"/>
  <c r="C67" i="6"/>
  <c r="C68" i="6"/>
  <c r="C69" i="6"/>
  <c r="C70" i="6"/>
  <c r="C71" i="6"/>
  <c r="C72" i="6"/>
  <c r="C73" i="6"/>
  <c r="F9" i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L3" i="2" s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FR4" i="2"/>
  <c r="BQ4" i="2"/>
  <c r="EC4" i="2"/>
  <c r="GL4" i="2"/>
  <c r="FQ4" i="2"/>
  <c r="EA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EC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HH6" i="2" l="1"/>
  <c r="FR6" i="2"/>
  <c r="EA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A7" i="2" l="1"/>
  <c r="EV7" i="2"/>
  <c r="HI7" i="2"/>
  <c r="EX7" i="2"/>
  <c r="EB7" i="2"/>
  <c r="EW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EX8" i="2" s="1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HG8" i="2" l="1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FS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HG10" i="2"/>
  <c r="FS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HG11" i="2" l="1"/>
  <c r="EC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HH12" i="2"/>
  <c r="EV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HG18" i="2"/>
  <c r="FS18" i="2"/>
  <c r="EW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HH20" i="2" l="1"/>
  <c r="EV20" i="2"/>
  <c r="FS20" i="2"/>
  <c r="EC20" i="2"/>
  <c r="HG20" i="2"/>
  <c r="EW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HH21" i="2"/>
  <c r="EW21" i="2"/>
  <c r="EB21" i="2"/>
  <c r="HI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H22" i="2" l="1"/>
  <c r="EW22" i="2"/>
  <c r="EA22" i="2"/>
  <c r="HG22" i="2"/>
  <c r="EC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HH24" i="2"/>
  <c r="HG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EB28" i="2"/>
  <c r="FS28" i="2"/>
  <c r="HI28" i="2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FS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B33" i="2"/>
  <c r="EW33" i="2"/>
  <c r="EV33" i="2"/>
  <c r="HG33" i="2"/>
  <c r="HH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FQ35" i="2"/>
  <c r="EB35" i="2"/>
  <c r="HH35" i="2"/>
  <c r="EA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B37" i="2" l="1"/>
  <c r="EA37" i="2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EA38" i="2"/>
  <c r="EW38" i="2"/>
  <c r="HG38" i="2"/>
  <c r="FS38" i="2"/>
  <c r="HH38" i="2"/>
  <c r="HI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HG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HG43" i="2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EC44" i="2"/>
  <c r="HG44" i="2"/>
  <c r="EW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X45" i="2" l="1"/>
  <c r="HG45" i="2"/>
  <c r="EB45" i="2"/>
  <c r="HI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W46" i="2" l="1"/>
  <c r="HG46" i="2"/>
  <c r="HI46" i="2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HG47" i="2" l="1"/>
  <c r="EA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I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B51" i="2" l="1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EC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EX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G57" i="2" l="1"/>
  <c r="HH57" i="2"/>
  <c r="HI57" i="2"/>
  <c r="EB57" i="2"/>
  <c r="EV57" i="2"/>
  <c r="FS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EC59" i="2" s="1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B59" i="2" l="1"/>
  <c r="HH59" i="2"/>
  <c r="EA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V60" i="2" l="1"/>
  <c r="HH60" i="2"/>
  <c r="HI60" i="2"/>
  <c r="HG60" i="2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A61" i="2"/>
  <c r="EX61" i="2"/>
  <c r="EV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H62" i="2" l="1"/>
  <c r="HI62" i="2"/>
  <c r="EA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C63" i="2" l="1"/>
  <c r="HG63" i="2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EC64" i="2"/>
  <c r="EA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HH66" i="2"/>
  <c r="FS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W70" i="2" l="1"/>
  <c r="HI70" i="2"/>
  <c r="HG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HH71" i="2"/>
  <c r="EW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X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HI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W74" i="2" l="1"/>
  <c r="FS74" i="2"/>
  <c r="HG74" i="2"/>
  <c r="FR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FS75" i="2"/>
  <c r="HH75" i="2"/>
  <c r="HG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H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HI77" i="2" l="1"/>
  <c r="EW77" i="2"/>
  <c r="EB77" i="2"/>
  <c r="EA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W78" i="2" l="1"/>
  <c r="EB78" i="2"/>
  <c r="HI78" i="2"/>
  <c r="EV78" i="2"/>
  <c r="EC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EC85" i="2" s="1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I85" i="2" l="1"/>
  <c r="HG85" i="2"/>
  <c r="HH85" i="2"/>
  <c r="EV85" i="2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EB86" i="2" s="1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EB87" i="2" s="1"/>
  <c r="DD87" i="2"/>
  <c r="DC87" i="2"/>
  <c r="BN87" i="2"/>
  <c r="CI87" i="2"/>
  <c r="CH87" i="2"/>
  <c r="AS87" i="2"/>
  <c r="W87" i="2"/>
  <c r="DX87" i="2"/>
  <c r="EA87" i="2" s="1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HG87" i="2" l="1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I89" i="2" l="1"/>
  <c r="HG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HG95" i="2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X98" i="2" l="1"/>
  <c r="FS98" i="2"/>
  <c r="HI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V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A103" i="2" l="1"/>
  <c r="HI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A105" i="2"/>
  <c r="FS105" i="2"/>
  <c r="EV105" i="2"/>
  <c r="EB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A107" i="2"/>
  <c r="HG107" i="2"/>
  <c r="EX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W108" i="2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H110" i="2" l="1"/>
  <c r="HG110" i="2"/>
  <c r="EB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EB112" i="2"/>
  <c r="EC112" i="2"/>
  <c r="HI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X113" i="2" l="1"/>
  <c r="EW113" i="2"/>
  <c r="FS113" i="2"/>
  <c r="HI113" i="2"/>
  <c r="EC113" i="2"/>
  <c r="HG113" i="2"/>
  <c r="EB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HH114" i="2"/>
  <c r="HG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V116" i="2"/>
  <c r="EC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HG117" i="2"/>
  <c r="EA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H118" i="2" l="1"/>
  <c r="EC118" i="2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HG119" i="2"/>
  <c r="EX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HH120" i="2"/>
  <c r="FR120" i="2"/>
  <c r="FQ120" i="2"/>
  <c r="HI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B121" i="2" l="1"/>
  <c r="FR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I122" i="2" l="1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FS124" i="2"/>
  <c r="HG124" i="2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HI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HG128" i="2"/>
  <c r="EB128" i="2"/>
  <c r="FS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X130" i="2" l="1"/>
  <c r="EB130" i="2"/>
  <c r="EW130" i="2"/>
  <c r="HH130" i="2"/>
  <c r="HI130" i="2"/>
  <c r="HG130" i="2"/>
  <c r="FS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FS132" i="2" l="1"/>
  <c r="EC132" i="2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W134" i="2" l="1"/>
  <c r="HI134" i="2"/>
  <c r="HG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A135" i="2" l="1"/>
  <c r="EX135" i="2"/>
  <c r="EW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B138" i="2"/>
  <c r="EV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W139" i="2" l="1"/>
  <c r="FS139" i="2"/>
  <c r="EA139" i="2"/>
  <c r="HH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HH140" i="2" l="1"/>
  <c r="EX140" i="2"/>
  <c r="FS140" i="2"/>
  <c r="FR140" i="2"/>
  <c r="EC140" i="2"/>
  <c r="EB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B141" i="2" l="1"/>
  <c r="HH141" i="2"/>
  <c r="FS141" i="2"/>
  <c r="EA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C142" i="2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A144" i="2" l="1"/>
  <c r="FR144" i="2"/>
  <c r="HH144" i="2"/>
  <c r="HG144" i="2"/>
  <c r="EX144" i="2"/>
  <c r="EB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FR145" i="2"/>
  <c r="HG145" i="2"/>
  <c r="HH145" i="2"/>
  <c r="EA145" i="2"/>
  <c r="EB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H146" i="2" l="1"/>
  <c r="EA146" i="2"/>
  <c r="HI146" i="2"/>
  <c r="HG146" i="2"/>
  <c r="FS146" i="2"/>
  <c r="FR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EX149" i="2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H150" i="2" l="1"/>
  <c r="EV150" i="2"/>
  <c r="FS150" i="2"/>
  <c r="HI150" i="2"/>
  <c r="HG150" i="2"/>
  <c r="EC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V151" i="2" l="1"/>
  <c r="EX151" i="2"/>
  <c r="EC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HI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B154" i="2"/>
  <c r="HH154" i="2"/>
  <c r="EX154" i="2"/>
  <c r="AA154" i="2"/>
  <c r="EV154" i="2"/>
  <c r="EY154" i="2" s="1"/>
  <c r="EC154" i="2"/>
  <c r="EA154" i="2"/>
  <c r="ED154" i="2" s="1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DI154" i="2" l="1"/>
  <c r="EX155" i="2"/>
  <c r="AC154" i="2"/>
  <c r="EA155" i="2"/>
  <c r="EW155" i="2"/>
  <c r="HH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D155" i="2"/>
  <c r="AX152" i="2"/>
  <c r="HI156" i="2" l="1"/>
  <c r="DH156" i="2"/>
  <c r="AB156" i="2"/>
  <c r="HG156" i="2"/>
  <c r="EX156" i="2"/>
  <c r="HH156" i="2"/>
  <c r="EB156" i="2"/>
  <c r="FS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HG157" i="2"/>
  <c r="EB157" i="2"/>
  <c r="HH157" i="2"/>
  <c r="EX157" i="2"/>
  <c r="EC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C158" i="2"/>
  <c r="EV158" i="2"/>
  <c r="EW158" i="2"/>
  <c r="HH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I159" i="2" l="1"/>
  <c r="EC159" i="2"/>
  <c r="EA159" i="2"/>
  <c r="HH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H160" i="2" l="1"/>
  <c r="HG160" i="2"/>
  <c r="EC160" i="2"/>
  <c r="DG160" i="2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GK161" i="2"/>
  <c r="FB161" i="2"/>
  <c r="EQ161" i="2"/>
  <c r="DM161" i="2"/>
  <c r="EG161" i="2"/>
  <c r="ER161" i="2"/>
  <c r="EX161" i="2" s="1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B161" i="2" l="1"/>
  <c r="AB161" i="2"/>
  <c r="HH161" i="2"/>
  <c r="FS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DI161" i="2" l="1"/>
  <c r="EB162" i="2"/>
  <c r="HH162" i="2"/>
  <c r="HG162" i="2"/>
  <c r="EC162" i="2"/>
  <c r="EW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HG163" i="2" l="1"/>
  <c r="HI163" i="2"/>
  <c r="EB163" i="2"/>
  <c r="EV163" i="2"/>
  <c r="EA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I163" i="2" l="1"/>
  <c r="EA164" i="2"/>
  <c r="EV164" i="2"/>
  <c r="DH164" i="2"/>
  <c r="EX164" i="2"/>
  <c r="FR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A165" i="2" l="1"/>
  <c r="EB165" i="2"/>
  <c r="HH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FS166" i="2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HI167" i="2" s="1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A167" i="2"/>
  <c r="EB167" i="2"/>
  <c r="FR167" i="2"/>
  <c r="EC167" i="2"/>
  <c r="HH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DI167" i="2"/>
  <c r="EB168" i="2"/>
  <c r="EV168" i="2"/>
  <c r="HH168" i="2"/>
  <c r="EW168" i="2"/>
  <c r="HI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A172" i="2" l="1"/>
  <c r="HI172" i="2"/>
  <c r="EW172" i="2"/>
  <c r="HG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HH173" i="2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HG174" i="2" l="1"/>
  <c r="EC174" i="2"/>
  <c r="HH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FS175" i="2" s="1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EB175" i="2" l="1"/>
  <c r="AA175" i="2"/>
  <c r="EW175" i="2"/>
  <c r="HI175" i="2"/>
  <c r="EA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EW177" i="2" s="1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S177" i="2" l="1"/>
  <c r="EC177" i="2"/>
  <c r="FQ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EA178" i="2" s="1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HH178" i="2" l="1"/>
  <c r="HG178" i="2"/>
  <c r="FS178" i="2"/>
  <c r="EB178" i="2"/>
  <c r="FQ178" i="2"/>
  <c r="EW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HG179" i="2" s="1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EV179" i="2" l="1"/>
  <c r="HI179" i="2"/>
  <c r="HH179" i="2"/>
  <c r="DF179" i="2"/>
  <c r="EB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EX180" i="2" l="1"/>
  <c r="HG180" i="2"/>
  <c r="HI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D180" i="2" s="1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W181" i="2" l="1"/>
  <c r="HG181" i="2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C182" i="2" l="1"/>
  <c r="EX182" i="2"/>
  <c r="DG182" i="2"/>
  <c r="FS182" i="2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FS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EA185" i="2"/>
  <c r="HG185" i="2"/>
  <c r="EB185" i="2"/>
  <c r="EW185" i="2"/>
  <c r="EV185" i="2"/>
  <c r="HI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R186" i="2" l="1"/>
  <c r="EW186" i="2"/>
  <c r="HH186" i="2"/>
  <c r="HG186" i="2"/>
  <c r="ED185" i="2"/>
  <c r="FS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EB187" i="2"/>
  <c r="HH187" i="2"/>
  <c r="EC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HH189" i="2"/>
  <c r="EB189" i="2"/>
  <c r="EV189" i="2"/>
  <c r="EY189" i="2" s="1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AX187" i="2"/>
  <c r="EW190" i="2" l="1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ED190" i="2" s="1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W191" i="2" l="1"/>
  <c r="HH191" i="2"/>
  <c r="HI191" i="2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GJ192" i="2"/>
  <c r="EH192" i="2"/>
  <c r="FM192" i="2"/>
  <c r="EG192" i="2"/>
  <c r="FN192" i="2"/>
  <c r="FX192" i="2"/>
  <c r="FO192" i="2"/>
  <c r="ET192" i="2"/>
  <c r="EW192" i="2" s="1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V192" i="2" l="1"/>
  <c r="HH192" i="2"/>
  <c r="HG192" i="2"/>
  <c r="EB192" i="2"/>
  <c r="EA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DI192" i="2"/>
  <c r="EB193" i="2"/>
  <c r="EA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FQ194" i="2" l="1"/>
  <c r="CN193" i="2"/>
  <c r="HG194" i="2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DH195" i="2" l="1"/>
  <c r="AA195" i="2"/>
  <c r="EX195" i="2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HG196" i="2"/>
  <c r="HH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EC197" i="2" l="1"/>
  <c r="EW197" i="2"/>
  <c r="EA197" i="2"/>
  <c r="AA197" i="2"/>
  <c r="HH197" i="2"/>
  <c r="FS197" i="2"/>
  <c r="HG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FS199" i="2" l="1"/>
  <c r="HG199" i="2"/>
  <c r="EA199" i="2"/>
  <c r="EB199" i="2"/>
  <c r="HH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T4" i="2" s="1" a="1"/>
  <c r="GT4" i="2" s="1"/>
  <c r="GU4" i="2" s="1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BC4" i="2" a="1"/>
  <c r="BC4" i="2" s="1"/>
  <c r="BD4" i="2" s="1"/>
  <c r="AB199" i="2"/>
  <c r="BX4" i="2" a="1"/>
  <c r="BX4" i="2" s="1"/>
  <c r="BY4" i="2" s="1"/>
  <c r="AA199" i="2"/>
  <c r="AX197" i="2"/>
  <c r="EW200" i="2" l="1"/>
  <c r="EX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BC5" i="2" s="1" a="1"/>
  <c r="BC5" i="2" s="1"/>
  <c r="BD5" i="2" s="1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AH4" i="2" a="1"/>
  <c r="AH4" i="2" s="1"/>
  <c r="AI4" i="2" s="1"/>
  <c r="AH5" i="2" a="1"/>
  <c r="AH5" i="2" s="1"/>
  <c r="EI4" i="2" a="1"/>
  <c r="EI4" i="2" s="1"/>
  <c r="EJ4" i="2" s="1"/>
  <c r="AX198" i="2"/>
  <c r="EB201" i="2" l="1"/>
  <c r="DI200" i="2"/>
  <c r="HG201" i="2"/>
  <c r="EA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EY201" i="2" s="1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S6" i="2" s="1" a="1"/>
  <c r="CS6" i="2" s="1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5" i="2" a="1"/>
  <c r="CS5" i="2" s="1"/>
  <c r="CT5" i="2" s="1"/>
  <c r="AX199" i="2"/>
  <c r="HI202" i="2" l="1"/>
  <c r="EX202" i="2"/>
  <c r="FR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CS66" i="2" a="1"/>
  <c r="CS66" i="2" s="1"/>
  <c r="CS52" i="2" a="1"/>
  <c r="CS52" i="2" s="1"/>
  <c r="DN41" i="2" a="1"/>
  <c r="DN41" i="2" s="1"/>
  <c r="DN29" i="2" a="1"/>
  <c r="DN29" i="2" s="1"/>
  <c r="DN115" i="2" a="1"/>
  <c r="DN115" i="2" s="1"/>
  <c r="DN177" i="2" a="1"/>
  <c r="DN177" i="2" s="1"/>
  <c r="EI195" i="2" a="1"/>
  <c r="EI195" i="2" s="1"/>
  <c r="CS137" i="2" a="1"/>
  <c r="CS137" i="2" s="1"/>
  <c r="AH166" i="2" a="1"/>
  <c r="AH166" i="2" s="1"/>
  <c r="CS161" i="2" a="1"/>
  <c r="CS161" i="2" s="1"/>
  <c r="CS105" i="2" a="1"/>
  <c r="CS105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CS134" i="2" l="1" a="1"/>
  <c r="CS134" i="2" s="1"/>
  <c r="CS114" i="2" a="1"/>
  <c r="CS114" i="2" s="1"/>
  <c r="CS120" i="2" a="1"/>
  <c r="CS120" i="2" s="1"/>
  <c r="CS116" i="2" a="1"/>
  <c r="CS116" i="2" s="1"/>
  <c r="CS24" i="2" a="1"/>
  <c r="CS24" i="2" s="1"/>
  <c r="CS56" i="2" a="1"/>
  <c r="CS56" i="2" s="1"/>
  <c r="CS38" i="2" a="1"/>
  <c r="CS38" i="2" s="1"/>
  <c r="CS77" i="2" a="1"/>
  <c r="CS77" i="2" s="1"/>
  <c r="CS129" i="2" a="1"/>
  <c r="CS129" i="2" s="1"/>
  <c r="AH163" i="2" a="1"/>
  <c r="AH163" i="2" s="1"/>
  <c r="AH151" i="2" a="1"/>
  <c r="AH151" i="2" s="1"/>
  <c r="AH62" i="2" a="1"/>
  <c r="AH62" i="2" s="1"/>
  <c r="BP203" i="2"/>
  <c r="FY109" i="2" a="1"/>
  <c r="FY109" i="2" s="1"/>
  <c r="DN103" i="2" a="1"/>
  <c r="DN103" i="2" s="1"/>
  <c r="DN86" i="2" a="1"/>
  <c r="DN86" i="2" s="1"/>
  <c r="DN152" i="2" a="1"/>
  <c r="DN152" i="2" s="1"/>
  <c r="DN155" i="2" a="1"/>
  <c r="DN155" i="2" s="1"/>
  <c r="HH203" i="2"/>
  <c r="DN123" i="2" a="1"/>
  <c r="DN123" i="2" s="1"/>
  <c r="DN153" i="2" a="1"/>
  <c r="DN153" i="2" s="1"/>
  <c r="DN43" i="2" a="1"/>
  <c r="DN43" i="2" s="1"/>
  <c r="AH199" i="2" a="1"/>
  <c r="AH199" i="2" s="1"/>
  <c r="DN170" i="2" a="1"/>
  <c r="DN170" i="2" s="1"/>
  <c r="DN186" i="2" a="1"/>
  <c r="DN186" i="2" s="1"/>
  <c r="DN56" i="2" a="1"/>
  <c r="DN56" i="2" s="1"/>
  <c r="DN129" i="2" a="1"/>
  <c r="DN129" i="2" s="1"/>
  <c r="DN137" i="2" a="1"/>
  <c r="DN137" i="2" s="1"/>
  <c r="AH19" i="2" a="1"/>
  <c r="AH19" i="2" s="1"/>
  <c r="DN150" i="2" a="1"/>
  <c r="DN150" i="2" s="1"/>
  <c r="DN50" i="2" a="1"/>
  <c r="DN50" i="2" s="1"/>
  <c r="AH90" i="2" a="1"/>
  <c r="AH90" i="2" s="1"/>
  <c r="DN192" i="2" a="1"/>
  <c r="DN192" i="2" s="1"/>
  <c r="DN113" i="2" a="1"/>
  <c r="DN113" i="2" s="1"/>
  <c r="DN66" i="2" a="1"/>
  <c r="DN66" i="2" s="1"/>
  <c r="DN25" i="2" a="1"/>
  <c r="DN25" i="2" s="1"/>
  <c r="DN124" i="2" a="1"/>
  <c r="DN124" i="2" s="1"/>
  <c r="DN110" i="2" a="1"/>
  <c r="DN110" i="2" s="1"/>
  <c r="DN114" i="2" a="1"/>
  <c r="DN114" i="2" s="1"/>
  <c r="DN188" i="2" a="1"/>
  <c r="DN188" i="2" s="1"/>
  <c r="DN184" i="2" a="1"/>
  <c r="DN184" i="2" s="1"/>
  <c r="AH92" i="2" a="1"/>
  <c r="AH92" i="2" s="1"/>
  <c r="FR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DI203" i="2" l="1"/>
  <c r="CN203" i="2"/>
  <c r="FZ9" i="2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Z195" i="2" l="1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CY24" i="2" l="1"/>
  <c r="CY137" i="2"/>
  <c r="CY40" i="2"/>
  <c r="CY96" i="2"/>
  <c r="CY131" i="2"/>
  <c r="CY133" i="2"/>
  <c r="CY53" i="2"/>
  <c r="CY190" i="2"/>
  <c r="CY100" i="2"/>
  <c r="CY56" i="2"/>
  <c r="CY124" i="2"/>
  <c r="CY83" i="2"/>
  <c r="CY159" i="2"/>
  <c r="CY23" i="2"/>
  <c r="CY20" i="2"/>
  <c r="CY63" i="2"/>
  <c r="CY136" i="2"/>
  <c r="CY161" i="2"/>
  <c r="CY50" i="2"/>
  <c r="CY199" i="2"/>
  <c r="CY154" i="2"/>
  <c r="CY13" i="2"/>
  <c r="CY62" i="2"/>
  <c r="CY142" i="2"/>
  <c r="CY87" i="2"/>
  <c r="CY88" i="2"/>
  <c r="CY61" i="2"/>
  <c r="CY129" i="2"/>
  <c r="CY115" i="2"/>
  <c r="CY180" i="2"/>
  <c r="CY52" i="2"/>
  <c r="CY103" i="2"/>
  <c r="CY168" i="2"/>
  <c r="CY106" i="2"/>
  <c r="CY148" i="2"/>
  <c r="CY162" i="2"/>
  <c r="CY91" i="2"/>
  <c r="CY202" i="2"/>
  <c r="CY125" i="2"/>
  <c r="CY170" i="2"/>
  <c r="CY140" i="2"/>
  <c r="CY70" i="2"/>
  <c r="CY147" i="2"/>
  <c r="CY25" i="2"/>
  <c r="CY144" i="2"/>
  <c r="CY74" i="2"/>
  <c r="CY32" i="2"/>
  <c r="CY165" i="2"/>
  <c r="CY112" i="2"/>
  <c r="CY27" i="2"/>
  <c r="CY135" i="2"/>
  <c r="CY18" i="2"/>
  <c r="CY163" i="2"/>
  <c r="CY143" i="2"/>
  <c r="CY73" i="2"/>
  <c r="CY15" i="2"/>
  <c r="CY86" i="2"/>
  <c r="CY118" i="2"/>
  <c r="CY153" i="2"/>
  <c r="CY139" i="2"/>
  <c r="CY43" i="2"/>
  <c r="CY195" i="2"/>
  <c r="CY121" i="2"/>
  <c r="CY138" i="2"/>
  <c r="CY93" i="2"/>
  <c r="CY201" i="2"/>
  <c r="CY173" i="2"/>
  <c r="CY145" i="2"/>
  <c r="CY19" i="2"/>
  <c r="CY45" i="2"/>
  <c r="CY51" i="2"/>
  <c r="CY171" i="2"/>
  <c r="CY37" i="2"/>
  <c r="CY107" i="2"/>
  <c r="CY14" i="2"/>
  <c r="CY42" i="2"/>
  <c r="CY35" i="2"/>
  <c r="CY49" i="2"/>
  <c r="CY38" i="2"/>
  <c r="CY181" i="2"/>
  <c r="CY184" i="2"/>
  <c r="CY193" i="2"/>
  <c r="CY119" i="2"/>
  <c r="CY105" i="2"/>
  <c r="CY47" i="2"/>
  <c r="CY98" i="2"/>
  <c r="CY191" i="2"/>
  <c r="CY72" i="2"/>
  <c r="CY123" i="2"/>
  <c r="CY183" i="2"/>
  <c r="CY4" i="2"/>
  <c r="CY178" i="2"/>
  <c r="CY29" i="2"/>
  <c r="CY65" i="2"/>
  <c r="CY141" i="2"/>
  <c r="CY75" i="2"/>
  <c r="CY22" i="2"/>
  <c r="CY59" i="2"/>
  <c r="CY200" i="2"/>
  <c r="CY127" i="2"/>
  <c r="CY12" i="2"/>
  <c r="CY97" i="2"/>
  <c r="CY94" i="2"/>
  <c r="CY64" i="2"/>
  <c r="CY41" i="2"/>
  <c r="CY116" i="2"/>
  <c r="CY11" i="2"/>
  <c r="CY85" i="2"/>
  <c r="CY34" i="2"/>
  <c r="CY146" i="2"/>
  <c r="CY90" i="2"/>
  <c r="CY104" i="2"/>
  <c r="CY66" i="2"/>
  <c r="CY102" i="2"/>
  <c r="CY166" i="2"/>
  <c r="CY194" i="2"/>
  <c r="CY128" i="2"/>
  <c r="CY111" i="2"/>
  <c r="CY30" i="2"/>
  <c r="CY187" i="2"/>
  <c r="CY6" i="2"/>
  <c r="CY160" i="2"/>
  <c r="CY28" i="2"/>
  <c r="CY21" i="2"/>
  <c r="CY185" i="2"/>
  <c r="CY126" i="2"/>
  <c r="CY182" i="2"/>
  <c r="CY130" i="2"/>
  <c r="CY169" i="2"/>
  <c r="CY71" i="2"/>
  <c r="CY60" i="2"/>
  <c r="CY164" i="2"/>
  <c r="CY81" i="2"/>
  <c r="CY99" i="2"/>
  <c r="CY109" i="2"/>
  <c r="CY9" i="2"/>
  <c r="CY196" i="2"/>
  <c r="CY157" i="2"/>
  <c r="CY3" i="2"/>
  <c r="C10" i="4" s="1"/>
  <c r="E10" i="4" s="1"/>
  <c r="F10" i="4" s="1"/>
  <c r="G10" i="4" s="1"/>
  <c r="L10" i="4" s="1"/>
  <c r="CY78" i="2"/>
  <c r="CY95" i="2"/>
  <c r="CY134" i="2"/>
  <c r="CY7" i="2"/>
  <c r="CY67" i="2"/>
  <c r="CY54" i="2"/>
  <c r="CY33" i="2"/>
  <c r="CY177" i="2"/>
  <c r="CY175" i="2"/>
  <c r="CY192" i="2"/>
  <c r="CY189" i="2"/>
  <c r="CY39" i="2"/>
  <c r="CY110" i="2"/>
  <c r="CY151" i="2"/>
  <c r="CY167" i="2"/>
  <c r="CY113" i="2"/>
  <c r="CY152" i="2"/>
  <c r="CY117" i="2"/>
  <c r="CY108" i="2"/>
  <c r="CY36" i="2"/>
  <c r="CY80" i="2"/>
  <c r="CY186" i="2"/>
  <c r="CY77" i="2"/>
  <c r="CY57" i="2"/>
  <c r="CY203" i="2"/>
  <c r="CY69" i="2"/>
  <c r="CY84" i="2"/>
  <c r="CY68" i="2"/>
  <c r="CY132" i="2"/>
  <c r="CY188" i="2"/>
  <c r="CY92" i="2"/>
  <c r="CY89" i="2"/>
  <c r="CY114" i="2"/>
  <c r="CY31" i="2"/>
  <c r="CY79" i="2"/>
  <c r="CY46" i="2"/>
  <c r="CY82" i="2"/>
  <c r="CY176" i="2"/>
  <c r="CY122" i="2"/>
  <c r="CY44" i="2"/>
  <c r="CY48" i="2"/>
  <c r="CY198" i="2"/>
  <c r="CY17" i="2"/>
  <c r="CY8" i="2"/>
  <c r="CY172" i="2"/>
  <c r="CY149" i="2"/>
  <c r="CY155" i="2"/>
  <c r="CY179" i="2"/>
  <c r="CY101" i="2"/>
  <c r="CY58" i="2"/>
  <c r="CY10" i="2"/>
  <c r="CY197" i="2"/>
  <c r="CY5" i="2"/>
  <c r="CY120" i="2"/>
  <c r="CY174" i="2"/>
  <c r="CY16" i="2"/>
  <c r="CY26" i="2"/>
  <c r="CY55" i="2"/>
  <c r="CY76" i="2"/>
  <c r="CY156" i="2"/>
  <c r="CY150" i="2"/>
  <c r="CY158" i="2"/>
  <c r="CD60" i="2"/>
  <c r="CD195" i="2"/>
  <c r="CD9" i="2"/>
  <c r="CD156" i="2"/>
  <c r="CD14" i="2"/>
  <c r="CD71" i="2"/>
  <c r="CD6" i="2"/>
  <c r="CD66" i="2"/>
  <c r="CD122" i="2"/>
  <c r="CD45" i="2"/>
  <c r="CD72" i="2"/>
  <c r="CD3" i="2"/>
  <c r="C9" i="4" s="1"/>
  <c r="E9" i="4" s="1"/>
  <c r="F9" i="4" s="1"/>
  <c r="G9" i="4" s="1"/>
  <c r="L9" i="4" s="1"/>
  <c r="CD150" i="2"/>
  <c r="CD76" i="2"/>
  <c r="CD127" i="2"/>
  <c r="CD175" i="2"/>
  <c r="CD48" i="2"/>
  <c r="CD68" i="2"/>
  <c r="CD181" i="2"/>
  <c r="CD64" i="2"/>
  <c r="CD179" i="2"/>
  <c r="CD131" i="2"/>
  <c r="CD109" i="2"/>
  <c r="CD59" i="2"/>
  <c r="CD98" i="2"/>
  <c r="CD129" i="2"/>
  <c r="CD74" i="2"/>
  <c r="CD124" i="2"/>
  <c r="CD111" i="2"/>
  <c r="CD91" i="2"/>
  <c r="CD171" i="2"/>
  <c r="CD102" i="2"/>
  <c r="CD164" i="2"/>
  <c r="CD113" i="2"/>
  <c r="CD38" i="2"/>
  <c r="CD193" i="2"/>
  <c r="CD133" i="2"/>
  <c r="CD103" i="2"/>
  <c r="CD190" i="2"/>
  <c r="CD87" i="2"/>
  <c r="CD158" i="2"/>
  <c r="CD18" i="2"/>
  <c r="CD174" i="2"/>
  <c r="CD162" i="2"/>
  <c r="CD105" i="2"/>
  <c r="CD170" i="2"/>
  <c r="CD7" i="2"/>
  <c r="CD100" i="2"/>
  <c r="CD13" i="2"/>
  <c r="CD5" i="2"/>
  <c r="CD121" i="2"/>
  <c r="CD112" i="2"/>
  <c r="CD139" i="2"/>
  <c r="CD157" i="2"/>
  <c r="CD163" i="2"/>
  <c r="CD178" i="2"/>
  <c r="CD21" i="2"/>
  <c r="CD172" i="2"/>
  <c r="CD161" i="2"/>
  <c r="CD61" i="2"/>
  <c r="CD137" i="2"/>
  <c r="CD117" i="2"/>
  <c r="CD203" i="2"/>
  <c r="CD152" i="2"/>
  <c r="CD153" i="2"/>
  <c r="CD186" i="2"/>
  <c r="CD27" i="2"/>
  <c r="CD110" i="2"/>
  <c r="CD189" i="2"/>
  <c r="CD128" i="2"/>
  <c r="CD165" i="2"/>
  <c r="CD176" i="2"/>
  <c r="CD184" i="2"/>
  <c r="CD26" i="2"/>
  <c r="CD182" i="2"/>
  <c r="CD37" i="2"/>
  <c r="CD80" i="2"/>
  <c r="CD69" i="2"/>
  <c r="CD8" i="2"/>
  <c r="CD96" i="2"/>
  <c r="CD22" i="2"/>
  <c r="CD83" i="2"/>
  <c r="CD77" i="2"/>
  <c r="CD101" i="2"/>
  <c r="CD187" i="2"/>
  <c r="CD134" i="2"/>
  <c r="CD39" i="2"/>
  <c r="CD11" i="2"/>
  <c r="CD108" i="2"/>
  <c r="CD188" i="2"/>
  <c r="CD140" i="2"/>
  <c r="CD86" i="2"/>
  <c r="CD120" i="2"/>
  <c r="CD155" i="2"/>
  <c r="CD55" i="2"/>
  <c r="CD43" i="2"/>
  <c r="CD104" i="2"/>
  <c r="CD40" i="2"/>
  <c r="CD63" i="2"/>
  <c r="CD107" i="2"/>
  <c r="CD99" i="2"/>
  <c r="CD17" i="2"/>
  <c r="CD136" i="2"/>
  <c r="CD169" i="2"/>
  <c r="CD114" i="2"/>
  <c r="CD23" i="2"/>
  <c r="CD28" i="2"/>
  <c r="CD119" i="2"/>
  <c r="CD85" i="2"/>
  <c r="CD24" i="2"/>
  <c r="CD198" i="2"/>
  <c r="CD106" i="2"/>
  <c r="CD36" i="2"/>
  <c r="CD141" i="2"/>
  <c r="CD151" i="2"/>
  <c r="CD154" i="2"/>
  <c r="CD200" i="2"/>
  <c r="CD185" i="2"/>
  <c r="CD199" i="2"/>
  <c r="CD58" i="2"/>
  <c r="CD50" i="2"/>
  <c r="CD32" i="2"/>
  <c r="CD89" i="2"/>
  <c r="CD54" i="2"/>
  <c r="CD67" i="2"/>
  <c r="CD202" i="2"/>
  <c r="CD30" i="2"/>
  <c r="CD70" i="2"/>
  <c r="CD29" i="2"/>
  <c r="CD148" i="2"/>
  <c r="CD78" i="2"/>
  <c r="CD20" i="2"/>
  <c r="CD92" i="2"/>
  <c r="CD138" i="2"/>
  <c r="CD19" i="2"/>
  <c r="CD146" i="2"/>
  <c r="CD123" i="2"/>
  <c r="CD53" i="2"/>
  <c r="CD62" i="2"/>
  <c r="CD142" i="2"/>
  <c r="CD167" i="2"/>
  <c r="CD12" i="2"/>
  <c r="CD144" i="2"/>
  <c r="CD90" i="2"/>
  <c r="CD57" i="2"/>
  <c r="CD34" i="2"/>
  <c r="CD147" i="2"/>
  <c r="CD115" i="2"/>
  <c r="CD46" i="2"/>
  <c r="CD116" i="2"/>
  <c r="CD10" i="2"/>
  <c r="CD47" i="2"/>
  <c r="CD15" i="2"/>
  <c r="CD52" i="2"/>
  <c r="CD149" i="2"/>
  <c r="CD4" i="2"/>
  <c r="CD197" i="2"/>
  <c r="CD130" i="2"/>
  <c r="CD35" i="2"/>
  <c r="CD166" i="2"/>
  <c r="CD118" i="2"/>
  <c r="CD82" i="2"/>
  <c r="CD194" i="2"/>
  <c r="CD65" i="2"/>
  <c r="CD25" i="2"/>
  <c r="CD56" i="2"/>
  <c r="CD93" i="2"/>
  <c r="CD31" i="2"/>
  <c r="CD196" i="2"/>
  <c r="CD41" i="2"/>
  <c r="CD135" i="2"/>
  <c r="CD49" i="2"/>
  <c r="CD183" i="2"/>
  <c r="CD51" i="2"/>
  <c r="CD44" i="2"/>
  <c r="CD168" i="2"/>
  <c r="CD159" i="2"/>
  <c r="CD160" i="2"/>
  <c r="CD191" i="2"/>
  <c r="CD192" i="2"/>
  <c r="CD73" i="2"/>
  <c r="CD201" i="2"/>
  <c r="CD84" i="2"/>
  <c r="CD145" i="2"/>
  <c r="CD94" i="2"/>
  <c r="CD81" i="2"/>
  <c r="CD173" i="2"/>
  <c r="CD177" i="2"/>
  <c r="CD126" i="2"/>
  <c r="CD75" i="2"/>
  <c r="CD33" i="2"/>
  <c r="CD143" i="2"/>
  <c r="CD79" i="2"/>
  <c r="CD95" i="2"/>
  <c r="CD125" i="2"/>
  <c r="CD180" i="2"/>
  <c r="CD88" i="2"/>
  <c r="CD132" i="2"/>
  <c r="CD16" i="2"/>
  <c r="CD97" i="2"/>
  <c r="CD42" i="2"/>
  <c r="FE155" i="2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I20" i="2" l="1"/>
  <c r="BI47" i="2"/>
  <c r="BI193" i="2"/>
  <c r="BI184" i="2"/>
  <c r="BI169" i="2"/>
  <c r="BI59" i="2"/>
  <c r="BI191" i="2"/>
  <c r="BI176" i="2"/>
  <c r="BI202" i="2"/>
  <c r="BI25" i="2"/>
  <c r="BI101" i="2"/>
  <c r="BI32" i="2"/>
  <c r="BI70" i="2"/>
  <c r="BI41" i="2"/>
  <c r="BI148" i="2"/>
  <c r="BI44" i="2"/>
  <c r="BI177" i="2"/>
  <c r="BI173" i="2"/>
  <c r="BI5" i="2"/>
  <c r="BI175" i="2"/>
  <c r="BI8" i="2"/>
  <c r="BI146" i="2"/>
  <c r="BI174" i="2"/>
  <c r="BI12" i="2"/>
  <c r="BI140" i="2"/>
  <c r="BI64" i="2"/>
  <c r="BI48" i="2"/>
  <c r="BI35" i="2"/>
  <c r="BI92" i="2"/>
  <c r="BI127" i="2"/>
  <c r="BI162" i="2"/>
  <c r="BI82" i="2"/>
  <c r="BI17" i="2"/>
  <c r="BI83" i="2"/>
  <c r="BI186" i="2"/>
  <c r="BI14" i="2"/>
  <c r="BI10" i="2"/>
  <c r="BI195" i="2"/>
  <c r="BI100" i="2"/>
  <c r="BI7" i="2"/>
  <c r="BI171" i="2"/>
  <c r="BI72" i="2"/>
  <c r="BI50" i="2"/>
  <c r="BI53" i="2"/>
  <c r="BI135" i="2"/>
  <c r="BI66" i="2"/>
  <c r="BI62" i="2"/>
  <c r="BI104" i="2"/>
  <c r="BI30" i="2"/>
  <c r="BI54" i="2"/>
  <c r="BI58" i="2"/>
  <c r="BI151" i="2"/>
  <c r="BI87" i="2"/>
  <c r="BI24" i="2"/>
  <c r="BI185" i="2"/>
  <c r="BI31" i="2"/>
  <c r="BI29" i="2"/>
  <c r="BI190" i="2"/>
  <c r="BI55" i="2"/>
  <c r="BI43" i="2"/>
  <c r="BI203" i="2"/>
  <c r="BI22" i="2"/>
  <c r="BI60" i="2"/>
  <c r="BI119" i="2"/>
  <c r="BI109" i="2"/>
  <c r="BI181" i="2"/>
  <c r="BI121" i="2"/>
  <c r="BI38" i="2"/>
  <c r="BI187" i="2"/>
  <c r="BI138" i="2"/>
  <c r="BI34" i="2"/>
  <c r="BI3" i="2"/>
  <c r="C8" i="4" s="1"/>
  <c r="E8" i="4" s="1"/>
  <c r="F8" i="4" s="1"/>
  <c r="G8" i="4" s="1"/>
  <c r="L8" i="4" s="1"/>
  <c r="BI130" i="2"/>
  <c r="BI91" i="2"/>
  <c r="BI170" i="2"/>
  <c r="BI166" i="2"/>
  <c r="BI71" i="2"/>
  <c r="BI28" i="2"/>
  <c r="BI150" i="2"/>
  <c r="BI45" i="2"/>
  <c r="BI133" i="2"/>
  <c r="BI123" i="2"/>
  <c r="BI4" i="2"/>
  <c r="BI33" i="2"/>
  <c r="BI118" i="2"/>
  <c r="BI165" i="2"/>
  <c r="BI122" i="2"/>
  <c r="BI161" i="2"/>
  <c r="BI145" i="2"/>
  <c r="BI75" i="2"/>
  <c r="BI115" i="2"/>
  <c r="BI46" i="2"/>
  <c r="BI96" i="2"/>
  <c r="BI16" i="2"/>
  <c r="BI80" i="2"/>
  <c r="BI114" i="2"/>
  <c r="BI183" i="2"/>
  <c r="BI196" i="2"/>
  <c r="BI67" i="2"/>
  <c r="BI139" i="2"/>
  <c r="BI143" i="2"/>
  <c r="BI51" i="2"/>
  <c r="BI110" i="2"/>
  <c r="BI192" i="2"/>
  <c r="BI27" i="2"/>
  <c r="BI160" i="2"/>
  <c r="BI156" i="2"/>
  <c r="BI200" i="2"/>
  <c r="BI19" i="2"/>
  <c r="BI194" i="2"/>
  <c r="BI89" i="2"/>
  <c r="BI107" i="2"/>
  <c r="BI126" i="2"/>
  <c r="BI94" i="2"/>
  <c r="BI134" i="2"/>
  <c r="BI168" i="2"/>
  <c r="BI159" i="2"/>
  <c r="BI199" i="2"/>
  <c r="BI81" i="2"/>
  <c r="BI23" i="2"/>
  <c r="BI182" i="2"/>
  <c r="BI149" i="2"/>
  <c r="BI76" i="2"/>
  <c r="BI188" i="2"/>
  <c r="BI180" i="2"/>
  <c r="BI129" i="2"/>
  <c r="BI142" i="2"/>
  <c r="BI78" i="2"/>
  <c r="BI49" i="2"/>
  <c r="BI172" i="2"/>
  <c r="BI116" i="2"/>
  <c r="BI21" i="2"/>
  <c r="BI68" i="2"/>
  <c r="BI18" i="2"/>
  <c r="BI65" i="2"/>
  <c r="BI154" i="2"/>
  <c r="BI113" i="2"/>
  <c r="BI117" i="2"/>
  <c r="BI102" i="2"/>
  <c r="BI98" i="2"/>
  <c r="BI136" i="2"/>
  <c r="BI42" i="2"/>
  <c r="BI153" i="2"/>
  <c r="BI111" i="2"/>
  <c r="BI6" i="2"/>
  <c r="BI73" i="2"/>
  <c r="BI13" i="2"/>
  <c r="BI86" i="2"/>
  <c r="BI105" i="2"/>
  <c r="BI189" i="2"/>
  <c r="BI103" i="2"/>
  <c r="BI40" i="2"/>
  <c r="BI85" i="2"/>
  <c r="BI137" i="2"/>
  <c r="BI74" i="2"/>
  <c r="BI112" i="2"/>
  <c r="BI201" i="2"/>
  <c r="BI63" i="2"/>
  <c r="BI106" i="2"/>
  <c r="BI128" i="2"/>
  <c r="BI163" i="2"/>
  <c r="BI79" i="2"/>
  <c r="BI178" i="2"/>
  <c r="BI158" i="2"/>
  <c r="BI179" i="2"/>
  <c r="BI61" i="2"/>
  <c r="BI132" i="2"/>
  <c r="BI155" i="2"/>
  <c r="BI141" i="2"/>
  <c r="BI15" i="2"/>
  <c r="BI56" i="2"/>
  <c r="BI36" i="2"/>
  <c r="BI120" i="2"/>
  <c r="BI144" i="2"/>
  <c r="BI125" i="2"/>
  <c r="BI69" i="2"/>
  <c r="BI95" i="2"/>
  <c r="BI11" i="2"/>
  <c r="BI90" i="2"/>
  <c r="BI147" i="2"/>
  <c r="BI77" i="2"/>
  <c r="BI164" i="2"/>
  <c r="BI152" i="2"/>
  <c r="BI157" i="2"/>
  <c r="BI93" i="2"/>
  <c r="BI99" i="2"/>
  <c r="BI9" i="2"/>
  <c r="BI39" i="2"/>
  <c r="BI57" i="2"/>
  <c r="BI88" i="2"/>
  <c r="BI167" i="2"/>
  <c r="BI37" i="2"/>
  <c r="BI124" i="2"/>
  <c r="BI131" i="2"/>
  <c r="BI26" i="2"/>
  <c r="BI197" i="2"/>
  <c r="BI84" i="2"/>
  <c r="BI108" i="2"/>
  <c r="BI97" i="2"/>
  <c r="BI198" i="2"/>
  <c r="BI52" i="2"/>
  <c r="BS152" i="2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<sst xmlns="http://schemas.openxmlformats.org/spreadsheetml/2006/main" count="1164" uniqueCount="324">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</sst>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1.7143553591667449</c:v>
                </c:pt>
                <c:pt idx="2">
                  <c:v>2.201652631555771</c:v>
                </c:pt>
                <c:pt idx="3">
                  <c:v>2.8280243712779067</c:v>
                </c:pt>
                <c:pt idx="4">
                  <c:v>3.6333140645301047</c:v>
                </c:pt>
                <c:pt idx="5">
                  <c:v>4.6688207027662694</c:v>
                </c:pt>
                <c:pt idx="6">
                  <c:v>6.0006032818042625</c:v>
                </c:pt>
                <c:pt idx="7">
                  <c:v>7.7137414341527117</c:v>
                </c:pt>
                <c:pt idx="8">
                  <c:v>9.9178296166171513</c:v>
                </c:pt>
                <c:pt idx="9">
                  <c:v>40.313875912993048</c:v>
                </c:pt>
                <c:pt idx="10">
                  <c:v>73.413813630062165</c:v>
                </c:pt>
                <c:pt idx="11">
                  <c:v>108.36537823211468</c:v>
                </c:pt>
                <c:pt idx="12">
                  <c:v>146.37918141420661</c:v>
                </c:pt>
                <c:pt idx="13">
                  <c:v>187.47899288919925</c:v>
                </c:pt>
                <c:pt idx="14">
                  <c:v>223.95589750241402</c:v>
                </c:pt>
                <c:pt idx="15">
                  <c:v>261.39567811057827</c:v>
                </c:pt>
                <c:pt idx="16">
                  <c:v>298.71423892515418</c:v>
                </c:pt>
                <c:pt idx="17">
                  <c:v>330.46208810738881</c:v>
                </c:pt>
                <c:pt idx="18">
                  <c:v>362.14265317824885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1.7143553591667449</c:v>
                </c:pt>
                <c:pt idx="2">
                  <c:v>2.201652631555771</c:v>
                </c:pt>
                <c:pt idx="3">
                  <c:v>2.8280243712779067</c:v>
                </c:pt>
                <c:pt idx="4">
                  <c:v>3.6333140645301047</c:v>
                </c:pt>
                <c:pt idx="5">
                  <c:v>4.6688207027662694</c:v>
                </c:pt>
                <c:pt idx="6">
                  <c:v>6.0006032818042625</c:v>
                </c:pt>
                <c:pt idx="7">
                  <c:v>7.7137414341527117</c:v>
                </c:pt>
                <c:pt idx="8">
                  <c:v>9.9178296166171513</c:v>
                </c:pt>
                <c:pt idx="9">
                  <c:v>40.313875912993048</c:v>
                </c:pt>
                <c:pt idx="10">
                  <c:v>73.413813630062165</c:v>
                </c:pt>
                <c:pt idx="11">
                  <c:v>108.36537823211468</c:v>
                </c:pt>
                <c:pt idx="12">
                  <c:v>146.37918141420661</c:v>
                </c:pt>
                <c:pt idx="13">
                  <c:v>187.47899288919925</c:v>
                </c:pt>
                <c:pt idx="14">
                  <c:v>223.95589750241402</c:v>
                </c:pt>
                <c:pt idx="15">
                  <c:v>261.39567811057827</c:v>
                </c:pt>
                <c:pt idx="16">
                  <c:v>298.71423892515418</c:v>
                </c:pt>
                <c:pt idx="17">
                  <c:v>330.46208810738881</c:v>
                </c:pt>
                <c:pt idx="18">
                  <c:v>362.14265317824885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2.8409897721730037</c:v>
                </c:pt>
                <c:pt idx="2">
                  <c:v>3.4936137767656628</c:v>
                </c:pt>
                <c:pt idx="3">
                  <c:v>4.2967268910058536</c:v>
                </c:pt>
                <c:pt idx="4">
                  <c:v>5.2851544779514645</c:v>
                </c:pt>
                <c:pt idx="5">
                  <c:v>6.5018078390654601</c:v>
                </c:pt>
                <c:pt idx="6">
                  <c:v>7.9995674433027766</c:v>
                </c:pt>
                <c:pt idx="7">
                  <c:v>9.8436060094228282</c:v>
                </c:pt>
                <c:pt idx="8">
                  <c:v>12.11425444224588</c:v>
                </c:pt>
                <c:pt idx="9">
                  <c:v>14.910537800434229</c:v>
                </c:pt>
                <c:pt idx="10">
                  <c:v>18.354538337341264</c:v>
                </c:pt>
                <c:pt idx="11">
                  <c:v>22.596779547894098</c:v>
                </c:pt>
                <c:pt idx="12">
                  <c:v>27.822870730174767</c:v>
                </c:pt>
                <c:pt idx="13">
                  <c:v>34.261707878436859</c:v>
                </c:pt>
                <c:pt idx="14">
                  <c:v>42.195596296668306</c:v>
                </c:pt>
                <c:pt idx="15">
                  <c:v>51.972746288714539</c:v>
                </c:pt>
                <c:pt idx="16">
                  <c:v>64.022699512524582</c:v>
                </c:pt>
                <c:pt idx="17">
                  <c:v>78.875374867413711</c:v>
                </c:pt>
                <c:pt idx="18">
                  <c:v>97.184585031159045</c:v>
                </c:pt>
                <c:pt idx="19">
                  <c:v>119.75707529474329</c:v>
                </c:pt>
                <c:pt idx="20">
                  <c:v>147.58838420434714</c:v>
                </c:pt>
                <c:pt idx="21">
                  <c:v>161.75563241829539</c:v>
                </c:pt>
                <c:pt idx="22">
                  <c:v>175.89351283227515</c:v>
                </c:pt>
                <c:pt idx="23">
                  <c:v>190.00471981377623</c:v>
                </c:pt>
                <c:pt idx="24">
                  <c:v>204.09151430529414</c:v>
                </c:pt>
                <c:pt idx="25">
                  <c:v>218.15581931274576</c:v>
                </c:pt>
                <c:pt idx="26">
                  <c:v>236.09675414607662</c:v>
                </c:pt>
                <c:pt idx="27">
                  <c:v>254.00660330882422</c:v>
                </c:pt>
                <c:pt idx="28">
                  <c:v>271.88786690161197</c:v>
                </c:pt>
                <c:pt idx="29">
                  <c:v>289.74268920589344</c:v>
                </c:pt>
                <c:pt idx="30">
                  <c:v>307.57292859760338</c:v>
                </c:pt>
                <c:pt idx="31">
                  <c:v>208.0004464477073</c:v>
                </c:pt>
                <c:pt idx="32">
                  <c:v>229.08024217931526</c:v>
                </c:pt>
                <c:pt idx="33">
                  <c:v>250.11566977871595</c:v>
                </c:pt>
                <c:pt idx="34">
                  <c:v>271.11098488765992</c:v>
                </c:pt>
                <c:pt idx="35">
                  <c:v>292.06972985560316</c:v>
                </c:pt>
                <c:pt idx="36">
                  <c:v>259.45164815796988</c:v>
                </c:pt>
                <c:pt idx="37">
                  <c:v>281.20660167429202</c:v>
                </c:pt>
                <c:pt idx="38">
                  <c:v>302.92383728372158</c:v>
                </c:pt>
                <c:pt idx="39">
                  <c:v>324.60643807826494</c:v>
                </c:pt>
                <c:pt idx="40">
                  <c:v>346.25704166537025</c:v>
                </c:pt>
                <c:pt idx="41">
                  <c:v>314.15647495690467</c:v>
                </c:pt>
                <c:pt idx="42">
                  <c:v>336.20880231759611</c:v>
                </c:pt>
                <c:pt idx="43">
                  <c:v>358.22928558083089</c:v>
                </c:pt>
                <c:pt idx="44">
                  <c:v>380.22015624917964</c:v>
                </c:pt>
                <c:pt idx="45">
                  <c:v>402.18336673633206</c:v>
                </c:pt>
                <c:pt idx="46">
                  <c:v>369.42119511414558</c:v>
                </c:pt>
                <c:pt idx="47">
                  <c:v>390.62711987431993</c:v>
                </c:pt>
                <c:pt idx="48">
                  <c:v>411.80807637868747</c:v>
                </c:pt>
                <c:pt idx="49">
                  <c:v>432.96552861089231</c:v>
                </c:pt>
                <c:pt idx="50">
                  <c:v>454.10078588624373</c:v>
                </c:pt>
                <c:pt idx="51">
                  <c:v>419.8890759024078</c:v>
                </c:pt>
                <c:pt idx="52">
                  <c:v>439.50055712660463</c:v>
                </c:pt>
                <c:pt idx="53">
                  <c:v>459.09327985807062</c:v>
                </c:pt>
                <c:pt idx="54">
                  <c:v>478.66815678776129</c:v>
                </c:pt>
                <c:pt idx="55">
                  <c:v>498.22601991660639</c:v>
                </c:pt>
                <c:pt idx="56">
                  <c:v>462.5489419632766</c:v>
                </c:pt>
                <c:pt idx="57">
                  <c:v>480.58633375842027</c:v>
                </c:pt>
                <c:pt idx="58">
                  <c:v>498.60934258764996</c:v>
                </c:pt>
                <c:pt idx="59">
                  <c:v>516.61856122298445</c:v>
                </c:pt>
                <c:pt idx="60">
                  <c:v>534.61453776319524</c:v>
                </c:pt>
                <c:pt idx="61">
                  <c:v>497.84269099902525</c:v>
                </c:pt>
                <c:pt idx="62">
                  <c:v>514.70332559574479</c:v>
                </c:pt>
                <c:pt idx="63">
                  <c:v>531.55230561741553</c:v>
                </c:pt>
                <c:pt idx="64">
                  <c:v>548.39005229891859</c:v>
                </c:pt>
                <c:pt idx="65">
                  <c:v>565.21695891368074</c:v>
                </c:pt>
                <c:pt idx="66">
                  <c:v>527.34112969241005</c:v>
                </c:pt>
                <c:pt idx="67">
                  <c:v>543.03378149300647</c:v>
                </c:pt>
                <c:pt idx="68">
                  <c:v>558.71691511038478</c:v>
                </c:pt>
                <c:pt idx="69">
                  <c:v>574.39083521123325</c:v>
                </c:pt>
                <c:pt idx="70">
                  <c:v>590.05582848802044</c:v>
                </c:pt>
                <c:pt idx="71">
                  <c:v>551.06777546888088</c:v>
                </c:pt>
                <c:pt idx="72">
                  <c:v>565.59926555628579</c:v>
                </c:pt>
                <c:pt idx="73">
                  <c:v>580.12295123245474</c:v>
                </c:pt>
                <c:pt idx="74">
                  <c:v>594.63905531968851</c:v>
                </c:pt>
                <c:pt idx="75">
                  <c:v>609.14778887966042</c:v>
                </c:pt>
                <c:pt idx="76">
                  <c:v>569.42203544921153</c:v>
                </c:pt>
                <c:pt idx="77">
                  <c:v>583.17959594683191</c:v>
                </c:pt>
                <c:pt idx="78">
                  <c:v>596.93039273337797</c:v>
                </c:pt>
                <c:pt idx="79">
                  <c:v>610.67460350167141</c:v>
                </c:pt>
                <c:pt idx="80">
                  <c:v>624.41239729750214</c:v>
                </c:pt>
                <c:pt idx="81">
                  <c:v>583.56165301259614</c:v>
                </c:pt>
                <c:pt idx="82">
                  <c:v>596.16663396016577</c:v>
                </c:pt>
                <c:pt idx="83">
                  <c:v>608.76607282046439</c:v>
                </c:pt>
                <c:pt idx="84">
                  <c:v>621.36010041874772</c:v>
                </c:pt>
                <c:pt idx="85">
                  <c:v>633.94884184664033</c:v>
                </c:pt>
                <c:pt idx="86">
                  <c:v>646.53241682467024</c:v>
                </c:pt>
                <c:pt idx="87">
                  <c:v>659.11094003512619</c:v>
                </c:pt>
                <c:pt idx="88">
                  <c:v>671.68452142819672</c:v>
                </c:pt>
                <c:pt idx="89">
                  <c:v>684.25326650400723</c:v>
                </c:pt>
                <c:pt idx="90">
                  <c:v>696.8172765728691</c:v>
                </c:pt>
                <c:pt idx="91">
                  <c:v>601.51251958281762</c:v>
                </c:pt>
                <c:pt idx="92">
                  <c:v>612.96467697950231</c:v>
                </c:pt>
                <c:pt idx="93">
                  <c:v>624.41239729750248</c:v>
                </c:pt>
                <c:pt idx="94">
                  <c:v>635.85577332565367</c:v>
                </c:pt>
                <c:pt idx="95">
                  <c:v>647.29489424172516</c:v>
                </c:pt>
                <c:pt idx="96">
                  <c:v>658.72984581562707</c:v>
                </c:pt>
                <c:pt idx="97">
                  <c:v>670.1607105977813</c:v>
                </c:pt>
                <c:pt idx="98">
                  <c:v>681.58756809397642</c:v>
                </c:pt>
                <c:pt idx="99">
                  <c:v>693.01049492789434</c:v>
                </c:pt>
                <c:pt idx="100">
                  <c:v>704.42956499236789</c:v>
                </c:pt>
                <c:pt idx="101">
                  <c:v>607.62089481714213</c:v>
                </c:pt>
                <c:pt idx="102">
                  <c:v>617.54429227660466</c:v>
                </c:pt>
                <c:pt idx="103">
                  <c:v>627.46438526884424</c:v>
                </c:pt>
                <c:pt idx="104">
                  <c:v>637.38123339273886</c:v>
                </c:pt>
                <c:pt idx="105">
                  <c:v>647.29489424172505</c:v>
                </c:pt>
                <c:pt idx="106">
                  <c:v>657.20542350161418</c:v>
                </c:pt>
                <c:pt idx="107">
                  <c:v>667.11287504220093</c:v>
                </c:pt>
                <c:pt idx="108">
                  <c:v>677.01730100315046</c:v>
                </c:pt>
                <c:pt idx="109">
                  <c:v>686.91875187459902</c:v>
                </c:pt>
                <c:pt idx="110">
                  <c:v>696.81727657286876</c:v>
                </c:pt>
                <c:pt idx="111">
                  <c:v>608.19348941446788</c:v>
                </c:pt>
                <c:pt idx="112">
                  <c:v>616.78107210210919</c:v>
                </c:pt>
                <c:pt idx="113">
                  <c:v>625.36617664098867</c:v>
                </c:pt>
                <c:pt idx="114">
                  <c:v>633.94884184664033</c:v>
                </c:pt>
                <c:pt idx="115">
                  <c:v>642.52910539795516</c:v>
                </c:pt>
                <c:pt idx="116">
                  <c:v>651.10700388552539</c:v>
                </c:pt>
                <c:pt idx="117">
                  <c:v>659.68257285730954</c:v>
                </c:pt>
                <c:pt idx="118">
                  <c:v>668.25584686180002</c:v>
                </c:pt>
                <c:pt idx="119">
                  <c:v>676.82685948885785</c:v>
                </c:pt>
                <c:pt idx="120">
                  <c:v>685.39564340837842</c:v>
                </c:pt>
                <c:pt idx="121">
                  <c:v>603.61241826374226</c:v>
                </c:pt>
                <c:pt idx="122">
                  <c:v>611.43798109340639</c:v>
                </c:pt>
                <c:pt idx="123">
                  <c:v>619.26146622409794</c:v>
                </c:pt>
                <c:pt idx="124">
                  <c:v>627.08290360699982</c:v>
                </c:pt>
                <c:pt idx="125">
                  <c:v>634.90232238520082</c:v>
                </c:pt>
                <c:pt idx="126">
                  <c:v>642.71975092539594</c:v>
                </c:pt>
                <c:pt idx="127">
                  <c:v>650.53521684796408</c:v>
                </c:pt>
                <c:pt idx="128">
                  <c:v>658.34874705552954</c:v>
                </c:pt>
                <c:pt idx="129">
                  <c:v>666.16036776009116</c:v>
                </c:pt>
                <c:pt idx="130">
                  <c:v>673.97010450881908</c:v>
                </c:pt>
                <c:pt idx="131">
                  <c:v>597.50319847338164</c:v>
                </c:pt>
                <c:pt idx="132">
                  <c:v>604.94863836746242</c:v>
                </c:pt>
                <c:pt idx="133">
                  <c:v>612.39217527753362</c:v>
                </c:pt>
                <c:pt idx="134">
                  <c:v>619.83383559809056</c:v>
                </c:pt>
                <c:pt idx="135">
                  <c:v>627.27364503811225</c:v>
                </c:pt>
                <c:pt idx="136">
                  <c:v>634.71162864696203</c:v>
                </c:pt>
                <c:pt idx="137">
                  <c:v>642.14781083900868</c:v>
                </c:pt>
                <c:pt idx="138">
                  <c:v>649.58221541705086</c:v>
                </c:pt>
                <c:pt idx="139">
                  <c:v>657.01486559460966</c:v>
                </c:pt>
                <c:pt idx="140">
                  <c:v>664.4457840171641</c:v>
                </c:pt>
                <c:pt idx="141">
                  <c:v>592.92043173039872</c:v>
                </c:pt>
                <c:pt idx="142">
                  <c:v>599.60338857466729</c:v>
                </c:pt>
                <c:pt idx="143">
                  <c:v>606.28479716717118</c:v>
                </c:pt>
                <c:pt idx="144">
                  <c:v>612.96467697950209</c:v>
                </c:pt>
                <c:pt idx="145">
                  <c:v>619.64304702417792</c:v>
                </c:pt>
                <c:pt idx="146">
                  <c:v>626.31992587040475</c:v>
                </c:pt>
                <c:pt idx="147">
                  <c:v>632.99533165913192</c:v>
                </c:pt>
                <c:pt idx="148">
                  <c:v>639.66928211743925</c:v>
                </c:pt>
                <c:pt idx="149">
                  <c:v>646.34179457229243</c:v>
                </c:pt>
                <c:pt idx="150">
                  <c:v>653.0128859637008</c:v>
                </c:pt>
                <c:pt idx="151">
                  <c:v>1.5435705246133045E-12</c:v>
                </c:pt>
                <c:pt idx="152">
                  <c:v>1.5435705246133045E-12</c:v>
                </c:pt>
                <c:pt idx="153">
                  <c:v>1.5435705246133045E-12</c:v>
                </c:pt>
                <c:pt idx="154">
                  <c:v>1.5435705246133045E-12</c:v>
                </c:pt>
                <c:pt idx="155">
                  <c:v>1.5435705246133045E-12</c:v>
                </c:pt>
                <c:pt idx="156">
                  <c:v>1.5435705246133045E-12</c:v>
                </c:pt>
                <c:pt idx="157">
                  <c:v>1.5435705246133045E-12</c:v>
                </c:pt>
                <c:pt idx="158">
                  <c:v>1.5435705246133045E-12</c:v>
                </c:pt>
                <c:pt idx="159">
                  <c:v>1.5435705246133045E-12</c:v>
                </c:pt>
                <c:pt idx="160">
                  <c:v>1.5435705246133045E-12</c:v>
                </c:pt>
                <c:pt idx="161">
                  <c:v>1.5435705246133045E-12</c:v>
                </c:pt>
                <c:pt idx="162">
                  <c:v>1.5435705246133045E-12</c:v>
                </c:pt>
                <c:pt idx="163">
                  <c:v>1.5435705246133045E-12</c:v>
                </c:pt>
                <c:pt idx="164">
                  <c:v>1.5435705246133045E-12</c:v>
                </c:pt>
                <c:pt idx="165">
                  <c:v>1.5435705246133045E-12</c:v>
                </c:pt>
                <c:pt idx="166">
                  <c:v>1.5435705246133045E-12</c:v>
                </c:pt>
                <c:pt idx="167">
                  <c:v>1.5435705246133045E-12</c:v>
                </c:pt>
                <c:pt idx="168">
                  <c:v>1.5435705246133045E-12</c:v>
                </c:pt>
                <c:pt idx="169">
                  <c:v>1.5435705246133045E-12</c:v>
                </c:pt>
                <c:pt idx="170">
                  <c:v>1.5435705246133045E-12</c:v>
                </c:pt>
                <c:pt idx="171">
                  <c:v>1.5435705246133045E-12</c:v>
                </c:pt>
                <c:pt idx="172">
                  <c:v>1.5435705246133045E-12</c:v>
                </c:pt>
                <c:pt idx="173">
                  <c:v>1.5435705246133045E-12</c:v>
                </c:pt>
                <c:pt idx="174">
                  <c:v>1.5435705246133045E-12</c:v>
                </c:pt>
                <c:pt idx="175">
                  <c:v>1.5435705246133045E-12</c:v>
                </c:pt>
                <c:pt idx="176">
                  <c:v>1.5435705246133045E-12</c:v>
                </c:pt>
                <c:pt idx="177">
                  <c:v>1.5435705246133045E-12</c:v>
                </c:pt>
                <c:pt idx="178">
                  <c:v>1.5435705246133045E-12</c:v>
                </c:pt>
                <c:pt idx="179">
                  <c:v>1.5435705246133045E-12</c:v>
                </c:pt>
                <c:pt idx="180">
                  <c:v>1.5435705246133045E-12</c:v>
                </c:pt>
                <c:pt idx="181">
                  <c:v>1.5435705246133045E-12</c:v>
                </c:pt>
                <c:pt idx="182">
                  <c:v>1.5435705246133045E-12</c:v>
                </c:pt>
                <c:pt idx="183">
                  <c:v>1.5435705246133045E-12</c:v>
                </c:pt>
                <c:pt idx="184">
                  <c:v>1.5435705246133045E-12</c:v>
                </c:pt>
                <c:pt idx="185">
                  <c:v>1.5435705246133045E-12</c:v>
                </c:pt>
                <c:pt idx="186">
                  <c:v>1.5435705246133045E-12</c:v>
                </c:pt>
                <c:pt idx="187">
                  <c:v>1.5435705246133045E-12</c:v>
                </c:pt>
                <c:pt idx="188">
                  <c:v>1.5435705246133045E-12</c:v>
                </c:pt>
                <c:pt idx="189">
                  <c:v>1.5435705246133045E-12</c:v>
                </c:pt>
                <c:pt idx="190">
                  <c:v>1.5435705246133045E-12</c:v>
                </c:pt>
                <c:pt idx="191">
                  <c:v>1.5435705246133045E-12</c:v>
                </c:pt>
                <c:pt idx="192">
                  <c:v>1.5435705246133045E-12</c:v>
                </c:pt>
                <c:pt idx="193">
                  <c:v>1.5435705246133045E-12</c:v>
                </c:pt>
                <c:pt idx="194">
                  <c:v>1.5435705246133045E-12</c:v>
                </c:pt>
                <c:pt idx="195">
                  <c:v>1.5435705246133045E-12</c:v>
                </c:pt>
                <c:pt idx="196">
                  <c:v>1.5435705246133045E-12</c:v>
                </c:pt>
                <c:pt idx="197">
                  <c:v>1.5435705246133045E-12</c:v>
                </c:pt>
                <c:pt idx="198">
                  <c:v>1.5435705246133045E-12</c:v>
                </c:pt>
                <c:pt idx="199">
                  <c:v>1.5435705246133045E-12</c:v>
                </c:pt>
                <c:pt idx="200">
                  <c:v>1.5435705246133045E-12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3.2647516674612578</c:v>
                </c:pt>
                <c:pt idx="2">
                  <c:v>4.0150798908873933</c:v>
                </c:pt>
                <c:pt idx="3">
                  <c:v>4.9385049314225391</c:v>
                </c:pt>
                <c:pt idx="4">
                  <c:v>6.0751007979600642</c:v>
                </c:pt>
                <c:pt idx="5">
                  <c:v>7.4742497420629066</c:v>
                </c:pt>
                <c:pt idx="6">
                  <c:v>9.1968109479427493</c:v>
                </c:pt>
                <c:pt idx="7">
                  <c:v>11.317795916981858</c:v>
                </c:pt>
                <c:pt idx="8">
                  <c:v>13.929669235737409</c:v>
                </c:pt>
                <c:pt idx="9">
                  <c:v>17.14642128331749</c:v>
                </c:pt>
                <c:pt idx="10">
                  <c:v>21.108593857712506</c:v>
                </c:pt>
                <c:pt idx="11">
                  <c:v>25.989482226776222</c:v>
                </c:pt>
                <c:pt idx="12">
                  <c:v>32.002789648745868</c:v>
                </c:pt>
                <c:pt idx="13">
                  <c:v>39.412075321462829</c:v>
                </c:pt>
                <c:pt idx="14">
                  <c:v>48.542416928887945</c:v>
                </c:pt>
                <c:pt idx="15">
                  <c:v>59.794808068333602</c:v>
                </c:pt>
                <c:pt idx="16">
                  <c:v>73.663933325798567</c:v>
                </c:pt>
                <c:pt idx="17">
                  <c:v>90.760115139196031</c:v>
                </c:pt>
                <c:pt idx="18">
                  <c:v>111.83641367495041</c:v>
                </c:pt>
                <c:pt idx="19">
                  <c:v>137.82209218199722</c:v>
                </c:pt>
                <c:pt idx="20">
                  <c:v>169.86394611557276</c:v>
                </c:pt>
                <c:pt idx="21">
                  <c:v>186.17529975179778</c:v>
                </c:pt>
                <c:pt idx="22">
                  <c:v>202.45329338095564</c:v>
                </c:pt>
                <c:pt idx="23">
                  <c:v>218.70098763811578</c:v>
                </c:pt>
                <c:pt idx="24">
                  <c:v>234.92095081432191</c:v>
                </c:pt>
                <c:pt idx="25">
                  <c:v>251.11536732553444</c:v>
                </c:pt>
                <c:pt idx="26">
                  <c:v>271.77401662995709</c:v>
                </c:pt>
                <c:pt idx="27">
                  <c:v>292.39735453238615</c:v>
                </c:pt>
                <c:pt idx="28">
                  <c:v>312.98822099272905</c:v>
                </c:pt>
                <c:pt idx="29">
                  <c:v>333.54905178228984</c:v>
                </c:pt>
                <c:pt idx="30">
                  <c:v>354.08195790136142</c:v>
                </c:pt>
                <c:pt idx="31">
                  <c:v>239.42187704418757</c:v>
                </c:pt>
                <c:pt idx="32">
                  <c:v>263.69457505841393</c:v>
                </c:pt>
                <c:pt idx="33">
                  <c:v>287.91687361454052</c:v>
                </c:pt>
                <c:pt idx="34">
                  <c:v>312.09360685877562</c:v>
                </c:pt>
                <c:pt idx="35">
                  <c:v>336.22879868133322</c:v>
                </c:pt>
                <c:pt idx="36">
                  <c:v>298.66745821941805</c:v>
                </c:pt>
                <c:pt idx="37">
                  <c:v>323.71921792546942</c:v>
                </c:pt>
                <c:pt idx="38">
                  <c:v>348.72813241867397</c:v>
                </c:pt>
                <c:pt idx="39">
                  <c:v>373.69770390114485</c:v>
                </c:pt>
                <c:pt idx="40">
                  <c:v>398.63092853204995</c:v>
                </c:pt>
                <c:pt idx="41">
                  <c:v>361.66351520952867</c:v>
                </c:pt>
                <c:pt idx="42">
                  <c:v>387.05913530996236</c:v>
                </c:pt>
                <c:pt idx="43">
                  <c:v>412.41858248231324</c:v>
                </c:pt>
                <c:pt idx="44">
                  <c:v>437.74439157568878</c:v>
                </c:pt>
                <c:pt idx="45">
                  <c:v>463.03878041146322</c:v>
                </c:pt>
                <c:pt idx="46">
                  <c:v>425.30770062156677</c:v>
                </c:pt>
                <c:pt idx="47">
                  <c:v>449.7297354951624</c:v>
                </c:pt>
                <c:pt idx="48">
                  <c:v>474.12340797215137</c:v>
                </c:pt>
                <c:pt idx="49">
                  <c:v>498.49038104754032</c:v>
                </c:pt>
                <c:pt idx="50">
                  <c:v>522.83214202266061</c:v>
                </c:pt>
                <c:pt idx="51">
                  <c:v>483.43022788495313</c:v>
                </c:pt>
                <c:pt idx="52">
                  <c:v>506.01682508175617</c:v>
                </c:pt>
                <c:pt idx="53">
                  <c:v>528.58211378930434</c:v>
                </c:pt>
                <c:pt idx="54">
                  <c:v>551.12713076815692</c:v>
                </c:pt>
                <c:pt idx="55">
                  <c:v>573.65282111998749</c:v>
                </c:pt>
                <c:pt idx="56">
                  <c:v>532.56209117756305</c:v>
                </c:pt>
                <c:pt idx="57">
                  <c:v>553.33637170601048</c:v>
                </c:pt>
                <c:pt idx="58">
                  <c:v>574.094314073443</c:v>
                </c:pt>
                <c:pt idx="59">
                  <c:v>594.83659163226582</c:v>
                </c:pt>
                <c:pt idx="60">
                  <c:v>615.56382698883351</c:v>
                </c:pt>
                <c:pt idx="61">
                  <c:v>573.211321070851</c:v>
                </c:pt>
                <c:pt idx="62">
                  <c:v>592.63069187888505</c:v>
                </c:pt>
                <c:pt idx="63">
                  <c:v>612.03682380942712</c:v>
                </c:pt>
                <c:pt idx="64">
                  <c:v>631.4301953592875</c:v>
                </c:pt>
                <c:pt idx="65">
                  <c:v>650.81125326279141</c:v>
                </c:pt>
                <c:pt idx="66">
                  <c:v>607.18650523611598</c:v>
                </c:pt>
                <c:pt idx="67">
                  <c:v>625.26093350286089</c:v>
                </c:pt>
                <c:pt idx="68">
                  <c:v>643.32454970129436</c:v>
                </c:pt>
                <c:pt idx="69">
                  <c:v>661.37769991395851</c:v>
                </c:pt>
                <c:pt idx="70">
                  <c:v>679.42070980579172</c:v>
                </c:pt>
                <c:pt idx="71">
                  <c:v>634.51435801627883</c:v>
                </c:pt>
                <c:pt idx="72">
                  <c:v>651.25159207068884</c:v>
                </c:pt>
                <c:pt idx="73">
                  <c:v>667.97996079591962</c:v>
                </c:pt>
                <c:pt idx="74">
                  <c:v>684.69971730434372</c:v>
                </c:pt>
                <c:pt idx="75">
                  <c:v>701.4111013489877</c:v>
                </c:pt>
                <c:pt idx="76">
                  <c:v>655.6546433063462</c:v>
                </c:pt>
                <c:pt idx="77">
                  <c:v>671.50061699832099</c:v>
                </c:pt>
                <c:pt idx="78">
                  <c:v>687.33890753222886</c:v>
                </c:pt>
                <c:pt idx="79">
                  <c:v>703.1697167561415</c:v>
                </c:pt>
                <c:pt idx="80">
                  <c:v>718.99323669563557</c:v>
                </c:pt>
                <c:pt idx="81">
                  <c:v>671.94067230234054</c:v>
                </c:pt>
                <c:pt idx="82">
                  <c:v>686.45920058929096</c:v>
                </c:pt>
                <c:pt idx="83">
                  <c:v>700.97143340736955</c:v>
                </c:pt>
                <c:pt idx="84">
                  <c:v>715.47751936598786</c:v>
                </c:pt>
                <c:pt idx="85">
                  <c:v>729.97760056150571</c:v>
                </c:pt>
                <c:pt idx="86">
                  <c:v>744.47181298904889</c:v>
                </c:pt>
                <c:pt idx="87">
                  <c:v>758.96028692061543</c:v>
                </c:pt>
                <c:pt idx="88">
                  <c:v>773.44314725282891</c:v>
                </c:pt>
                <c:pt idx="89">
                  <c:v>787.92051382731631</c:v>
                </c:pt>
                <c:pt idx="90">
                  <c:v>802.39250172633444</c:v>
                </c:pt>
                <c:pt idx="91">
                  <c:v>692.6166655189021</c:v>
                </c:pt>
                <c:pt idx="92">
                  <c:v>705.80747123094909</c:v>
                </c:pt>
                <c:pt idx="93">
                  <c:v>718.99323669563603</c:v>
                </c:pt>
                <c:pt idx="94">
                  <c:v>732.17406731534891</c:v>
                </c:pt>
                <c:pt idx="95">
                  <c:v>745.3500643905262</c:v>
                </c:pt>
                <c:pt idx="96">
                  <c:v>758.52132535048941</c:v>
                </c:pt>
                <c:pt idx="97">
                  <c:v>771.6879439674193</c:v>
                </c:pt>
                <c:pt idx="98">
                  <c:v>784.85001055498196</c:v>
                </c:pt>
                <c:pt idx="99">
                  <c:v>798.00761215294722</c:v>
                </c:pt>
                <c:pt idx="100">
                  <c:v>811.16083269901026</c:v>
                </c:pt>
                <c:pt idx="101">
                  <c:v>699.6523957023237</c:v>
                </c:pt>
                <c:pt idx="102">
                  <c:v>711.08237624927585</c:v>
                </c:pt>
                <c:pt idx="103">
                  <c:v>722.50860312554039</c:v>
                </c:pt>
                <c:pt idx="104">
                  <c:v>733.93114403176139</c:v>
                </c:pt>
                <c:pt idx="105">
                  <c:v>745.35006439052597</c:v>
                </c:pt>
                <c:pt idx="106">
                  <c:v>756.76542745747736</c:v>
                </c:pt>
                <c:pt idx="107">
                  <c:v>768.17729442537495</c:v>
                </c:pt>
                <c:pt idx="108">
                  <c:v>779.58572452165856</c:v>
                </c:pt>
                <c:pt idx="109">
                  <c:v>790.99077510000473</c:v>
                </c:pt>
                <c:pt idx="110">
                  <c:v>802.39250172633422</c:v>
                </c:pt>
                <c:pt idx="111">
                  <c:v>700.31192091117612</c:v>
                </c:pt>
                <c:pt idx="112">
                  <c:v>710.20328112121717</c:v>
                </c:pt>
                <c:pt idx="113">
                  <c:v>720.09182630731073</c:v>
                </c:pt>
                <c:pt idx="114">
                  <c:v>729.97760056150571</c:v>
                </c:pt>
                <c:pt idx="115">
                  <c:v>739.8606466846951</c:v>
                </c:pt>
                <c:pt idx="116">
                  <c:v>749.74100624153243</c:v>
                </c:pt>
                <c:pt idx="117">
                  <c:v>759.61871961230361</c:v>
                </c:pt>
                <c:pt idx="118">
                  <c:v>769.49382604196092</c:v>
                </c:pt>
                <c:pt idx="119">
                  <c:v>779.36636368651364</c:v>
                </c:pt>
                <c:pt idx="120">
                  <c:v>789.23636965694402</c:v>
                </c:pt>
                <c:pt idx="121">
                  <c:v>695.03536213304415</c:v>
                </c:pt>
                <c:pt idx="122">
                  <c:v>704.04899070046247</c:v>
                </c:pt>
                <c:pt idx="123">
                  <c:v>713.06025913016208</c:v>
                </c:pt>
                <c:pt idx="124">
                  <c:v>722.06920144483786</c:v>
                </c:pt>
                <c:pt idx="125">
                  <c:v>731.07585074923838</c:v>
                </c:pt>
                <c:pt idx="126">
                  <c:v>740.08023926617716</c:v>
                </c:pt>
                <c:pt idx="127">
                  <c:v>749.08239837069948</c:v>
                </c:pt>
                <c:pt idx="128">
                  <c:v>758.08235862252423</c:v>
                </c:pt>
                <c:pt idx="129">
                  <c:v>767.08014979686402</c:v>
                </c:pt>
                <c:pt idx="130">
                  <c:v>776.07580091372574</c:v>
                </c:pt>
                <c:pt idx="131">
                  <c:v>687.99867258612392</c:v>
                </c:pt>
                <c:pt idx="132">
                  <c:v>696.57444290195974</c:v>
                </c:pt>
                <c:pt idx="133">
                  <c:v>705.14805154548549</c:v>
                </c:pt>
                <c:pt idx="134">
                  <c:v>713.71952849921763</c:v>
                </c:pt>
                <c:pt idx="135">
                  <c:v>722.28890296696807</c:v>
                </c:pt>
                <c:pt idx="136">
                  <c:v>730.85620340326705</c:v>
                </c:pt>
                <c:pt idx="137">
                  <c:v>739.4214575413298</c:v>
                </c:pt>
                <c:pt idx="138">
                  <c:v>747.98469241966507</c:v>
                </c:pt>
                <c:pt idx="139">
                  <c:v>756.54593440739973</c:v>
                </c:pt>
                <c:pt idx="140">
                  <c:v>765.10520922839896</c:v>
                </c:pt>
                <c:pt idx="141">
                  <c:v>682.72018771990349</c:v>
                </c:pt>
                <c:pt idx="142">
                  <c:v>690.41770023579795</c:v>
                </c:pt>
                <c:pt idx="143">
                  <c:v>698.11345403330449</c:v>
                </c:pt>
                <c:pt idx="144">
                  <c:v>705.80747123094898</c:v>
                </c:pt>
                <c:pt idx="145">
                  <c:v>713.49977342577768</c:v>
                </c:pt>
                <c:pt idx="146">
                  <c:v>721.19038171126158</c:v>
                </c:pt>
                <c:pt idx="147">
                  <c:v>728.87931669439877</c:v>
                </c:pt>
                <c:pt idx="148">
                  <c:v>736.56659851205779</c:v>
                </c:pt>
                <c:pt idx="149">
                  <c:v>744.252246846601</c:v>
                </c:pt>
                <c:pt idx="150">
                  <c:v>751.93628094083306</c:v>
                </c:pt>
                <c:pt idx="151">
                  <c:v>1.7551237327173918E-12</c:v>
                </c:pt>
                <c:pt idx="152">
                  <c:v>1.7551237327173918E-12</c:v>
                </c:pt>
                <c:pt idx="153">
                  <c:v>1.7551237327173918E-12</c:v>
                </c:pt>
                <c:pt idx="154">
                  <c:v>1.7551237327173918E-12</c:v>
                </c:pt>
                <c:pt idx="155">
                  <c:v>1.7551237327173918E-12</c:v>
                </c:pt>
                <c:pt idx="156">
                  <c:v>1.7551237327173918E-12</c:v>
                </c:pt>
                <c:pt idx="157">
                  <c:v>1.7551237327173918E-12</c:v>
                </c:pt>
                <c:pt idx="158">
                  <c:v>1.7551237327173918E-12</c:v>
                </c:pt>
                <c:pt idx="159">
                  <c:v>1.7551237327173918E-12</c:v>
                </c:pt>
                <c:pt idx="160">
                  <c:v>1.7551237327173918E-12</c:v>
                </c:pt>
                <c:pt idx="161">
                  <c:v>1.7551237327173918E-12</c:v>
                </c:pt>
                <c:pt idx="162">
                  <c:v>1.7551237327173918E-12</c:v>
                </c:pt>
                <c:pt idx="163">
                  <c:v>1.7551237327173918E-12</c:v>
                </c:pt>
                <c:pt idx="164">
                  <c:v>1.7551237327173918E-12</c:v>
                </c:pt>
                <c:pt idx="165">
                  <c:v>1.7551237327173918E-12</c:v>
                </c:pt>
                <c:pt idx="166">
                  <c:v>1.7551237327173918E-12</c:v>
                </c:pt>
                <c:pt idx="167">
                  <c:v>1.7551237327173918E-12</c:v>
                </c:pt>
                <c:pt idx="168">
                  <c:v>1.7551237327173918E-12</c:v>
                </c:pt>
                <c:pt idx="169">
                  <c:v>1.7551237327173918E-12</c:v>
                </c:pt>
                <c:pt idx="170">
                  <c:v>1.7551237327173918E-12</c:v>
                </c:pt>
                <c:pt idx="171">
                  <c:v>1.7551237327173918E-12</c:v>
                </c:pt>
                <c:pt idx="172">
                  <c:v>1.7551237327173918E-12</c:v>
                </c:pt>
                <c:pt idx="173">
                  <c:v>1.7551237327173918E-12</c:v>
                </c:pt>
                <c:pt idx="174">
                  <c:v>1.7551237327173918E-12</c:v>
                </c:pt>
                <c:pt idx="175">
                  <c:v>1.7551237327173918E-12</c:v>
                </c:pt>
                <c:pt idx="176">
                  <c:v>1.7551237327173918E-12</c:v>
                </c:pt>
                <c:pt idx="177">
                  <c:v>1.7551237327173918E-12</c:v>
                </c:pt>
                <c:pt idx="178">
                  <c:v>1.7551237327173918E-12</c:v>
                </c:pt>
                <c:pt idx="179">
                  <c:v>1.7551237327173918E-12</c:v>
                </c:pt>
                <c:pt idx="180">
                  <c:v>1.7551237327173918E-12</c:v>
                </c:pt>
                <c:pt idx="181">
                  <c:v>1.7551237327173918E-12</c:v>
                </c:pt>
                <c:pt idx="182">
                  <c:v>1.7551237327173918E-12</c:v>
                </c:pt>
                <c:pt idx="183">
                  <c:v>1.7551237327173918E-12</c:v>
                </c:pt>
                <c:pt idx="184">
                  <c:v>1.7551237327173918E-12</c:v>
                </c:pt>
                <c:pt idx="185">
                  <c:v>1.7551237327173918E-12</c:v>
                </c:pt>
                <c:pt idx="186">
                  <c:v>1.7551237327173918E-12</c:v>
                </c:pt>
                <c:pt idx="187">
                  <c:v>1.7551237327173918E-12</c:v>
                </c:pt>
                <c:pt idx="188">
                  <c:v>1.7551237327173918E-12</c:v>
                </c:pt>
                <c:pt idx="189">
                  <c:v>1.7551237327173918E-12</c:v>
                </c:pt>
                <c:pt idx="190">
                  <c:v>1.7551237327173918E-12</c:v>
                </c:pt>
                <c:pt idx="191">
                  <c:v>1.7551237327173918E-12</c:v>
                </c:pt>
                <c:pt idx="192">
                  <c:v>1.7551237327173918E-12</c:v>
                </c:pt>
                <c:pt idx="193">
                  <c:v>1.7551237327173918E-12</c:v>
                </c:pt>
                <c:pt idx="194">
                  <c:v>1.7551237327173918E-12</c:v>
                </c:pt>
                <c:pt idx="195">
                  <c:v>1.7551237327173918E-12</c:v>
                </c:pt>
                <c:pt idx="196">
                  <c:v>1.7551237327173918E-12</c:v>
                </c:pt>
                <c:pt idx="197">
                  <c:v>1.7551237327173918E-12</c:v>
                </c:pt>
                <c:pt idx="198">
                  <c:v>1.7551237327173918E-12</c:v>
                </c:pt>
                <c:pt idx="199">
                  <c:v>1.7551237327173918E-12</c:v>
                </c:pt>
                <c:pt idx="200">
                  <c:v>1.7551237327173918E-12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3.1707548346542</c:v>
                </c:pt>
                <c:pt idx="2">
                  <c:v>3.8994070069335893</c:v>
                </c:pt>
                <c:pt idx="3">
                  <c:v>4.7961395743139903</c:v>
                </c:pt>
                <c:pt idx="4">
                  <c:v>5.8998617479716442</c:v>
                </c:pt>
                <c:pt idx="5">
                  <c:v>7.2585196858425398</c:v>
                </c:pt>
                <c:pt idx="6">
                  <c:v>8.9312018151497536</c:v>
                </c:pt>
                <c:pt idx="7">
                  <c:v>10.990736010102614</c:v>
                </c:pt>
                <c:pt idx="8">
                  <c:v>13.526893830411311</c:v>
                </c:pt>
                <c:pt idx="9">
                  <c:v>16.650344073811482</c:v>
                </c:pt>
                <c:pt idx="10">
                  <c:v>20.497531306964643</c:v>
                </c:pt>
                <c:pt idx="11">
                  <c:v>25.23669631396508</c:v>
                </c:pt>
                <c:pt idx="12">
                  <c:v>31.075306394532003</c:v>
                </c:pt>
                <c:pt idx="13">
                  <c:v>38.269226447074438</c:v>
                </c:pt>
                <c:pt idx="14">
                  <c:v>47.134039619059727</c:v>
                </c:pt>
                <c:pt idx="15">
                  <c:v>58.059022502120392</c:v>
                </c:pt>
                <c:pt idx="16">
                  <c:v>71.524398723990075</c:v>
                </c:pt>
                <c:pt idx="17">
                  <c:v>88.122641699910204</c:v>
                </c:pt>
                <c:pt idx="18">
                  <c:v>108.58477887574996</c:v>
                </c:pt>
                <c:pt idx="19">
                  <c:v>133.81287421387319</c:v>
                </c:pt>
                <c:pt idx="20">
                  <c:v>164.92014306911736</c:v>
                </c:pt>
                <c:pt idx="21">
                  <c:v>180.75557672577415</c:v>
                </c:pt>
                <c:pt idx="22">
                  <c:v>196.55853182882308</c:v>
                </c:pt>
                <c:pt idx="23">
                  <c:v>212.33198814382544</c:v>
                </c:pt>
                <c:pt idx="24">
                  <c:v>228.07844610125684</c:v>
                </c:pt>
                <c:pt idx="25">
                  <c:v>243.80003239943395</c:v>
                </c:pt>
                <c:pt idx="26">
                  <c:v>263.85541384215668</c:v>
                </c:pt>
                <c:pt idx="27">
                  <c:v>283.87641689700024</c:v>
                </c:pt>
                <c:pt idx="28">
                  <c:v>303.86580648514382</c:v>
                </c:pt>
                <c:pt idx="29">
                  <c:v>323.82595401882173</c:v>
                </c:pt>
                <c:pt idx="30">
                  <c:v>343.75891472050535</c:v>
                </c:pt>
                <c:pt idx="31">
                  <c:v>232.44796515158802</c:v>
                </c:pt>
                <c:pt idx="32">
                  <c:v>256.01191793762854</c:v>
                </c:pt>
                <c:pt idx="33">
                  <c:v>279.52680294324563</c:v>
                </c:pt>
                <c:pt idx="34">
                  <c:v>302.9973265846117</c:v>
                </c:pt>
                <c:pt idx="35">
                  <c:v>326.42740643086177</c:v>
                </c:pt>
                <c:pt idx="36">
                  <c:v>289.96337472940417</c:v>
                </c:pt>
                <c:pt idx="37">
                  <c:v>314.28330815365297</c:v>
                </c:pt>
                <c:pt idx="38">
                  <c:v>338.56152844098659</c:v>
                </c:pt>
                <c:pt idx="39">
                  <c:v>362.80144525672222</c:v>
                </c:pt>
                <c:pt idx="40">
                  <c:v>387.00597559413154</c:v>
                </c:pt>
                <c:pt idx="41">
                  <c:v>351.11892985232765</c:v>
                </c:pt>
                <c:pt idx="42">
                  <c:v>375.77238986983883</c:v>
                </c:pt>
                <c:pt idx="43">
                  <c:v>400.3906327370201</c:v>
                </c:pt>
                <c:pt idx="44">
                  <c:v>424.97612632602937</c:v>
                </c:pt>
                <c:pt idx="45">
                  <c:v>449.53102985794368</c:v>
                </c:pt>
                <c:pt idx="46">
                  <c:v>412.90299192267594</c:v>
                </c:pt>
                <c:pt idx="47">
                  <c:v>436.61108755732994</c:v>
                </c:pt>
                <c:pt idx="48">
                  <c:v>460.29157019967289</c:v>
                </c:pt>
                <c:pt idx="49">
                  <c:v>483.94605890429244</c:v>
                </c:pt>
                <c:pt idx="50">
                  <c:v>507.57600167435936</c:v>
                </c:pt>
                <c:pt idx="51">
                  <c:v>469.32626959947999</c:v>
                </c:pt>
                <c:pt idx="52">
                  <c:v>491.25241699045142</c:v>
                </c:pt>
                <c:pt idx="53">
                  <c:v>513.15781891487734</c:v>
                </c:pt>
                <c:pt idx="54">
                  <c:v>535.04348473955281</c:v>
                </c:pt>
                <c:pt idx="55">
                  <c:v>556.91033459423954</c:v>
                </c:pt>
                <c:pt idx="56">
                  <c:v>517.02140203717238</c:v>
                </c:pt>
                <c:pt idx="57">
                  <c:v>537.18811127897277</c:v>
                </c:pt>
                <c:pt idx="58">
                  <c:v>557.33891405416773</c:v>
                </c:pt>
                <c:pt idx="59">
                  <c:v>577.47446592353504</c:v>
                </c:pt>
                <c:pt idx="60">
                  <c:v>597.59537304263756</c:v>
                </c:pt>
                <c:pt idx="61">
                  <c:v>556.48174822611566</c:v>
                </c:pt>
                <c:pt idx="62">
                  <c:v>575.333092286274</c:v>
                </c:pt>
                <c:pt idx="63">
                  <c:v>594.17154727265404</c:v>
                </c:pt>
                <c:pt idx="64">
                  <c:v>612.99757903900309</c:v>
                </c:pt>
                <c:pt idx="65">
                  <c:v>631.81162251582634</c:v>
                </c:pt>
                <c:pt idx="66">
                  <c:v>589.46311584770126</c:v>
                </c:pt>
                <c:pt idx="67">
                  <c:v>607.00879854794744</c:v>
                </c:pt>
                <c:pt idx="68">
                  <c:v>624.54395486132705</c:v>
                </c:pt>
                <c:pt idx="69">
                  <c:v>642.06892172602966</c:v>
                </c:pt>
                <c:pt idx="70">
                  <c:v>659.58401620212533</c:v>
                </c:pt>
                <c:pt idx="71">
                  <c:v>615.99151338618651</c:v>
                </c:pt>
                <c:pt idx="72">
                  <c:v>632.23907832556165</c:v>
                </c:pt>
                <c:pt idx="73">
                  <c:v>648.47801217956487</c:v>
                </c:pt>
                <c:pt idx="74">
                  <c:v>664.70856137271744</c:v>
                </c:pt>
                <c:pt idx="75">
                  <c:v>680.93095932318113</c:v>
                </c:pt>
                <c:pt idx="76">
                  <c:v>636.51330847982445</c:v>
                </c:pt>
                <c:pt idx="77">
                  <c:v>651.89565867529109</c:v>
                </c:pt>
                <c:pt idx="78">
                  <c:v>667.27052872062904</c:v>
                </c:pt>
                <c:pt idx="79">
                  <c:v>682.63811513058749</c:v>
                </c:pt>
                <c:pt idx="80">
                  <c:v>697.99860485695478</c:v>
                </c:pt>
                <c:pt idx="81">
                  <c:v>652.32283847201813</c:v>
                </c:pt>
                <c:pt idx="82">
                  <c:v>666.41656212645091</c:v>
                </c:pt>
                <c:pt idx="83">
                  <c:v>680.50415665378762</c:v>
                </c:pt>
                <c:pt idx="84">
                  <c:v>694.58576673681353</c:v>
                </c:pt>
                <c:pt idx="85">
                  <c:v>708.661530717353</c:v>
                </c:pt>
                <c:pt idx="86">
                  <c:v>722.73158099720615</c:v>
                </c:pt>
                <c:pt idx="87">
                  <c:v>736.79604440626429</c:v>
                </c:pt>
                <c:pt idx="88">
                  <c:v>750.85504254107491</c:v>
                </c:pt>
                <c:pt idx="89">
                  <c:v>764.90869207675416</c:v>
                </c:pt>
                <c:pt idx="90">
                  <c:v>778.95710505480326</c:v>
                </c:pt>
                <c:pt idx="91">
                  <c:v>672.39385739452064</c:v>
                </c:pt>
                <c:pt idx="92">
                  <c:v>685.19868466155049</c:v>
                </c:pt>
                <c:pt idx="93">
                  <c:v>697.99860485695535</c:v>
                </c:pt>
                <c:pt idx="94">
                  <c:v>710.79372059813147</c:v>
                </c:pt>
                <c:pt idx="95">
                  <c:v>723.58413050891011</c:v>
                </c:pt>
                <c:pt idx="96">
                  <c:v>736.36992944429039</c:v>
                </c:pt>
                <c:pt idx="97">
                  <c:v>749.15120869876171</c:v>
                </c:pt>
                <c:pt idx="98">
                  <c:v>761.92805619968021</c:v>
                </c:pt>
                <c:pt idx="99">
                  <c:v>774.70055668701161</c:v>
                </c:pt>
                <c:pt idx="100">
                  <c:v>787.4687918806103</c:v>
                </c:pt>
                <c:pt idx="101">
                  <c:v>679.22371566061418</c:v>
                </c:pt>
                <c:pt idx="102">
                  <c:v>690.31923574953782</c:v>
                </c:pt>
                <c:pt idx="103">
                  <c:v>701.41110134898815</c:v>
                </c:pt>
                <c:pt idx="104">
                  <c:v>712.49937837079142</c:v>
                </c:pt>
                <c:pt idx="105">
                  <c:v>723.58413050891011</c:v>
                </c:pt>
                <c:pt idx="106">
                  <c:v>734.66541934761642</c:v>
                </c:pt>
                <c:pt idx="107">
                  <c:v>745.74330446280726</c:v>
                </c:pt>
                <c:pt idx="108">
                  <c:v>756.81784351698741</c:v>
                </c:pt>
                <c:pt idx="109">
                  <c:v>767.88909234840855</c:v>
                </c:pt>
                <c:pt idx="110">
                  <c:v>778.95710505480292</c:v>
                </c:pt>
                <c:pt idx="111">
                  <c:v>679.86394234558054</c:v>
                </c:pt>
                <c:pt idx="112">
                  <c:v>689.46586480458461</c:v>
                </c:pt>
                <c:pt idx="113">
                  <c:v>699.06504661949918</c:v>
                </c:pt>
                <c:pt idx="114">
                  <c:v>708.661530717353</c:v>
                </c:pt>
                <c:pt idx="115">
                  <c:v>718.25535876813422</c:v>
                </c:pt>
                <c:pt idx="116">
                  <c:v>727.84657123825627</c:v>
                </c:pt>
                <c:pt idx="117">
                  <c:v>737.43520744105774</c:v>
                </c:pt>
                <c:pt idx="118">
                  <c:v>747.02130558454337</c:v>
                </c:pt>
                <c:pt idx="119">
                  <c:v>756.60490281654666</c:v>
                </c:pt>
                <c:pt idx="120">
                  <c:v>766.18603526748632</c:v>
                </c:pt>
                <c:pt idx="121">
                  <c:v>674.74178119419037</c:v>
                </c:pt>
                <c:pt idx="122">
                  <c:v>683.49166016703748</c:v>
                </c:pt>
                <c:pt idx="123">
                  <c:v>692.23924136281073</c:v>
                </c:pt>
                <c:pt idx="124">
                  <c:v>700.98455790524179</c:v>
                </c:pt>
                <c:pt idx="125">
                  <c:v>709.72764202437031</c:v>
                </c:pt>
                <c:pt idx="126">
                  <c:v>718.46852509160374</c:v>
                </c:pt>
                <c:pt idx="127">
                  <c:v>727.20723765298169</c:v>
                </c:pt>
                <c:pt idx="128">
                  <c:v>735.94380946076024</c:v>
                </c:pt>
                <c:pt idx="129">
                  <c:v>744.67826950341703</c:v>
                </c:pt>
                <c:pt idx="130">
                  <c:v>753.41064603417965</c:v>
                </c:pt>
                <c:pt idx="131">
                  <c:v>667.91098891334195</c:v>
                </c:pt>
                <c:pt idx="132">
                  <c:v>676.23582709036862</c:v>
                </c:pt>
                <c:pt idx="133">
                  <c:v>684.55856071178539</c:v>
                </c:pt>
                <c:pt idx="134">
                  <c:v>692.87921896789703</c:v>
                </c:pt>
                <c:pt idx="135">
                  <c:v>701.19783029087955</c:v>
                </c:pt>
                <c:pt idx="136">
                  <c:v>709.51442238342406</c:v>
                </c:pt>
                <c:pt idx="137">
                  <c:v>717.82902224596603</c:v>
                </c:pt>
                <c:pt idx="138">
                  <c:v>726.14165620259053</c:v>
                </c:pt>
                <c:pt idx="139">
                  <c:v>734.45234992568658</c:v>
                </c:pt>
                <c:pt idx="140">
                  <c:v>742.76112845943226</c:v>
                </c:pt>
                <c:pt idx="141">
                  <c:v>662.78695256584967</c:v>
                </c:pt>
                <c:pt idx="142">
                  <c:v>670.259235001771</c:v>
                </c:pt>
                <c:pt idx="143">
                  <c:v>677.72980518897123</c:v>
                </c:pt>
                <c:pt idx="144">
                  <c:v>685.19868466155015</c:v>
                </c:pt>
                <c:pt idx="145">
                  <c:v>692.66589444590693</c:v>
                </c:pt>
                <c:pt idx="146">
                  <c:v>700.13145507817114</c:v>
                </c:pt>
                <c:pt idx="147">
                  <c:v>707.59538662085345</c:v>
                </c:pt>
                <c:pt idx="148">
                  <c:v>715.05770867875663</c:v>
                </c:pt>
                <c:pt idx="149">
                  <c:v>722.51844041418656</c:v>
                </c:pt>
                <c:pt idx="150">
                  <c:v>729.97760056150571</c:v>
                </c:pt>
                <c:pt idx="151">
                  <c:v>1.708394296311803E-12</c:v>
                </c:pt>
                <c:pt idx="152">
                  <c:v>1.708394296311803E-12</c:v>
                </c:pt>
                <c:pt idx="153">
                  <c:v>1.708394296311803E-12</c:v>
                </c:pt>
                <c:pt idx="154">
                  <c:v>1.708394296311803E-12</c:v>
                </c:pt>
                <c:pt idx="155">
                  <c:v>1.708394296311803E-12</c:v>
                </c:pt>
                <c:pt idx="156">
                  <c:v>1.708394296311803E-12</c:v>
                </c:pt>
                <c:pt idx="157">
                  <c:v>1.708394296311803E-12</c:v>
                </c:pt>
                <c:pt idx="158">
                  <c:v>1.708394296311803E-12</c:v>
                </c:pt>
                <c:pt idx="159">
                  <c:v>1.708394296311803E-12</c:v>
                </c:pt>
                <c:pt idx="160">
                  <c:v>1.708394296311803E-12</c:v>
                </c:pt>
                <c:pt idx="161">
                  <c:v>1.708394296311803E-12</c:v>
                </c:pt>
                <c:pt idx="162">
                  <c:v>1.708394296311803E-12</c:v>
                </c:pt>
                <c:pt idx="163">
                  <c:v>1.708394296311803E-12</c:v>
                </c:pt>
                <c:pt idx="164">
                  <c:v>1.708394296311803E-12</c:v>
                </c:pt>
                <c:pt idx="165">
                  <c:v>1.708394296311803E-12</c:v>
                </c:pt>
                <c:pt idx="166">
                  <c:v>1.708394296311803E-12</c:v>
                </c:pt>
                <c:pt idx="167">
                  <c:v>1.708394296311803E-12</c:v>
                </c:pt>
                <c:pt idx="168">
                  <c:v>1.708394296311803E-12</c:v>
                </c:pt>
                <c:pt idx="169">
                  <c:v>1.708394296311803E-12</c:v>
                </c:pt>
                <c:pt idx="170">
                  <c:v>1.708394296311803E-12</c:v>
                </c:pt>
                <c:pt idx="171">
                  <c:v>1.708394296311803E-12</c:v>
                </c:pt>
                <c:pt idx="172">
                  <c:v>1.708394296311803E-12</c:v>
                </c:pt>
                <c:pt idx="173">
                  <c:v>1.708394296311803E-12</c:v>
                </c:pt>
                <c:pt idx="174">
                  <c:v>1.708394296311803E-12</c:v>
                </c:pt>
                <c:pt idx="175">
                  <c:v>1.708394296311803E-12</c:v>
                </c:pt>
                <c:pt idx="176">
                  <c:v>1.708394296311803E-12</c:v>
                </c:pt>
                <c:pt idx="177">
                  <c:v>1.708394296311803E-12</c:v>
                </c:pt>
                <c:pt idx="178">
                  <c:v>1.708394296311803E-12</c:v>
                </c:pt>
                <c:pt idx="179">
                  <c:v>1.708394296311803E-12</c:v>
                </c:pt>
                <c:pt idx="180">
                  <c:v>1.708394296311803E-12</c:v>
                </c:pt>
                <c:pt idx="181">
                  <c:v>1.708394296311803E-12</c:v>
                </c:pt>
                <c:pt idx="182">
                  <c:v>1.708394296311803E-12</c:v>
                </c:pt>
                <c:pt idx="183">
                  <c:v>1.708394296311803E-12</c:v>
                </c:pt>
                <c:pt idx="184">
                  <c:v>1.708394296311803E-12</c:v>
                </c:pt>
                <c:pt idx="185">
                  <c:v>1.708394296311803E-12</c:v>
                </c:pt>
                <c:pt idx="186">
                  <c:v>1.708394296311803E-12</c:v>
                </c:pt>
                <c:pt idx="187">
                  <c:v>1.708394296311803E-12</c:v>
                </c:pt>
                <c:pt idx="188">
                  <c:v>1.708394296311803E-12</c:v>
                </c:pt>
                <c:pt idx="189">
                  <c:v>1.708394296311803E-12</c:v>
                </c:pt>
                <c:pt idx="190">
                  <c:v>1.708394296311803E-12</c:v>
                </c:pt>
                <c:pt idx="191">
                  <c:v>1.708394296311803E-12</c:v>
                </c:pt>
                <c:pt idx="192">
                  <c:v>1.708394296311803E-12</c:v>
                </c:pt>
                <c:pt idx="193">
                  <c:v>1.708394296311803E-12</c:v>
                </c:pt>
                <c:pt idx="194">
                  <c:v>1.708394296311803E-12</c:v>
                </c:pt>
                <c:pt idx="195">
                  <c:v>1.708394296311803E-12</c:v>
                </c:pt>
                <c:pt idx="196">
                  <c:v>1.708394296311803E-12</c:v>
                </c:pt>
                <c:pt idx="197">
                  <c:v>1.708394296311803E-12</c:v>
                </c:pt>
                <c:pt idx="198">
                  <c:v>1.708394296311803E-12</c:v>
                </c:pt>
                <c:pt idx="199">
                  <c:v>1.708394296311803E-12</c:v>
                </c:pt>
                <c:pt idx="200">
                  <c:v>1.708394296311803E-12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5" x14ac:dyDescent="0.2"/>
  <cols>
    <col min="1" max="1" width="6.6640625" customWidth="1"/>
    <col min="2" max="13" width="15.83203125" customWidth="1"/>
  </cols>
  <sheetData>
    <row r="12" spans="2:13" ht="15" customHeight="1" x14ac:dyDescent="0.2">
      <c r="B12" s="256" t="s">
        <v>291</v>
      </c>
      <c r="C12" s="256"/>
      <c r="D12" s="256"/>
      <c r="E12" s="256"/>
      <c r="F12" s="256"/>
      <c r="G12" s="256"/>
      <c r="H12" s="256"/>
      <c r="I12" s="256"/>
      <c r="J12" s="256"/>
      <c r="K12" s="256"/>
      <c r="L12" s="256"/>
      <c r="M12" s="256"/>
    </row>
    <row r="13" spans="2:13" ht="15" customHeight="1" x14ac:dyDescent="0.2">
      <c r="B13" s="256"/>
      <c r="C13" s="256"/>
      <c r="D13" s="256"/>
      <c r="E13" s="256"/>
      <c r="F13" s="256"/>
      <c r="G13" s="256"/>
      <c r="H13" s="256"/>
      <c r="I13" s="256"/>
      <c r="J13" s="256"/>
      <c r="K13" s="256"/>
      <c r="L13" s="256"/>
      <c r="M13" s="256"/>
    </row>
    <row r="14" spans="2:13" ht="15" customHeight="1" x14ac:dyDescent="0.2">
      <c r="B14" s="256"/>
      <c r="C14" s="256"/>
      <c r="D14" s="256"/>
      <c r="E14" s="256"/>
      <c r="F14" s="256"/>
      <c r="G14" s="256"/>
      <c r="H14" s="256"/>
      <c r="I14" s="256"/>
      <c r="J14" s="256"/>
      <c r="K14" s="256"/>
      <c r="L14" s="256"/>
      <c r="M14" s="256"/>
    </row>
    <row r="15" spans="2:13" ht="18.75" customHeight="1" x14ac:dyDescent="0.2">
      <c r="B15" s="256"/>
      <c r="C15" s="256"/>
      <c r="D15" s="256"/>
      <c r="E15" s="256"/>
      <c r="F15" s="256"/>
      <c r="G15" s="256"/>
      <c r="H15" s="256"/>
      <c r="I15" s="256"/>
      <c r="J15" s="256"/>
      <c r="K15" s="256"/>
      <c r="L15" s="256"/>
      <c r="M15" s="256"/>
    </row>
    <row r="16" spans="2:13" ht="18.75" customHeight="1" x14ac:dyDescent="0.2">
      <c r="B16" s="256"/>
      <c r="C16" s="256"/>
      <c r="D16" s="256"/>
      <c r="E16" s="256"/>
      <c r="F16" s="256"/>
      <c r="G16" s="256"/>
      <c r="H16" s="256"/>
      <c r="I16" s="256"/>
      <c r="J16" s="256"/>
      <c r="K16" s="256"/>
      <c r="L16" s="256"/>
      <c r="M16" s="256"/>
    </row>
    <row r="18" spans="2:13" ht="12" customHeight="1" x14ac:dyDescent="0.2">
      <c r="B18" s="256" t="s">
        <v>292</v>
      </c>
      <c r="C18" s="256"/>
      <c r="D18" s="256"/>
      <c r="E18" s="256"/>
      <c r="F18" s="256"/>
      <c r="G18" s="256"/>
      <c r="H18" s="256"/>
      <c r="I18" s="256"/>
      <c r="J18" s="256"/>
      <c r="K18" s="256"/>
      <c r="L18" s="256"/>
      <c r="M18" s="256"/>
    </row>
    <row r="19" spans="2:13" ht="12" customHeight="1" x14ac:dyDescent="0.2">
      <c r="B19" s="256"/>
      <c r="C19" s="256"/>
      <c r="D19" s="256"/>
      <c r="E19" s="256"/>
      <c r="F19" s="256"/>
      <c r="G19" s="256"/>
      <c r="H19" s="256"/>
      <c r="I19" s="256"/>
      <c r="J19" s="256"/>
      <c r="K19" s="256"/>
      <c r="L19" s="256"/>
      <c r="M19" s="256"/>
    </row>
    <row r="20" spans="2:13" ht="12" customHeight="1" x14ac:dyDescent="0.2">
      <c r="B20" s="256"/>
      <c r="C20" s="256"/>
      <c r="D20" s="256"/>
      <c r="E20" s="256"/>
      <c r="F20" s="256"/>
      <c r="G20" s="256"/>
      <c r="H20" s="256"/>
      <c r="I20" s="256"/>
      <c r="J20" s="256"/>
      <c r="K20" s="256"/>
      <c r="L20" s="256"/>
      <c r="M20" s="256"/>
    </row>
    <row r="21" spans="2:13" ht="12" customHeight="1" x14ac:dyDescent="0.2">
      <c r="B21" s="256"/>
      <c r="C21" s="256"/>
      <c r="D21" s="256"/>
      <c r="E21" s="256"/>
      <c r="F21" s="256"/>
      <c r="G21" s="256"/>
      <c r="H21" s="256"/>
      <c r="I21" s="256"/>
      <c r="J21" s="256"/>
      <c r="K21" s="256"/>
      <c r="L21" s="256"/>
      <c r="M21" s="256"/>
    </row>
    <row r="22" spans="2:13" ht="12" customHeight="1" x14ac:dyDescent="0.2">
      <c r="B22" s="256"/>
      <c r="C22" s="256"/>
      <c r="D22" s="256"/>
      <c r="E22" s="256"/>
      <c r="F22" s="256"/>
      <c r="G22" s="256"/>
      <c r="H22" s="256"/>
      <c r="I22" s="256"/>
      <c r="J22" s="256"/>
      <c r="K22" s="256"/>
      <c r="L22" s="256"/>
      <c r="M22" s="256"/>
    </row>
    <row r="23" spans="2:13" ht="12" customHeight="1" x14ac:dyDescent="0.2">
      <c r="B23" s="256"/>
      <c r="C23" s="256"/>
      <c r="D23" s="256"/>
      <c r="E23" s="256"/>
      <c r="F23" s="256"/>
      <c r="G23" s="256"/>
      <c r="H23" s="256"/>
      <c r="I23" s="256"/>
      <c r="J23" s="256"/>
      <c r="K23" s="256"/>
      <c r="L23" s="256"/>
      <c r="M23" s="256"/>
    </row>
    <row r="24" spans="2:13" ht="12" customHeight="1" x14ac:dyDescent="0.2">
      <c r="B24" s="256"/>
      <c r="C24" s="256"/>
      <c r="D24" s="256"/>
      <c r="E24" s="256"/>
      <c r="F24" s="256"/>
      <c r="G24" s="256"/>
      <c r="H24" s="256"/>
      <c r="I24" s="256"/>
      <c r="J24" s="256"/>
      <c r="K24" s="256"/>
      <c r="L24" s="256"/>
      <c r="M24" s="256"/>
    </row>
    <row r="25" spans="2:13" ht="12" customHeight="1" x14ac:dyDescent="0.2">
      <c r="B25" s="256"/>
      <c r="C25" s="256"/>
      <c r="D25" s="256"/>
      <c r="E25" s="256"/>
      <c r="F25" s="256"/>
      <c r="G25" s="256"/>
      <c r="H25" s="256"/>
      <c r="I25" s="256"/>
      <c r="J25" s="256"/>
      <c r="K25" s="256"/>
      <c r="L25" s="256"/>
      <c r="M25" s="256"/>
    </row>
    <row r="26" spans="2:13" ht="12" customHeight="1" x14ac:dyDescent="0.2">
      <c r="B26" s="256"/>
      <c r="C26" s="256"/>
      <c r="D26" s="256"/>
      <c r="E26" s="256"/>
      <c r="F26" s="256"/>
      <c r="G26" s="256"/>
      <c r="H26" s="256"/>
      <c r="I26" s="256"/>
      <c r="J26" s="256"/>
      <c r="K26" s="256"/>
      <c r="L26" s="256"/>
      <c r="M26" s="256"/>
    </row>
    <row r="27" spans="2:13" ht="12" customHeight="1" x14ac:dyDescent="0.2">
      <c r="B27" s="256"/>
      <c r="C27" s="256"/>
      <c r="D27" s="256"/>
      <c r="E27" s="256"/>
      <c r="F27" s="256"/>
      <c r="G27" s="256"/>
      <c r="H27" s="256"/>
      <c r="I27" s="256"/>
      <c r="J27" s="256"/>
      <c r="K27" s="256"/>
      <c r="L27" s="256"/>
      <c r="M27" s="256"/>
    </row>
    <row r="28" spans="2:13" ht="12" customHeight="1" x14ac:dyDescent="0.2">
      <c r="B28" s="256"/>
      <c r="C28" s="256"/>
      <c r="D28" s="256"/>
      <c r="E28" s="256"/>
      <c r="F28" s="256"/>
      <c r="G28" s="256"/>
      <c r="H28" s="256"/>
      <c r="I28" s="256"/>
      <c r="J28" s="256"/>
      <c r="K28" s="256"/>
      <c r="L28" s="256"/>
      <c r="M28" s="256"/>
    </row>
    <row r="29" spans="2:13" ht="12" customHeight="1" x14ac:dyDescent="0.2">
      <c r="B29" s="256"/>
      <c r="C29" s="256"/>
      <c r="D29" s="256"/>
      <c r="E29" s="256"/>
      <c r="F29" s="256"/>
      <c r="G29" s="256"/>
      <c r="H29" s="256"/>
      <c r="I29" s="256"/>
      <c r="J29" s="256"/>
      <c r="K29" s="256"/>
      <c r="L29" s="256"/>
      <c r="M29" s="256"/>
    </row>
    <row r="30" spans="2:13" ht="12" customHeight="1" x14ac:dyDescent="0.2">
      <c r="B30" s="256"/>
      <c r="C30" s="256"/>
      <c r="D30" s="256"/>
      <c r="E30" s="256"/>
      <c r="F30" s="256"/>
      <c r="G30" s="256"/>
      <c r="H30" s="256"/>
      <c r="I30" s="256"/>
      <c r="J30" s="256"/>
      <c r="K30" s="256"/>
      <c r="L30" s="256"/>
      <c r="M30" s="256"/>
    </row>
    <row r="31" spans="2:13" ht="12" customHeight="1" x14ac:dyDescent="0.2">
      <c r="B31" s="256"/>
      <c r="C31" s="256"/>
      <c r="D31" s="256"/>
      <c r="E31" s="256"/>
      <c r="F31" s="256"/>
      <c r="G31" s="256"/>
      <c r="H31" s="256"/>
      <c r="I31" s="256"/>
      <c r="J31" s="256"/>
      <c r="K31" s="256"/>
      <c r="L31" s="256"/>
      <c r="M31" s="256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topLeftCell="A126" zoomScale="108" zoomScaleNormal="80" workbookViewId="0">
      <selection activeCell="B142" sqref="B142"/>
    </sheetView>
  </sheetViews>
  <sheetFormatPr baseColWidth="10" defaultColWidth="11.5" defaultRowHeight="15" x14ac:dyDescent="0.2"/>
  <cols>
    <col min="1" max="1" width="13.6640625" style="23" customWidth="1"/>
    <col min="2" max="2" width="36.1640625" style="23" customWidth="1"/>
    <col min="3" max="3" width="14.83203125" style="23" bestFit="1" customWidth="1"/>
    <col min="4" max="4" width="16.5" style="23" customWidth="1"/>
    <col min="5" max="5" width="23.33203125" style="23" customWidth="1"/>
    <col min="6" max="6" width="28.83203125" style="23" bestFit="1" customWidth="1"/>
    <col min="7" max="8" width="14.6640625" style="23" customWidth="1"/>
    <col min="9" max="9" width="17" style="23" customWidth="1"/>
    <col min="10" max="10" width="13.83203125" style="23" customWidth="1"/>
    <col min="11" max="16384" width="11.5" style="23"/>
  </cols>
  <sheetData>
    <row r="1" spans="1:38" x14ac:dyDescent="0.2">
      <c r="A1" s="4"/>
      <c r="B1" s="4"/>
      <c r="C1" s="257" t="s">
        <v>190</v>
      </c>
      <c r="D1" s="257"/>
      <c r="E1" s="257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6" thickBot="1" x14ac:dyDescent="0.25">
      <c r="A2" s="4"/>
      <c r="B2" s="4"/>
      <c r="C2" s="4"/>
      <c r="D2" s="4"/>
      <c r="E2" s="4"/>
      <c r="F2" s="4"/>
      <c r="G2" s="4"/>
      <c r="H2" s="4"/>
      <c r="I2" s="210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7" thickBot="1" x14ac:dyDescent="0.25">
      <c r="A3" s="4"/>
      <c r="B3" s="262" t="s">
        <v>192</v>
      </c>
      <c r="C3" s="263"/>
      <c r="D3" s="263"/>
      <c r="E3" s="263"/>
      <c r="F3" s="264"/>
      <c r="G3" s="89"/>
      <c r="I3" s="210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" x14ac:dyDescent="0.2">
      <c r="A4" s="90"/>
      <c r="B4" s="90"/>
      <c r="C4" s="90"/>
      <c r="D4" s="90"/>
      <c r="E4" s="90"/>
      <c r="F4" s="90"/>
      <c r="G4" s="217"/>
      <c r="I4" s="210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" x14ac:dyDescent="0.2">
      <c r="A5" s="267" t="s">
        <v>231</v>
      </c>
      <c r="B5" s="267"/>
      <c r="C5" s="24">
        <v>2.7858000000000001</v>
      </c>
      <c r="D5" s="268" t="s">
        <v>229</v>
      </c>
      <c r="E5" s="269"/>
      <c r="F5" s="90"/>
      <c r="G5" s="217"/>
      <c r="H5" s="217"/>
      <c r="I5" s="217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2">
      <c r="A6" s="91"/>
      <c r="B6" s="91"/>
      <c r="C6" s="4"/>
      <c r="D6" s="86"/>
      <c r="E6" s="86"/>
      <c r="F6" s="26"/>
      <c r="G6" s="204"/>
      <c r="H6" s="204"/>
      <c r="I6" s="20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" x14ac:dyDescent="0.2">
      <c r="A7" s="266" t="s">
        <v>226</v>
      </c>
      <c r="B7" s="266"/>
      <c r="C7" s="90"/>
      <c r="D7" s="90"/>
      <c r="E7" s="4"/>
      <c r="F7" s="90"/>
      <c r="G7" s="217"/>
      <c r="H7" s="217"/>
      <c r="I7" s="217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2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2">
      <c r="A9" s="30" t="s">
        <v>165</v>
      </c>
      <c r="B9" s="31" t="s">
        <v>127</v>
      </c>
      <c r="C9" s="32">
        <v>0.43990000000000001</v>
      </c>
      <c r="D9" s="33">
        <f t="shared" ref="D9:D18" si="0">C9*$C$5</f>
        <v>1.2254734200000001</v>
      </c>
      <c r="E9" s="34">
        <v>18</v>
      </c>
      <c r="F9" s="35" t="str">
        <f t="array" ref="F9">IF(E9="","",IF(INDEX(A:A,MAX(IF(ISNUMBER($A$36:$A$55),ROW($A$36:$A$55),"")))&lt;&gt;E9,"Corrigez : révolution incorrecte","OK"))</f>
        <v>OK</v>
      </c>
      <c r="G9" s="227" t="s">
        <v>306</v>
      </c>
      <c r="I9" s="225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2">
      <c r="A10" s="30" t="s">
        <v>166</v>
      </c>
      <c r="B10" s="31" t="s">
        <v>127</v>
      </c>
      <c r="C10" s="32">
        <v>0.26390000000000002</v>
      </c>
      <c r="D10" s="33">
        <f t="shared" si="0"/>
        <v>0.73517262000000005</v>
      </c>
      <c r="E10" s="34">
        <v>18</v>
      </c>
      <c r="F10" s="35" t="str">
        <f t="array" ref="F10">IF(E10="","",IF(INDEX(A:A,MAX(IF(ISNUMBER($A$62:$A$81),ROW($A$62:$A$81),"")))&lt;&gt;E10,"Corrigez : révolution incorrecte","OK"))</f>
        <v>OK</v>
      </c>
      <c r="I10" s="225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2">
      <c r="A11" s="30" t="s">
        <v>167</v>
      </c>
      <c r="B11" s="31" t="s">
        <v>14</v>
      </c>
      <c r="C11" s="32">
        <v>9.8699999999999996E-2</v>
      </c>
      <c r="D11" s="33">
        <f t="shared" si="0"/>
        <v>0.27495846000000002</v>
      </c>
      <c r="E11" s="34">
        <v>150</v>
      </c>
      <c r="F11" s="35" t="str">
        <f t="array" ref="F11">IF(E11="","",IF(INDEX(A:A,MAX(IF(ISNUMBER($A$88:$A$107),ROW($A$88:$A$107),"")))&lt;&gt;E11,"Corrigez : révolution incorrecte","OK"))</f>
        <v>OK</v>
      </c>
      <c r="I11" s="225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2">
      <c r="A12" s="30" t="s">
        <v>168</v>
      </c>
      <c r="B12" s="31" t="s">
        <v>9</v>
      </c>
      <c r="C12" s="32">
        <v>9.8699999999999996E-2</v>
      </c>
      <c r="D12" s="33">
        <f t="shared" si="0"/>
        <v>0.27495846000000002</v>
      </c>
      <c r="E12" s="34">
        <v>150</v>
      </c>
      <c r="F12" s="35" t="str">
        <f t="array" ref="F12">IF(E12="","",IF(INDEX(A:A,MAX(IF(ISNUMBER($A$114:$A$133),ROW($A$114:$A$133),"")))&lt;&gt;E12,"Corrigez : révolution incorrecte","OK"))</f>
        <v>OK</v>
      </c>
      <c r="I12" s="225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2">
      <c r="A13" s="30" t="s">
        <v>169</v>
      </c>
      <c r="B13" s="31" t="s">
        <v>12</v>
      </c>
      <c r="C13" s="32">
        <v>9.8699999999999996E-2</v>
      </c>
      <c r="D13" s="33">
        <f t="shared" si="0"/>
        <v>0.27495846000000002</v>
      </c>
      <c r="E13" s="34">
        <v>150</v>
      </c>
      <c r="F13" s="35" t="str">
        <f t="array" ref="F13">IF(E13="","",IF(INDEX(A:A,MAX(IF(ISNUMBER($A$140:$A$159),ROW($A$140:$A$159),"")))&lt;&gt;E13,"Corrigez : révolution incorrecte","OK"))</f>
        <v>OK</v>
      </c>
      <c r="I13" s="225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2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5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2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5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2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5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2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5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2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5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2">
      <c r="A19" s="78"/>
      <c r="B19" s="36" t="s">
        <v>175</v>
      </c>
      <c r="C19" s="37">
        <f>SUM(C9:C18)</f>
        <v>0.99990000000000001</v>
      </c>
      <c r="D19" s="38">
        <f>SUM(D9:D18)</f>
        <v>2.7855214200000007</v>
      </c>
      <c r="E19" s="4"/>
      <c r="F19" s="92"/>
      <c r="G19" s="218"/>
      <c r="H19" s="218"/>
      <c r="I19" s="218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2">
      <c r="A20" s="78"/>
      <c r="B20" s="39" t="s">
        <v>230</v>
      </c>
      <c r="C20" s="40" t="str">
        <f>IF(C19&gt;100%,"Erreur : corrigez","OK")</f>
        <v>OK</v>
      </c>
      <c r="D20" s="221"/>
      <c r="F20" s="204"/>
      <c r="G20" s="204"/>
      <c r="H20" s="218"/>
      <c r="I20" s="218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2">
      <c r="A21" s="4"/>
      <c r="B21" s="4"/>
      <c r="C21" s="4"/>
      <c r="H21" s="219"/>
      <c r="I21" s="219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25">
      <c r="A22" s="265" t="s">
        <v>232</v>
      </c>
      <c r="B22" s="265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2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2">
      <c r="A24" s="41" t="s">
        <v>218</v>
      </c>
      <c r="B24" s="42" t="s">
        <v>224</v>
      </c>
      <c r="C24" s="43">
        <v>0.2</v>
      </c>
      <c r="D24" s="44" t="s">
        <v>233</v>
      </c>
      <c r="E24" s="93"/>
      <c r="F24" s="93"/>
      <c r="G24" s="201"/>
      <c r="I24" s="201"/>
      <c r="J24" s="220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2">
      <c r="A25" s="41" t="s">
        <v>220</v>
      </c>
      <c r="B25" s="42" t="s">
        <v>219</v>
      </c>
      <c r="C25" s="45">
        <v>0.1</v>
      </c>
      <c r="D25" s="94"/>
      <c r="E25" s="4"/>
      <c r="F25" s="94"/>
      <c r="G25" s="220"/>
      <c r="I25" s="220"/>
      <c r="J25" s="220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2">
      <c r="A26" s="41" t="s">
        <v>222</v>
      </c>
      <c r="B26" s="42" t="s">
        <v>221</v>
      </c>
      <c r="C26" s="43">
        <v>0.1</v>
      </c>
      <c r="D26" s="44" t="s">
        <v>234</v>
      </c>
      <c r="E26" s="93"/>
      <c r="F26" s="93"/>
      <c r="G26" s="201"/>
      <c r="I26" s="201"/>
      <c r="J26" s="201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2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1"/>
      <c r="I27" s="201"/>
      <c r="J27" s="201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2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2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2">
      <c r="A30" s="266" t="s">
        <v>227</v>
      </c>
      <c r="B30" s="266"/>
      <c r="D30" s="222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2">
      <c r="A31" s="4"/>
      <c r="B31" s="4"/>
      <c r="K31" s="222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2">
      <c r="A32" s="46" t="s">
        <v>165</v>
      </c>
      <c r="B32" s="47" t="str">
        <f>IF(B9="","",B9)</f>
        <v>Peuplier I-45/51</v>
      </c>
      <c r="D32" s="228" t="s">
        <v>307</v>
      </c>
      <c r="K32" s="222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2">
      <c r="A33" s="46"/>
      <c r="B33" s="4"/>
      <c r="K33" s="222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2">
      <c r="A34" s="4"/>
      <c r="B34" s="85" t="s">
        <v>185</v>
      </c>
      <c r="C34" s="258" t="s">
        <v>186</v>
      </c>
      <c r="D34" s="258"/>
      <c r="E34" s="259" t="s">
        <v>187</v>
      </c>
      <c r="F34" s="260"/>
      <c r="G34" s="260"/>
      <c r="H34" s="261"/>
      <c r="I34" s="95"/>
      <c r="J34" s="222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32" x14ac:dyDescent="0.2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3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2">
      <c r="A36" s="50">
        <v>8</v>
      </c>
      <c r="B36" s="60">
        <v>8</v>
      </c>
      <c r="C36" s="60">
        <v>0</v>
      </c>
      <c r="D36" s="60">
        <v>0</v>
      </c>
      <c r="E36" s="51">
        <v>0.47</v>
      </c>
      <c r="F36" s="51">
        <v>0.21</v>
      </c>
      <c r="G36" s="51"/>
      <c r="H36" s="51">
        <v>0.31</v>
      </c>
      <c r="I36" s="49">
        <f>IFERROR(B36/A36,"")</f>
        <v>1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2">
      <c r="A37" s="50">
        <v>9</v>
      </c>
      <c r="B37" s="60">
        <v>34</v>
      </c>
      <c r="C37" s="60">
        <v>0</v>
      </c>
      <c r="D37" s="60">
        <v>0</v>
      </c>
      <c r="E37" s="51">
        <v>0.47</v>
      </c>
      <c r="F37" s="51">
        <v>0.21</v>
      </c>
      <c r="G37" s="51"/>
      <c r="H37" s="51">
        <v>0.31</v>
      </c>
      <c r="I37" s="53">
        <f t="shared" ref="I37:I55" si="1">IF(A37&lt;&gt;0,(B37-(B36-D36))/(A37-A36),"")</f>
        <v>26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2">
      <c r="A38" s="50">
        <v>10</v>
      </c>
      <c r="B38" s="60">
        <v>63</v>
      </c>
      <c r="C38" s="60">
        <v>0</v>
      </c>
      <c r="D38" s="60">
        <v>0</v>
      </c>
      <c r="E38" s="51">
        <v>0.47</v>
      </c>
      <c r="F38" s="51">
        <v>0.21</v>
      </c>
      <c r="G38" s="51"/>
      <c r="H38" s="51">
        <v>0.31</v>
      </c>
      <c r="I38" s="53">
        <f t="shared" si="1"/>
        <v>29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2">
      <c r="A39" s="50">
        <v>11</v>
      </c>
      <c r="B39" s="60">
        <v>94</v>
      </c>
      <c r="C39" s="60">
        <v>0</v>
      </c>
      <c r="D39" s="60">
        <v>0</v>
      </c>
      <c r="E39" s="51">
        <v>0.47</v>
      </c>
      <c r="F39" s="51">
        <v>0.21</v>
      </c>
      <c r="G39" s="51"/>
      <c r="H39" s="51">
        <v>0.31</v>
      </c>
      <c r="I39" s="49">
        <f t="shared" si="1"/>
        <v>31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2">
      <c r="A40" s="50">
        <v>12</v>
      </c>
      <c r="B40" s="60">
        <v>128</v>
      </c>
      <c r="C40" s="60">
        <v>0</v>
      </c>
      <c r="D40" s="60">
        <v>0</v>
      </c>
      <c r="E40" s="51">
        <v>0.47</v>
      </c>
      <c r="F40" s="51">
        <v>0.21</v>
      </c>
      <c r="G40" s="51"/>
      <c r="H40" s="51">
        <v>0.31</v>
      </c>
      <c r="I40" s="49">
        <f t="shared" si="1"/>
        <v>34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2">
      <c r="A41" s="50">
        <v>13</v>
      </c>
      <c r="B41" s="60">
        <v>165</v>
      </c>
      <c r="C41" s="60">
        <v>0</v>
      </c>
      <c r="D41" s="60">
        <v>0</v>
      </c>
      <c r="E41" s="51">
        <v>0.47</v>
      </c>
      <c r="F41" s="51">
        <v>0.21</v>
      </c>
      <c r="G41" s="51"/>
      <c r="H41" s="51">
        <v>0.31</v>
      </c>
      <c r="I41" s="53">
        <f t="shared" si="1"/>
        <v>37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2">
      <c r="A42" s="50">
        <v>14</v>
      </c>
      <c r="B42" s="60">
        <v>198</v>
      </c>
      <c r="C42" s="60">
        <v>0</v>
      </c>
      <c r="D42" s="60">
        <v>0</v>
      </c>
      <c r="E42" s="51">
        <v>0.47</v>
      </c>
      <c r="F42" s="51">
        <v>0.21</v>
      </c>
      <c r="G42" s="51"/>
      <c r="H42" s="51">
        <v>0.31</v>
      </c>
      <c r="I42" s="53">
        <f t="shared" si="1"/>
        <v>33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2">
      <c r="A43" s="50">
        <v>15</v>
      </c>
      <c r="B43" s="60">
        <v>232</v>
      </c>
      <c r="C43" s="60">
        <v>1</v>
      </c>
      <c r="D43" s="60">
        <v>0</v>
      </c>
      <c r="E43" s="51">
        <v>0.47</v>
      </c>
      <c r="F43" s="51">
        <v>0.21</v>
      </c>
      <c r="G43" s="51"/>
      <c r="H43" s="51">
        <v>0.31</v>
      </c>
      <c r="I43" s="49">
        <f t="shared" si="1"/>
        <v>34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2">
      <c r="A44" s="50">
        <v>16</v>
      </c>
      <c r="B44" s="60">
        <v>266</v>
      </c>
      <c r="C44" s="60">
        <v>0</v>
      </c>
      <c r="D44" s="60">
        <v>0</v>
      </c>
      <c r="E44" s="51">
        <v>0.47</v>
      </c>
      <c r="F44" s="51">
        <v>0.21</v>
      </c>
      <c r="G44" s="51"/>
      <c r="H44" s="51">
        <v>0.31</v>
      </c>
      <c r="I44" s="49">
        <f t="shared" si="1"/>
        <v>34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2">
      <c r="A45" s="50">
        <v>17</v>
      </c>
      <c r="B45" s="60">
        <v>295</v>
      </c>
      <c r="C45" s="60">
        <v>0</v>
      </c>
      <c r="D45" s="60">
        <v>0</v>
      </c>
      <c r="E45" s="51">
        <v>0.47</v>
      </c>
      <c r="F45" s="51">
        <v>0.21</v>
      </c>
      <c r="G45" s="51"/>
      <c r="H45" s="51">
        <v>0.31</v>
      </c>
      <c r="I45" s="49">
        <f t="shared" si="1"/>
        <v>29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2">
      <c r="A46" s="50">
        <v>18</v>
      </c>
      <c r="B46" s="60">
        <v>324</v>
      </c>
      <c r="C46" s="60">
        <v>1</v>
      </c>
      <c r="D46" s="60">
        <v>324</v>
      </c>
      <c r="E46" s="51">
        <v>0.47</v>
      </c>
      <c r="F46" s="51">
        <v>0.21</v>
      </c>
      <c r="G46" s="51"/>
      <c r="H46" s="51">
        <v>0.31</v>
      </c>
      <c r="I46" s="49">
        <f t="shared" si="1"/>
        <v>29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2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2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2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2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2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2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2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2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2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2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2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2">
      <c r="A58" s="46" t="s">
        <v>166</v>
      </c>
      <c r="B58" s="52" t="str">
        <f>IF(B10="","",B10)</f>
        <v>Peuplier I-45/51</v>
      </c>
      <c r="D58" s="228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2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2">
      <c r="A60" s="4"/>
      <c r="B60" s="85" t="s">
        <v>185</v>
      </c>
      <c r="C60" s="258" t="s">
        <v>186</v>
      </c>
      <c r="D60" s="258"/>
      <c r="E60" s="259" t="s">
        <v>187</v>
      </c>
      <c r="F60" s="260"/>
      <c r="G60" s="260"/>
      <c r="H60" s="261"/>
      <c r="I60" s="95"/>
      <c r="J60" s="222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32" x14ac:dyDescent="0.2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3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2">
      <c r="A62" s="50">
        <v>8</v>
      </c>
      <c r="B62" s="60">
        <v>8</v>
      </c>
      <c r="C62" s="60">
        <v>0</v>
      </c>
      <c r="D62" s="60">
        <v>0</v>
      </c>
      <c r="E62" s="51">
        <v>0.47</v>
      </c>
      <c r="F62" s="51">
        <v>0.21</v>
      </c>
      <c r="G62" s="51"/>
      <c r="H62" s="51">
        <v>0.31</v>
      </c>
      <c r="I62" s="53">
        <f>IFERROR(B62/A62,"")</f>
        <v>1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2">
      <c r="A63" s="50">
        <v>9</v>
      </c>
      <c r="B63" s="60">
        <v>34</v>
      </c>
      <c r="C63" s="60">
        <v>0</v>
      </c>
      <c r="D63" s="60">
        <v>0</v>
      </c>
      <c r="E63" s="51">
        <v>0.47</v>
      </c>
      <c r="F63" s="51">
        <v>0.21</v>
      </c>
      <c r="G63" s="51"/>
      <c r="H63" s="51">
        <v>0.31</v>
      </c>
      <c r="I63" s="49">
        <f>IF(A63&lt;&gt;0,(B63-(B62-D62))/(A63-A62),"")</f>
        <v>26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2">
      <c r="A64" s="50">
        <v>10</v>
      </c>
      <c r="B64" s="60">
        <v>63</v>
      </c>
      <c r="C64" s="60">
        <v>0</v>
      </c>
      <c r="D64" s="60">
        <v>0</v>
      </c>
      <c r="E64" s="51">
        <v>0.47</v>
      </c>
      <c r="F64" s="51">
        <v>0.21</v>
      </c>
      <c r="G64" s="51"/>
      <c r="H64" s="51">
        <v>0.31</v>
      </c>
      <c r="I64" s="49">
        <f>IF(A64&lt;&gt;0,(B64-(B63-D63))/(A64-A63),"")</f>
        <v>29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2">
      <c r="A65" s="50">
        <v>11</v>
      </c>
      <c r="B65" s="60">
        <v>94</v>
      </c>
      <c r="C65" s="60">
        <v>0</v>
      </c>
      <c r="D65" s="60">
        <v>0</v>
      </c>
      <c r="E65" s="51">
        <v>0.47</v>
      </c>
      <c r="F65" s="51">
        <v>0.21</v>
      </c>
      <c r="G65" s="51"/>
      <c r="H65" s="51">
        <v>0.31</v>
      </c>
      <c r="I65" s="49">
        <f>IF(A65&lt;&gt;0,(B65-(B64-D64))/(A65-A64),"")</f>
        <v>31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2">
      <c r="A66" s="50">
        <v>12</v>
      </c>
      <c r="B66" s="60">
        <v>128</v>
      </c>
      <c r="C66" s="60">
        <v>0</v>
      </c>
      <c r="D66" s="60">
        <v>0</v>
      </c>
      <c r="E66" s="51">
        <v>0.47</v>
      </c>
      <c r="F66" s="51">
        <v>0.21</v>
      </c>
      <c r="G66" s="51"/>
      <c r="H66" s="51">
        <v>0.31</v>
      </c>
      <c r="I66" s="49">
        <f t="shared" ref="I66:I81" si="2">IF(A66&lt;&gt;0,(B66-(B65-D65))/(A66-A65),"")</f>
        <v>34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2">
      <c r="A67" s="50">
        <v>13</v>
      </c>
      <c r="B67" s="60">
        <v>165</v>
      </c>
      <c r="C67" s="60">
        <v>0</v>
      </c>
      <c r="D67" s="60">
        <v>0</v>
      </c>
      <c r="E67" s="51">
        <v>0.47</v>
      </c>
      <c r="F67" s="51">
        <v>0.21</v>
      </c>
      <c r="G67" s="51"/>
      <c r="H67" s="51">
        <v>0.31</v>
      </c>
      <c r="I67" s="49">
        <f t="shared" si="2"/>
        <v>37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2">
      <c r="A68" s="50">
        <v>14</v>
      </c>
      <c r="B68" s="60">
        <v>198</v>
      </c>
      <c r="C68" s="60">
        <v>0</v>
      </c>
      <c r="D68" s="60">
        <v>0</v>
      </c>
      <c r="E68" s="51">
        <v>0.47</v>
      </c>
      <c r="F68" s="51">
        <v>0.21</v>
      </c>
      <c r="G68" s="51"/>
      <c r="H68" s="51">
        <v>0.31</v>
      </c>
      <c r="I68" s="49">
        <f t="shared" si="2"/>
        <v>33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2">
      <c r="A69" s="50">
        <v>15</v>
      </c>
      <c r="B69" s="50">
        <v>232</v>
      </c>
      <c r="C69" s="50">
        <v>1</v>
      </c>
      <c r="D69" s="50">
        <v>0</v>
      </c>
      <c r="E69" s="51">
        <v>0.47</v>
      </c>
      <c r="F69" s="51">
        <v>0.21</v>
      </c>
      <c r="G69" s="51"/>
      <c r="H69" s="51">
        <v>0.31</v>
      </c>
      <c r="I69" s="49">
        <f t="shared" si="2"/>
        <v>34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2">
      <c r="A70" s="50">
        <v>16</v>
      </c>
      <c r="B70" s="50">
        <v>266</v>
      </c>
      <c r="C70" s="50">
        <v>0</v>
      </c>
      <c r="D70" s="50">
        <v>0</v>
      </c>
      <c r="E70" s="51">
        <v>0.47</v>
      </c>
      <c r="F70" s="51">
        <v>0.21</v>
      </c>
      <c r="G70" s="51"/>
      <c r="H70" s="51">
        <v>0.31</v>
      </c>
      <c r="I70" s="49">
        <f t="shared" si="2"/>
        <v>34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2">
      <c r="A71" s="50">
        <v>17</v>
      </c>
      <c r="B71" s="50">
        <v>295</v>
      </c>
      <c r="C71" s="50">
        <v>0</v>
      </c>
      <c r="D71" s="50">
        <v>0</v>
      </c>
      <c r="E71" s="51">
        <v>0.47</v>
      </c>
      <c r="F71" s="51">
        <v>0.21</v>
      </c>
      <c r="G71" s="51"/>
      <c r="H71" s="51">
        <v>0.31</v>
      </c>
      <c r="I71" s="49">
        <f t="shared" si="2"/>
        <v>29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2">
      <c r="A72" s="50">
        <v>18</v>
      </c>
      <c r="B72" s="50">
        <v>324</v>
      </c>
      <c r="C72" s="50">
        <v>1</v>
      </c>
      <c r="D72" s="50">
        <v>324</v>
      </c>
      <c r="E72" s="51">
        <v>0.47</v>
      </c>
      <c r="F72" s="51">
        <v>0.21</v>
      </c>
      <c r="G72" s="51"/>
      <c r="H72" s="51">
        <v>0.31</v>
      </c>
      <c r="I72" s="49">
        <f t="shared" si="2"/>
        <v>29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2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2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2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2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2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2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2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2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2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2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2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2">
      <c r="A84" s="46" t="s">
        <v>167</v>
      </c>
      <c r="B84" s="52" t="str">
        <f>IF(B11="","",B11)</f>
        <v>Chêne sessile</v>
      </c>
      <c r="D84" s="228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2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2">
      <c r="A86" s="4"/>
      <c r="B86" s="85" t="s">
        <v>185</v>
      </c>
      <c r="C86" s="258" t="s">
        <v>186</v>
      </c>
      <c r="D86" s="258"/>
      <c r="E86" s="259" t="s">
        <v>187</v>
      </c>
      <c r="F86" s="260"/>
      <c r="G86" s="260"/>
      <c r="H86" s="261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32" x14ac:dyDescent="0.2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2">
      <c r="A88" s="50">
        <v>20</v>
      </c>
      <c r="B88" s="60">
        <v>73</v>
      </c>
      <c r="C88" s="60">
        <v>1</v>
      </c>
      <c r="D88" s="60">
        <v>0</v>
      </c>
      <c r="E88" s="51">
        <v>0</v>
      </c>
      <c r="F88" s="51"/>
      <c r="G88" s="51"/>
      <c r="H88" s="87">
        <v>1</v>
      </c>
      <c r="I88" s="53">
        <f>IFERROR(B88/A88,"")</f>
        <v>3.65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2">
      <c r="A89" s="50">
        <v>25</v>
      </c>
      <c r="B89" s="60">
        <f>75+28+6</f>
        <v>109</v>
      </c>
      <c r="C89" s="60">
        <v>2</v>
      </c>
      <c r="D89" s="60">
        <v>0</v>
      </c>
      <c r="E89" s="51">
        <v>0</v>
      </c>
      <c r="F89" s="51"/>
      <c r="G89" s="51"/>
      <c r="H89" s="87">
        <v>1</v>
      </c>
      <c r="I89" s="53">
        <f t="shared" ref="I89:I107" si="3">IF(A89&lt;&gt;0,(B89-(B88-D88))/(A89-A88),"")</f>
        <v>7.2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2">
      <c r="A90" s="50">
        <v>30</v>
      </c>
      <c r="B90" s="60">
        <f>93+28+28+6</f>
        <v>155</v>
      </c>
      <c r="C90" s="60">
        <v>3</v>
      </c>
      <c r="D90" s="60">
        <f>28+28+6</f>
        <v>62</v>
      </c>
      <c r="E90" s="87">
        <v>0</v>
      </c>
      <c r="F90" s="87"/>
      <c r="G90" s="87"/>
      <c r="H90" s="87">
        <v>1</v>
      </c>
      <c r="I90" s="53">
        <f t="shared" si="3"/>
        <v>9.1999999999999993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2">
      <c r="A91" s="50">
        <v>35</v>
      </c>
      <c r="B91" s="60">
        <v>147</v>
      </c>
      <c r="C91" s="60">
        <v>4</v>
      </c>
      <c r="D91" s="60">
        <v>28</v>
      </c>
      <c r="E91" s="87">
        <v>0</v>
      </c>
      <c r="F91" s="87"/>
      <c r="G91" s="87"/>
      <c r="H91" s="87">
        <v>1</v>
      </c>
      <c r="I91" s="53">
        <f t="shared" si="3"/>
        <v>10.8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2">
      <c r="A92" s="50">
        <v>40</v>
      </c>
      <c r="B92" s="60">
        <v>175</v>
      </c>
      <c r="C92" s="60">
        <v>5</v>
      </c>
      <c r="D92" s="60">
        <v>28</v>
      </c>
      <c r="E92" s="87">
        <v>0.2</v>
      </c>
      <c r="F92" s="87"/>
      <c r="G92" s="87"/>
      <c r="H92" s="87">
        <v>0.8</v>
      </c>
      <c r="I92" s="53">
        <f t="shared" si="3"/>
        <v>11.2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2">
      <c r="A93" s="50">
        <v>45</v>
      </c>
      <c r="B93" s="60">
        <v>204</v>
      </c>
      <c r="C93" s="60">
        <v>6</v>
      </c>
      <c r="D93" s="60">
        <v>28</v>
      </c>
      <c r="E93" s="87">
        <v>0.2</v>
      </c>
      <c r="F93" s="87"/>
      <c r="G93" s="87"/>
      <c r="H93" s="87">
        <v>0.8</v>
      </c>
      <c r="I93" s="53">
        <f t="shared" si="3"/>
        <v>11.4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2">
      <c r="A94" s="50">
        <v>50</v>
      </c>
      <c r="B94" s="60">
        <v>231</v>
      </c>
      <c r="C94" s="60">
        <v>7</v>
      </c>
      <c r="D94" s="60">
        <v>28</v>
      </c>
      <c r="E94" s="87">
        <v>0.3</v>
      </c>
      <c r="F94" s="87"/>
      <c r="G94" s="87"/>
      <c r="H94" s="87">
        <v>0.7</v>
      </c>
      <c r="I94" s="53">
        <f t="shared" si="3"/>
        <v>11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2">
      <c r="A95" s="60">
        <v>55</v>
      </c>
      <c r="B95" s="60">
        <v>254</v>
      </c>
      <c r="C95" s="60">
        <v>8</v>
      </c>
      <c r="D95" s="60">
        <v>28</v>
      </c>
      <c r="E95" s="87">
        <v>0.3</v>
      </c>
      <c r="F95" s="87"/>
      <c r="G95" s="87"/>
      <c r="H95" s="87">
        <v>0.7</v>
      </c>
      <c r="I95" s="53">
        <f t="shared" si="3"/>
        <v>10.199999999999999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2">
      <c r="A96" s="60">
        <v>60</v>
      </c>
      <c r="B96" s="60">
        <v>273</v>
      </c>
      <c r="C96" s="60">
        <v>9</v>
      </c>
      <c r="D96" s="60">
        <v>28</v>
      </c>
      <c r="E96" s="87">
        <v>0.4</v>
      </c>
      <c r="F96" s="87"/>
      <c r="G96" s="87"/>
      <c r="H96" s="87">
        <v>0.6</v>
      </c>
      <c r="I96" s="53">
        <f t="shared" si="3"/>
        <v>9.4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2">
      <c r="A97" s="60">
        <v>65</v>
      </c>
      <c r="B97" s="60">
        <v>289</v>
      </c>
      <c r="C97" s="60">
        <v>10</v>
      </c>
      <c r="D97" s="60">
        <v>28</v>
      </c>
      <c r="E97" s="87">
        <v>0.4</v>
      </c>
      <c r="F97" s="87"/>
      <c r="G97" s="87"/>
      <c r="H97" s="87">
        <v>0.6</v>
      </c>
      <c r="I97" s="53">
        <f t="shared" si="3"/>
        <v>8.8000000000000007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2">
      <c r="A98" s="60">
        <v>70</v>
      </c>
      <c r="B98" s="60">
        <v>302</v>
      </c>
      <c r="C98" s="60">
        <v>11</v>
      </c>
      <c r="D98" s="60">
        <v>28</v>
      </c>
      <c r="E98" s="87">
        <v>0.5</v>
      </c>
      <c r="F98" s="87"/>
      <c r="G98" s="87"/>
      <c r="H98" s="87">
        <v>0.5</v>
      </c>
      <c r="I98" s="53">
        <f t="shared" si="3"/>
        <v>8.1999999999999993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2">
      <c r="A99" s="60">
        <v>75</v>
      </c>
      <c r="B99" s="60">
        <v>312</v>
      </c>
      <c r="C99" s="60">
        <v>12</v>
      </c>
      <c r="D99" s="60">
        <v>28</v>
      </c>
      <c r="E99" s="87">
        <v>0.5</v>
      </c>
      <c r="F99" s="87"/>
      <c r="G99" s="87"/>
      <c r="H99" s="87">
        <v>0.5</v>
      </c>
      <c r="I99" s="53">
        <f t="shared" si="3"/>
        <v>7.6</v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2">
      <c r="A100" s="60">
        <v>80</v>
      </c>
      <c r="B100" s="60">
        <v>320</v>
      </c>
      <c r="C100" s="60">
        <v>13</v>
      </c>
      <c r="D100" s="60">
        <v>28</v>
      </c>
      <c r="E100" s="65">
        <v>0.6</v>
      </c>
      <c r="F100" s="65"/>
      <c r="G100" s="65"/>
      <c r="H100" s="65">
        <v>0.4</v>
      </c>
      <c r="I100" s="53">
        <f t="shared" si="3"/>
        <v>7.2</v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2">
      <c r="A101" s="60">
        <v>90</v>
      </c>
      <c r="B101" s="60">
        <v>358</v>
      </c>
      <c r="C101" s="60">
        <v>15</v>
      </c>
      <c r="D101" s="60">
        <v>56</v>
      </c>
      <c r="E101" s="65">
        <v>0.7</v>
      </c>
      <c r="F101" s="65"/>
      <c r="G101" s="65"/>
      <c r="H101" s="65">
        <v>0.3</v>
      </c>
      <c r="I101" s="53">
        <f t="shared" si="3"/>
        <v>6.6</v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2">
      <c r="A102" s="60">
        <v>100</v>
      </c>
      <c r="B102" s="50">
        <v>362</v>
      </c>
      <c r="C102" s="60">
        <v>17</v>
      </c>
      <c r="D102" s="50">
        <v>56</v>
      </c>
      <c r="E102" s="54">
        <v>0.8</v>
      </c>
      <c r="F102" s="54"/>
      <c r="G102" s="54"/>
      <c r="H102" s="54">
        <v>0.2</v>
      </c>
      <c r="I102" s="53">
        <f t="shared" si="3"/>
        <v>6</v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2">
      <c r="A103" s="60">
        <v>110</v>
      </c>
      <c r="B103" s="50">
        <v>358</v>
      </c>
      <c r="C103" s="60">
        <v>19</v>
      </c>
      <c r="D103" s="50">
        <v>51</v>
      </c>
      <c r="E103" s="54">
        <v>0.8</v>
      </c>
      <c r="F103" s="54"/>
      <c r="G103" s="54"/>
      <c r="H103" s="54">
        <v>0.2</v>
      </c>
      <c r="I103" s="53">
        <f t="shared" si="3"/>
        <v>5.2</v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2">
      <c r="A104" s="60">
        <v>120</v>
      </c>
      <c r="B104" s="50">
        <v>352</v>
      </c>
      <c r="C104" s="60">
        <v>21</v>
      </c>
      <c r="D104" s="50">
        <v>47</v>
      </c>
      <c r="E104" s="54">
        <v>0.9</v>
      </c>
      <c r="F104" s="54"/>
      <c r="G104" s="54"/>
      <c r="H104" s="54">
        <v>0.1</v>
      </c>
      <c r="I104" s="53">
        <f t="shared" si="3"/>
        <v>4.5</v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2">
      <c r="A105" s="50">
        <v>130</v>
      </c>
      <c r="B105" s="50">
        <v>346</v>
      </c>
      <c r="C105" s="50">
        <v>23</v>
      </c>
      <c r="D105" s="50">
        <v>44</v>
      </c>
      <c r="E105" s="54">
        <v>0.9</v>
      </c>
      <c r="F105" s="54"/>
      <c r="G105" s="54"/>
      <c r="H105" s="54">
        <v>0.1</v>
      </c>
      <c r="I105" s="53">
        <f t="shared" si="3"/>
        <v>4.0999999999999996</v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2">
      <c r="A106" s="50">
        <v>140</v>
      </c>
      <c r="B106" s="50">
        <v>341</v>
      </c>
      <c r="C106" s="50">
        <v>25</v>
      </c>
      <c r="D106" s="50">
        <v>41</v>
      </c>
      <c r="E106" s="54">
        <v>0.9</v>
      </c>
      <c r="F106" s="54"/>
      <c r="G106" s="54"/>
      <c r="H106" s="54">
        <v>0.1</v>
      </c>
      <c r="I106" s="53">
        <f t="shared" si="3"/>
        <v>3.9</v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2">
      <c r="A107" s="50">
        <v>150</v>
      </c>
      <c r="B107" s="50">
        <v>335</v>
      </c>
      <c r="C107" s="50">
        <v>27</v>
      </c>
      <c r="D107" s="50">
        <v>335</v>
      </c>
      <c r="E107" s="54">
        <v>0.9</v>
      </c>
      <c r="F107" s="54"/>
      <c r="G107" s="54"/>
      <c r="H107" s="54">
        <v>0.1</v>
      </c>
      <c r="I107" s="53">
        <f t="shared" si="3"/>
        <v>3.5</v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2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2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2">
      <c r="A110" s="46" t="s">
        <v>168</v>
      </c>
      <c r="B110" s="52" t="str">
        <f>IF(B12="","",B12)</f>
        <v>Chêne chevelu</v>
      </c>
      <c r="D110" s="228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2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2">
      <c r="A112" s="4"/>
      <c r="B112" s="85" t="s">
        <v>185</v>
      </c>
      <c r="C112" s="258" t="s">
        <v>186</v>
      </c>
      <c r="D112" s="258"/>
      <c r="E112" s="259" t="s">
        <v>187</v>
      </c>
      <c r="F112" s="260"/>
      <c r="G112" s="260"/>
      <c r="H112" s="261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32" x14ac:dyDescent="0.2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2">
      <c r="A114" s="50">
        <v>20</v>
      </c>
      <c r="B114" s="60">
        <v>73</v>
      </c>
      <c r="C114" s="50">
        <v>1</v>
      </c>
      <c r="D114" s="60">
        <v>0</v>
      </c>
      <c r="E114" s="51">
        <v>0</v>
      </c>
      <c r="F114" s="51"/>
      <c r="G114" s="51"/>
      <c r="H114" s="51">
        <v>1</v>
      </c>
      <c r="I114" s="53">
        <f>IFERROR(B114/A114,"")</f>
        <v>3.65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2">
      <c r="A115" s="50">
        <v>25</v>
      </c>
      <c r="B115" s="60">
        <f>75+28+6</f>
        <v>109</v>
      </c>
      <c r="C115" s="50">
        <v>2</v>
      </c>
      <c r="D115" s="60">
        <v>0</v>
      </c>
      <c r="E115" s="51">
        <v>0</v>
      </c>
      <c r="F115" s="51"/>
      <c r="G115" s="51"/>
      <c r="H115" s="51">
        <v>1</v>
      </c>
      <c r="I115" s="53">
        <f t="shared" ref="I115:I133" si="4">IF(A115&lt;&gt;0,(B115-(B114-D114))/(A115-A114),"")</f>
        <v>7.2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2">
      <c r="A116" s="50">
        <v>30</v>
      </c>
      <c r="B116" s="60">
        <f>93+28+28+6</f>
        <v>155</v>
      </c>
      <c r="C116" s="50">
        <v>3</v>
      </c>
      <c r="D116" s="60">
        <f>28+28+6</f>
        <v>62</v>
      </c>
      <c r="E116" s="51">
        <v>0</v>
      </c>
      <c r="F116" s="51"/>
      <c r="G116" s="51"/>
      <c r="H116" s="51">
        <v>1</v>
      </c>
      <c r="I116" s="53">
        <f t="shared" si="4"/>
        <v>9.1999999999999993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2">
      <c r="A117" s="50">
        <v>35</v>
      </c>
      <c r="B117" s="60">
        <v>147</v>
      </c>
      <c r="C117" s="50">
        <v>4</v>
      </c>
      <c r="D117" s="60">
        <v>28</v>
      </c>
      <c r="E117" s="51">
        <v>0</v>
      </c>
      <c r="F117" s="51"/>
      <c r="G117" s="51"/>
      <c r="H117" s="51">
        <v>1</v>
      </c>
      <c r="I117" s="53">
        <f t="shared" si="4"/>
        <v>10.8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2">
      <c r="A118" s="50">
        <v>40</v>
      </c>
      <c r="B118" s="60">
        <v>175</v>
      </c>
      <c r="C118" s="50">
        <v>5</v>
      </c>
      <c r="D118" s="60">
        <v>28</v>
      </c>
      <c r="E118" s="51">
        <v>0.2</v>
      </c>
      <c r="F118" s="51"/>
      <c r="G118" s="51"/>
      <c r="H118" s="51">
        <v>0.8</v>
      </c>
      <c r="I118" s="53">
        <f t="shared" si="4"/>
        <v>11.2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2">
      <c r="A119" s="50">
        <v>45</v>
      </c>
      <c r="B119" s="60">
        <v>204</v>
      </c>
      <c r="C119" s="50">
        <v>6</v>
      </c>
      <c r="D119" s="60">
        <v>28</v>
      </c>
      <c r="E119" s="51">
        <v>0.2</v>
      </c>
      <c r="F119" s="51"/>
      <c r="G119" s="51"/>
      <c r="H119" s="51">
        <v>0.8</v>
      </c>
      <c r="I119" s="53">
        <f t="shared" si="4"/>
        <v>11.4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2">
      <c r="A120" s="60">
        <v>50</v>
      </c>
      <c r="B120" s="60">
        <v>231</v>
      </c>
      <c r="C120" s="60">
        <v>7</v>
      </c>
      <c r="D120" s="60">
        <v>28</v>
      </c>
      <c r="E120" s="87">
        <v>0.3</v>
      </c>
      <c r="F120" s="87"/>
      <c r="G120" s="87"/>
      <c r="H120" s="87">
        <v>0.7</v>
      </c>
      <c r="I120" s="53">
        <f t="shared" si="4"/>
        <v>11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2">
      <c r="A121" s="60">
        <v>55</v>
      </c>
      <c r="B121" s="60">
        <v>254</v>
      </c>
      <c r="C121" s="60">
        <v>8</v>
      </c>
      <c r="D121" s="60">
        <v>28</v>
      </c>
      <c r="E121" s="87">
        <v>0.3</v>
      </c>
      <c r="F121" s="87"/>
      <c r="G121" s="87"/>
      <c r="H121" s="87">
        <v>0.7</v>
      </c>
      <c r="I121" s="53">
        <f t="shared" si="4"/>
        <v>10.199999999999999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2">
      <c r="A122" s="60">
        <v>60</v>
      </c>
      <c r="B122" s="60">
        <v>273</v>
      </c>
      <c r="C122" s="60">
        <v>9</v>
      </c>
      <c r="D122" s="60">
        <v>28</v>
      </c>
      <c r="E122" s="87">
        <v>0.4</v>
      </c>
      <c r="F122" s="87"/>
      <c r="G122" s="87"/>
      <c r="H122" s="87">
        <v>0.6</v>
      </c>
      <c r="I122" s="53">
        <f t="shared" si="4"/>
        <v>9.4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2">
      <c r="A123" s="60">
        <v>65</v>
      </c>
      <c r="B123" s="60">
        <v>289</v>
      </c>
      <c r="C123" s="60">
        <v>10</v>
      </c>
      <c r="D123" s="60">
        <v>28</v>
      </c>
      <c r="E123" s="87">
        <v>0.4</v>
      </c>
      <c r="F123" s="87"/>
      <c r="G123" s="87"/>
      <c r="H123" s="87">
        <v>0.6</v>
      </c>
      <c r="I123" s="53">
        <f t="shared" si="4"/>
        <v>8.8000000000000007</v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2">
      <c r="A124" s="60">
        <v>70</v>
      </c>
      <c r="B124" s="60">
        <v>302</v>
      </c>
      <c r="C124" s="60">
        <v>11</v>
      </c>
      <c r="D124" s="60">
        <v>28</v>
      </c>
      <c r="E124" s="87">
        <v>0.5</v>
      </c>
      <c r="F124" s="87"/>
      <c r="G124" s="87"/>
      <c r="H124" s="87">
        <v>0.5</v>
      </c>
      <c r="I124" s="53">
        <f t="shared" si="4"/>
        <v>8.1999999999999993</v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2">
      <c r="A125" s="60">
        <v>75</v>
      </c>
      <c r="B125" s="60">
        <v>312</v>
      </c>
      <c r="C125" s="60">
        <v>12</v>
      </c>
      <c r="D125" s="60">
        <v>28</v>
      </c>
      <c r="E125" s="87">
        <v>0.5</v>
      </c>
      <c r="F125" s="87"/>
      <c r="G125" s="87"/>
      <c r="H125" s="87">
        <v>0.5</v>
      </c>
      <c r="I125" s="53">
        <f t="shared" si="4"/>
        <v>7.6</v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2">
      <c r="A126" s="60">
        <v>80</v>
      </c>
      <c r="B126" s="60">
        <v>320</v>
      </c>
      <c r="C126" s="60">
        <v>13</v>
      </c>
      <c r="D126" s="60">
        <v>28</v>
      </c>
      <c r="E126" s="65">
        <v>0.6</v>
      </c>
      <c r="F126" s="65"/>
      <c r="G126" s="65"/>
      <c r="H126" s="65">
        <v>0.4</v>
      </c>
      <c r="I126" s="53">
        <f t="shared" si="4"/>
        <v>7.2</v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2">
      <c r="A127" s="60">
        <v>90</v>
      </c>
      <c r="B127" s="60">
        <v>358</v>
      </c>
      <c r="C127" s="60">
        <v>15</v>
      </c>
      <c r="D127" s="60">
        <v>56</v>
      </c>
      <c r="E127" s="65">
        <v>0.7</v>
      </c>
      <c r="F127" s="65"/>
      <c r="G127" s="65"/>
      <c r="H127" s="65">
        <v>0.3</v>
      </c>
      <c r="I127" s="53">
        <f t="shared" si="4"/>
        <v>6.6</v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2">
      <c r="A128" s="50">
        <v>100</v>
      </c>
      <c r="B128" s="50">
        <v>362</v>
      </c>
      <c r="C128" s="50">
        <v>17</v>
      </c>
      <c r="D128" s="50">
        <v>56</v>
      </c>
      <c r="E128" s="54">
        <v>0.8</v>
      </c>
      <c r="F128" s="54"/>
      <c r="G128" s="54"/>
      <c r="H128" s="54">
        <v>0.2</v>
      </c>
      <c r="I128" s="53">
        <f t="shared" si="4"/>
        <v>6</v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2">
      <c r="A129" s="50">
        <v>110</v>
      </c>
      <c r="B129" s="50">
        <v>358</v>
      </c>
      <c r="C129" s="50">
        <v>19</v>
      </c>
      <c r="D129" s="50">
        <v>51</v>
      </c>
      <c r="E129" s="54">
        <v>0.8</v>
      </c>
      <c r="F129" s="54"/>
      <c r="G129" s="54"/>
      <c r="H129" s="54">
        <v>0.2</v>
      </c>
      <c r="I129" s="53">
        <f t="shared" si="4"/>
        <v>5.2</v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2">
      <c r="A130" s="50">
        <v>120</v>
      </c>
      <c r="B130" s="50">
        <v>352</v>
      </c>
      <c r="C130" s="50">
        <v>21</v>
      </c>
      <c r="D130" s="50">
        <v>47</v>
      </c>
      <c r="E130" s="54">
        <v>0.9</v>
      </c>
      <c r="F130" s="54"/>
      <c r="G130" s="54"/>
      <c r="H130" s="54">
        <v>0.1</v>
      </c>
      <c r="I130" s="53">
        <f t="shared" si="4"/>
        <v>4.5</v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2">
      <c r="A131" s="50">
        <v>130</v>
      </c>
      <c r="B131" s="50">
        <v>346</v>
      </c>
      <c r="C131" s="50">
        <v>23</v>
      </c>
      <c r="D131" s="50">
        <v>44</v>
      </c>
      <c r="E131" s="54">
        <v>0.9</v>
      </c>
      <c r="F131" s="54"/>
      <c r="G131" s="54"/>
      <c r="H131" s="54">
        <v>0.1</v>
      </c>
      <c r="I131" s="53">
        <f t="shared" si="4"/>
        <v>4.0999999999999996</v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2">
      <c r="A132" s="50">
        <v>140</v>
      </c>
      <c r="B132" s="50">
        <v>341</v>
      </c>
      <c r="C132" s="50">
        <v>25</v>
      </c>
      <c r="D132" s="50">
        <v>41</v>
      </c>
      <c r="E132" s="54">
        <v>0.9</v>
      </c>
      <c r="F132" s="54"/>
      <c r="G132" s="54"/>
      <c r="H132" s="54">
        <v>0.1</v>
      </c>
      <c r="I132" s="53">
        <f t="shared" si="4"/>
        <v>3.9</v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2">
      <c r="A133" s="50">
        <v>150</v>
      </c>
      <c r="B133" s="50">
        <v>335</v>
      </c>
      <c r="C133" s="50">
        <v>27</v>
      </c>
      <c r="D133" s="50">
        <v>335</v>
      </c>
      <c r="E133" s="54">
        <v>0.9</v>
      </c>
      <c r="F133" s="54"/>
      <c r="G133" s="54"/>
      <c r="H133" s="54">
        <v>0.1</v>
      </c>
      <c r="I133" s="53">
        <f t="shared" si="4"/>
        <v>3.5</v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2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2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2">
      <c r="A136" s="46" t="s">
        <v>169</v>
      </c>
      <c r="B136" s="52" t="str">
        <f>IF(B13="","",B13)</f>
        <v>Chêne pubescent</v>
      </c>
      <c r="D136" s="228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2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2">
      <c r="A138" s="4"/>
      <c r="B138" s="85" t="s">
        <v>185</v>
      </c>
      <c r="C138" s="258" t="s">
        <v>186</v>
      </c>
      <c r="D138" s="258"/>
      <c r="E138" s="259" t="s">
        <v>187</v>
      </c>
      <c r="F138" s="260"/>
      <c r="G138" s="260"/>
      <c r="H138" s="261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32" x14ac:dyDescent="0.2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2">
      <c r="A140" s="50">
        <v>20</v>
      </c>
      <c r="B140" s="60">
        <v>73</v>
      </c>
      <c r="C140" s="50">
        <v>1</v>
      </c>
      <c r="D140" s="60">
        <v>0</v>
      </c>
      <c r="E140" s="51">
        <v>0</v>
      </c>
      <c r="F140" s="51"/>
      <c r="G140" s="51"/>
      <c r="H140" s="51">
        <v>1</v>
      </c>
      <c r="I140" s="57">
        <f>IFERROR(B140/A140,"")</f>
        <v>3.65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2">
      <c r="A141" s="50">
        <v>25</v>
      </c>
      <c r="B141" s="60">
        <f>75+28+6</f>
        <v>109</v>
      </c>
      <c r="C141" s="50">
        <v>2</v>
      </c>
      <c r="D141" s="60">
        <v>0</v>
      </c>
      <c r="E141" s="51">
        <v>0</v>
      </c>
      <c r="F141" s="51"/>
      <c r="G141" s="51"/>
      <c r="H141" s="51">
        <v>1</v>
      </c>
      <c r="I141" s="57">
        <f t="shared" ref="I141:I159" si="5">IF(A141&lt;&gt;0,(B141-(B140-D140))/(A141-A140),"")</f>
        <v>7.2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2">
      <c r="A142" s="50">
        <v>30</v>
      </c>
      <c r="B142" s="60">
        <f>93+28+28+6</f>
        <v>155</v>
      </c>
      <c r="C142" s="50">
        <v>3</v>
      </c>
      <c r="D142" s="60">
        <f>28+28+6</f>
        <v>62</v>
      </c>
      <c r="E142" s="51">
        <v>0</v>
      </c>
      <c r="F142" s="51"/>
      <c r="G142" s="51"/>
      <c r="H142" s="51">
        <v>1</v>
      </c>
      <c r="I142" s="57">
        <f t="shared" si="5"/>
        <v>9.1999999999999993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2">
      <c r="A143" s="50">
        <v>35</v>
      </c>
      <c r="B143" s="60">
        <v>147</v>
      </c>
      <c r="C143" s="50">
        <v>4</v>
      </c>
      <c r="D143" s="60">
        <v>28</v>
      </c>
      <c r="E143" s="51">
        <v>0</v>
      </c>
      <c r="F143" s="51"/>
      <c r="G143" s="51"/>
      <c r="H143" s="51">
        <v>1</v>
      </c>
      <c r="I143" s="57">
        <f t="shared" si="5"/>
        <v>10.8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2">
      <c r="A144" s="50">
        <v>40</v>
      </c>
      <c r="B144" s="60">
        <v>175</v>
      </c>
      <c r="C144" s="50">
        <v>5</v>
      </c>
      <c r="D144" s="60">
        <v>28</v>
      </c>
      <c r="E144" s="51">
        <v>0.2</v>
      </c>
      <c r="F144" s="51"/>
      <c r="G144" s="51"/>
      <c r="H144" s="51">
        <v>0.8</v>
      </c>
      <c r="I144" s="57">
        <f t="shared" si="5"/>
        <v>11.2</v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2">
      <c r="A145" s="50">
        <v>45</v>
      </c>
      <c r="B145" s="60">
        <v>204</v>
      </c>
      <c r="C145" s="50">
        <v>6</v>
      </c>
      <c r="D145" s="60">
        <v>28</v>
      </c>
      <c r="E145" s="51">
        <v>0.2</v>
      </c>
      <c r="F145" s="51"/>
      <c r="G145" s="51"/>
      <c r="H145" s="51">
        <v>0.8</v>
      </c>
      <c r="I145" s="57">
        <f t="shared" si="5"/>
        <v>11.4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2">
      <c r="A146" s="50">
        <v>50</v>
      </c>
      <c r="B146" s="60">
        <v>231</v>
      </c>
      <c r="C146" s="50">
        <v>7</v>
      </c>
      <c r="D146" s="60">
        <v>28</v>
      </c>
      <c r="E146" s="51">
        <v>0.3</v>
      </c>
      <c r="F146" s="51"/>
      <c r="G146" s="51"/>
      <c r="H146" s="51">
        <v>0.7</v>
      </c>
      <c r="I146" s="57">
        <f t="shared" si="5"/>
        <v>11</v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2">
      <c r="A147" s="50">
        <v>55</v>
      </c>
      <c r="B147" s="60">
        <v>254</v>
      </c>
      <c r="C147" s="50">
        <v>8</v>
      </c>
      <c r="D147" s="60">
        <v>28</v>
      </c>
      <c r="E147" s="51">
        <v>0.3</v>
      </c>
      <c r="F147" s="51"/>
      <c r="G147" s="51"/>
      <c r="H147" s="51">
        <v>0.7</v>
      </c>
      <c r="I147" s="57">
        <f>IF(A147&lt;&gt;0,(B147-(B146-D146))/(A147-A146),"")</f>
        <v>10.199999999999999</v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2">
      <c r="A148" s="50">
        <v>60</v>
      </c>
      <c r="B148" s="60">
        <v>273</v>
      </c>
      <c r="C148" s="50">
        <v>9</v>
      </c>
      <c r="D148" s="60">
        <v>28</v>
      </c>
      <c r="E148" s="51">
        <v>0.4</v>
      </c>
      <c r="F148" s="51"/>
      <c r="G148" s="51"/>
      <c r="H148" s="51">
        <v>0.6</v>
      </c>
      <c r="I148" s="57">
        <f t="shared" si="5"/>
        <v>9.4</v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2">
      <c r="A149" s="50">
        <v>65</v>
      </c>
      <c r="B149" s="60">
        <v>289</v>
      </c>
      <c r="C149" s="50">
        <v>10</v>
      </c>
      <c r="D149" s="60">
        <v>28</v>
      </c>
      <c r="E149" s="51">
        <v>0.4</v>
      </c>
      <c r="F149" s="51"/>
      <c r="G149" s="51"/>
      <c r="H149" s="51">
        <v>0.6</v>
      </c>
      <c r="I149" s="57">
        <f t="shared" si="5"/>
        <v>8.8000000000000007</v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2">
      <c r="A150" s="50">
        <v>70</v>
      </c>
      <c r="B150" s="60">
        <v>302</v>
      </c>
      <c r="C150" s="50">
        <v>11</v>
      </c>
      <c r="D150" s="60">
        <v>28</v>
      </c>
      <c r="E150" s="51">
        <v>0.5</v>
      </c>
      <c r="F150" s="51"/>
      <c r="G150" s="51"/>
      <c r="H150" s="51">
        <v>0.5</v>
      </c>
      <c r="I150" s="57">
        <f t="shared" si="5"/>
        <v>8.1999999999999993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2">
      <c r="A151" s="50">
        <v>75</v>
      </c>
      <c r="B151" s="60">
        <v>312</v>
      </c>
      <c r="C151" s="50">
        <v>12</v>
      </c>
      <c r="D151" s="60">
        <v>28</v>
      </c>
      <c r="E151" s="51">
        <v>0.5</v>
      </c>
      <c r="F151" s="51"/>
      <c r="G151" s="51"/>
      <c r="H151" s="51">
        <v>0.5</v>
      </c>
      <c r="I151" s="57">
        <f t="shared" si="5"/>
        <v>7.6</v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2">
      <c r="A152" s="50">
        <v>80</v>
      </c>
      <c r="B152" s="60">
        <v>320</v>
      </c>
      <c r="C152" s="50">
        <v>13</v>
      </c>
      <c r="D152" s="60">
        <v>28</v>
      </c>
      <c r="E152" s="54">
        <v>0.6</v>
      </c>
      <c r="F152" s="54"/>
      <c r="G152" s="54"/>
      <c r="H152" s="54">
        <v>0.4</v>
      </c>
      <c r="I152" s="57">
        <f t="shared" si="5"/>
        <v>7.2</v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2">
      <c r="A153" s="50">
        <v>90</v>
      </c>
      <c r="B153" s="60">
        <v>358</v>
      </c>
      <c r="C153" s="50">
        <v>15</v>
      </c>
      <c r="D153" s="60">
        <v>56</v>
      </c>
      <c r="E153" s="54">
        <v>0.7</v>
      </c>
      <c r="F153" s="54"/>
      <c r="G153" s="54"/>
      <c r="H153" s="54">
        <v>0.3</v>
      </c>
      <c r="I153" s="57">
        <f t="shared" si="5"/>
        <v>6.6</v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2">
      <c r="A154" s="55">
        <v>100</v>
      </c>
      <c r="B154" s="56">
        <v>362</v>
      </c>
      <c r="C154" s="50">
        <v>17</v>
      </c>
      <c r="D154" s="50">
        <v>56</v>
      </c>
      <c r="E154" s="54">
        <v>0.8</v>
      </c>
      <c r="F154" s="54"/>
      <c r="G154" s="54"/>
      <c r="H154" s="54">
        <v>0.2</v>
      </c>
      <c r="I154" s="57">
        <f t="shared" si="5"/>
        <v>6</v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2">
      <c r="A155" s="55">
        <v>110</v>
      </c>
      <c r="B155" s="56">
        <v>358</v>
      </c>
      <c r="C155" s="50">
        <v>19</v>
      </c>
      <c r="D155" s="50">
        <v>51</v>
      </c>
      <c r="E155" s="54">
        <v>0.8</v>
      </c>
      <c r="F155" s="54"/>
      <c r="G155" s="54"/>
      <c r="H155" s="54">
        <v>0.2</v>
      </c>
      <c r="I155" s="57">
        <f t="shared" si="5"/>
        <v>5.2</v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2">
      <c r="A156" s="55">
        <v>120</v>
      </c>
      <c r="B156" s="56">
        <v>352</v>
      </c>
      <c r="C156" s="50">
        <v>21</v>
      </c>
      <c r="D156" s="50">
        <v>47</v>
      </c>
      <c r="E156" s="54">
        <v>0.9</v>
      </c>
      <c r="F156" s="54"/>
      <c r="G156" s="54"/>
      <c r="H156" s="54">
        <v>0.1</v>
      </c>
      <c r="I156" s="57">
        <f t="shared" si="5"/>
        <v>4.5</v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2">
      <c r="A157" s="55">
        <v>130</v>
      </c>
      <c r="B157" s="56">
        <v>346</v>
      </c>
      <c r="C157" s="50">
        <v>23</v>
      </c>
      <c r="D157" s="50">
        <v>44</v>
      </c>
      <c r="E157" s="54">
        <v>0.9</v>
      </c>
      <c r="F157" s="54"/>
      <c r="G157" s="54"/>
      <c r="H157" s="54">
        <v>0.1</v>
      </c>
      <c r="I157" s="57">
        <f t="shared" si="5"/>
        <v>4.0999999999999996</v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2">
      <c r="A158" s="55">
        <v>140</v>
      </c>
      <c r="B158" s="56">
        <v>341</v>
      </c>
      <c r="C158" s="50">
        <v>25</v>
      </c>
      <c r="D158" s="50">
        <v>41</v>
      </c>
      <c r="E158" s="54">
        <v>0.9</v>
      </c>
      <c r="F158" s="54"/>
      <c r="G158" s="54"/>
      <c r="H158" s="54">
        <v>0.1</v>
      </c>
      <c r="I158" s="57">
        <f t="shared" si="5"/>
        <v>3.9</v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2">
      <c r="A159" s="55">
        <v>150</v>
      </c>
      <c r="B159" s="56">
        <v>335</v>
      </c>
      <c r="C159" s="50">
        <v>27</v>
      </c>
      <c r="D159" s="58">
        <v>335</v>
      </c>
      <c r="E159" s="54">
        <v>0.9</v>
      </c>
      <c r="F159" s="54"/>
      <c r="G159" s="54"/>
      <c r="H159" s="54">
        <v>0.1</v>
      </c>
      <c r="I159" s="57">
        <f t="shared" si="5"/>
        <v>3.5</v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2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2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2">
      <c r="A162" s="46" t="s">
        <v>170</v>
      </c>
      <c r="B162" s="52" t="str">
        <f>IF(B14="","",B14)</f>
        <v/>
      </c>
      <c r="D162" s="228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2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2">
      <c r="A164" s="4"/>
      <c r="B164" s="85" t="s">
        <v>185</v>
      </c>
      <c r="C164" s="258" t="s">
        <v>186</v>
      </c>
      <c r="D164" s="258"/>
      <c r="E164" s="259" t="s">
        <v>187</v>
      </c>
      <c r="F164" s="260"/>
      <c r="G164" s="260"/>
      <c r="H164" s="261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32" x14ac:dyDescent="0.2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2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2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2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2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2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2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2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2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2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2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2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2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2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2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2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2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2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2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2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2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2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2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2">
      <c r="A188" s="46" t="s">
        <v>171</v>
      </c>
      <c r="B188" s="52" t="str">
        <f>IF(B15="","",B15)</f>
        <v/>
      </c>
      <c r="D188" s="228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2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2">
      <c r="A190" s="4"/>
      <c r="B190" s="85" t="s">
        <v>185</v>
      </c>
      <c r="C190" s="258" t="s">
        <v>186</v>
      </c>
      <c r="D190" s="258"/>
      <c r="E190" s="259" t="s">
        <v>187</v>
      </c>
      <c r="F190" s="260"/>
      <c r="G190" s="260"/>
      <c r="H190" s="261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32" x14ac:dyDescent="0.2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2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2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2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2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2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2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2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2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2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2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2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2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2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2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2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2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2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2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2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2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2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2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2">
      <c r="A214" s="46" t="s">
        <v>172</v>
      </c>
      <c r="B214" s="52" t="str">
        <f>IF(B16="","",B16)</f>
        <v/>
      </c>
      <c r="D214" s="228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2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2">
      <c r="A216" s="4"/>
      <c r="B216" s="85" t="s">
        <v>185</v>
      </c>
      <c r="C216" s="258" t="s">
        <v>186</v>
      </c>
      <c r="D216" s="258"/>
      <c r="E216" s="259" t="s">
        <v>187</v>
      </c>
      <c r="F216" s="260"/>
      <c r="G216" s="260"/>
      <c r="H216" s="261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32" x14ac:dyDescent="0.2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2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2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2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2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2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2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2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2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2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2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2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2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2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2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2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2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2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2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2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2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2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2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2">
      <c r="A240" s="46" t="s">
        <v>173</v>
      </c>
      <c r="B240" s="52" t="str">
        <f>IF(B17="","",B17)</f>
        <v/>
      </c>
      <c r="D240" s="228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2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2">
      <c r="A242" s="4"/>
      <c r="B242" s="85" t="s">
        <v>185</v>
      </c>
      <c r="C242" s="258" t="s">
        <v>186</v>
      </c>
      <c r="D242" s="258"/>
      <c r="E242" s="259" t="s">
        <v>187</v>
      </c>
      <c r="F242" s="260"/>
      <c r="G242" s="260"/>
      <c r="H242" s="261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32" x14ac:dyDescent="0.2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2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2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2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2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2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2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2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2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2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2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2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2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2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2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2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2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2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2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2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2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2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2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2">
      <c r="A266" s="46" t="s">
        <v>174</v>
      </c>
      <c r="B266" s="52" t="str">
        <f>IF(B18="","",B18)</f>
        <v/>
      </c>
      <c r="D266" s="228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2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2">
      <c r="A268" s="4"/>
      <c r="B268" s="85" t="s">
        <v>185</v>
      </c>
      <c r="C268" s="258" t="s">
        <v>186</v>
      </c>
      <c r="D268" s="258"/>
      <c r="E268" s="259" t="s">
        <v>187</v>
      </c>
      <c r="F268" s="260"/>
      <c r="G268" s="260"/>
      <c r="H268" s="261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32" x14ac:dyDescent="0.2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2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2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2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2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2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2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2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2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2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2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2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2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2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2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2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2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2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2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2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2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2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2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2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2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2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2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2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2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2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2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2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2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2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2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2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2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2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2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2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2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2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2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2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2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2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2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2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2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2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2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2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2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2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2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2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2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2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2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2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2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2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2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2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2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2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2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2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2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2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2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2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2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2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2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2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2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2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2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2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2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2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2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2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2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2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2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2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2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2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2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2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2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2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2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2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2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2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2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2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2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2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2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2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2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2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2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2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2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2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2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2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2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2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2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2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2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2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2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2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2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2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2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2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2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2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2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2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2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2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2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2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2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2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2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2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2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2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2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2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2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2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2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2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2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2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2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2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2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2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2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2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2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2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2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2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2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2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2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A6" zoomScaleNormal="100" workbookViewId="0">
      <selection activeCell="B18" sqref="B18"/>
    </sheetView>
  </sheetViews>
  <sheetFormatPr baseColWidth="10" defaultColWidth="11.5" defaultRowHeight="15" x14ac:dyDescent="0.2"/>
  <cols>
    <col min="1" max="1" width="5.83203125" style="1" customWidth="1"/>
    <col min="2" max="2" width="14.1640625" style="1" customWidth="1"/>
    <col min="3" max="3" width="62.164062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5" style="1"/>
    <col min="11" max="11" width="12.5" style="1" customWidth="1"/>
    <col min="12" max="16384" width="11.5" style="1"/>
  </cols>
  <sheetData>
    <row r="1" spans="1:38" ht="16" thickBot="1" x14ac:dyDescent="0.2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7" thickBot="1" x14ac:dyDescent="0.35">
      <c r="A2" s="4"/>
      <c r="B2" s="271" t="s">
        <v>191</v>
      </c>
      <c r="C2" s="272"/>
      <c r="D2" s="272"/>
      <c r="E2" s="272"/>
      <c r="F2" s="272"/>
      <c r="G2" s="273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2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2">
      <c r="A4" s="4"/>
      <c r="B4" s="270"/>
      <c r="C4" s="270"/>
      <c r="D4" s="270"/>
      <c r="E4" s="270"/>
      <c r="F4" s="270"/>
      <c r="G4" s="270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2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2">
      <c r="A6" s="23"/>
      <c r="B6" s="216"/>
      <c r="C6" s="216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2">
      <c r="A7" s="99"/>
      <c r="B7" s="26" t="s">
        <v>295</v>
      </c>
      <c r="C7" s="100" t="s">
        <v>214</v>
      </c>
      <c r="D7" s="214"/>
      <c r="E7" s="101"/>
      <c r="F7" s="26" t="s">
        <v>295</v>
      </c>
      <c r="G7" s="100" t="s">
        <v>215</v>
      </c>
      <c r="H7" s="215"/>
      <c r="I7" s="215"/>
      <c r="J7" s="215"/>
      <c r="K7" s="215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2">
      <c r="A8" s="105">
        <v>1</v>
      </c>
      <c r="B8" s="61">
        <v>0</v>
      </c>
      <c r="C8" s="49" t="s">
        <v>177</v>
      </c>
      <c r="D8" s="23"/>
      <c r="E8" s="105">
        <v>4</v>
      </c>
      <c r="F8" s="61">
        <v>0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2">
      <c r="A9" s="105">
        <v>2</v>
      </c>
      <c r="B9" s="61">
        <v>1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2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2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2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2">
      <c r="A13" s="215"/>
      <c r="B13" s="107"/>
      <c r="C13" s="98" t="s">
        <v>273</v>
      </c>
      <c r="D13" s="215"/>
      <c r="E13" s="99"/>
      <c r="F13" s="107"/>
      <c r="G13" s="98" t="s">
        <v>301</v>
      </c>
      <c r="H13" s="215"/>
      <c r="I13" s="215"/>
      <c r="J13" s="215"/>
      <c r="K13" s="215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2">
      <c r="A14" s="215"/>
      <c r="B14" s="107"/>
      <c r="C14" s="98" t="s">
        <v>309</v>
      </c>
      <c r="D14" s="215"/>
      <c r="E14" s="99"/>
      <c r="F14" s="107"/>
      <c r="G14" s="98" t="s">
        <v>294</v>
      </c>
      <c r="H14" s="215"/>
      <c r="I14" s="215"/>
      <c r="J14" s="215"/>
      <c r="K14" s="215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2">
      <c r="A15" s="23"/>
      <c r="B15" s="26" t="s">
        <v>295</v>
      </c>
      <c r="C15" s="4"/>
      <c r="D15" s="23"/>
      <c r="E15" s="4"/>
      <c r="F15" s="4"/>
      <c r="G15" s="2" t="s">
        <v>149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2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2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2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2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2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2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2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2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2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2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2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2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2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2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2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2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2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2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2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2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2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2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2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2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2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2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2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2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2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2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2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2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2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2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2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2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2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2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2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2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2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2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2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2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2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2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2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2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2">
      <c r="C104" s="4"/>
      <c r="F104" s="4"/>
    </row>
    <row r="105" spans="3:35" x14ac:dyDescent="0.2">
      <c r="C105" s="4"/>
      <c r="F105" s="4"/>
    </row>
    <row r="106" spans="3:35" x14ac:dyDescent="0.2">
      <c r="C106" s="4"/>
      <c r="F106" s="4"/>
    </row>
    <row r="107" spans="3:35" x14ac:dyDescent="0.2">
      <c r="C107" s="4"/>
      <c r="F107" s="4"/>
    </row>
    <row r="108" spans="3:35" x14ac:dyDescent="0.2">
      <c r="C108" s="4"/>
      <c r="F108" s="4"/>
    </row>
    <row r="109" spans="3:35" x14ac:dyDescent="0.2">
      <c r="C109" s="4"/>
      <c r="F109" s="4"/>
    </row>
    <row r="110" spans="3:35" x14ac:dyDescent="0.2">
      <c r="C110" s="4"/>
      <c r="F110" s="4"/>
    </row>
    <row r="111" spans="3:35" x14ac:dyDescent="0.2">
      <c r="C111" s="4"/>
      <c r="F111" s="4"/>
    </row>
    <row r="112" spans="3:35" x14ac:dyDescent="0.2">
      <c r="C112" s="4"/>
      <c r="F112" s="4"/>
    </row>
    <row r="113" spans="3:6" x14ac:dyDescent="0.2">
      <c r="C113" s="4"/>
      <c r="F113" s="4"/>
    </row>
    <row r="114" spans="3:6" x14ac:dyDescent="0.2">
      <c r="C114" s="4"/>
      <c r="F114" s="4"/>
    </row>
    <row r="115" spans="3:6" x14ac:dyDescent="0.2">
      <c r="C115" s="4"/>
      <c r="F115" s="4"/>
    </row>
    <row r="116" spans="3:6" x14ac:dyDescent="0.2">
      <c r="C116" s="4"/>
      <c r="F116" s="4"/>
    </row>
    <row r="117" spans="3:6" x14ac:dyDescent="0.2">
      <c r="C117" s="4"/>
      <c r="F117" s="4"/>
    </row>
    <row r="118" spans="3:6" x14ac:dyDescent="0.2">
      <c r="C118" s="4"/>
      <c r="F118" s="4"/>
    </row>
    <row r="119" spans="3:6" x14ac:dyDescent="0.2">
      <c r="C119" s="4"/>
      <c r="F119" s="4"/>
    </row>
    <row r="120" spans="3:6" x14ac:dyDescent="0.2">
      <c r="C120" s="4"/>
      <c r="F120" s="4"/>
    </row>
    <row r="121" spans="3:6" x14ac:dyDescent="0.2">
      <c r="C121" s="4"/>
      <c r="F121" s="4"/>
    </row>
    <row r="122" spans="3:6" x14ac:dyDescent="0.2">
      <c r="C122" s="4"/>
      <c r="F122" s="4"/>
    </row>
    <row r="123" spans="3:6" x14ac:dyDescent="0.2">
      <c r="C123" s="4"/>
      <c r="F123" s="4"/>
    </row>
    <row r="124" spans="3:6" x14ac:dyDescent="0.2">
      <c r="C124" s="4"/>
      <c r="F124" s="4"/>
    </row>
    <row r="125" spans="3:6" x14ac:dyDescent="0.2">
      <c r="C125" s="4"/>
      <c r="F125" s="4"/>
    </row>
    <row r="126" spans="3:6" x14ac:dyDescent="0.2">
      <c r="C126" s="4"/>
      <c r="F126" s="4"/>
    </row>
    <row r="127" spans="3:6" x14ac:dyDescent="0.2">
      <c r="C127" s="4"/>
      <c r="F127" s="4"/>
    </row>
    <row r="128" spans="3:6" x14ac:dyDescent="0.2">
      <c r="C128" s="4"/>
      <c r="F128" s="4"/>
    </row>
    <row r="129" spans="3:6" x14ac:dyDescent="0.2">
      <c r="C129" s="4"/>
      <c r="F129" s="4"/>
    </row>
    <row r="130" spans="3:6" x14ac:dyDescent="0.2">
      <c r="C130" s="4"/>
      <c r="F130" s="4"/>
    </row>
    <row r="131" spans="3:6" x14ac:dyDescent="0.2">
      <c r="C131" s="4"/>
      <c r="F131" s="4"/>
    </row>
    <row r="132" spans="3:6" x14ac:dyDescent="0.2">
      <c r="F132" s="4"/>
    </row>
    <row r="133" spans="3:6" x14ac:dyDescent="0.2">
      <c r="F133" s="4"/>
    </row>
    <row r="134" spans="3:6" x14ac:dyDescent="0.2">
      <c r="F134" s="4"/>
    </row>
    <row r="135" spans="3:6" x14ac:dyDescent="0.2">
      <c r="F135" s="4"/>
    </row>
    <row r="136" spans="3:6" x14ac:dyDescent="0.2">
      <c r="F136" s="4"/>
    </row>
    <row r="137" spans="3:6" x14ac:dyDescent="0.2">
      <c r="F137" s="4"/>
    </row>
    <row r="138" spans="3:6" x14ac:dyDescent="0.2">
      <c r="F138" s="4"/>
    </row>
    <row r="139" spans="3:6" x14ac:dyDescent="0.2">
      <c r="F139" s="4"/>
    </row>
    <row r="140" spans="3:6" x14ac:dyDescent="0.2">
      <c r="F140" s="4"/>
    </row>
    <row r="141" spans="3:6" x14ac:dyDescent="0.2">
      <c r="F141" s="4"/>
    </row>
    <row r="142" spans="3:6" x14ac:dyDescent="0.2">
      <c r="F142" s="4"/>
    </row>
    <row r="143" spans="3:6" x14ac:dyDescent="0.2">
      <c r="F143" s="4"/>
    </row>
    <row r="144" spans="3:6" x14ac:dyDescent="0.2">
      <c r="F144" s="4"/>
    </row>
    <row r="145" spans="6:6" x14ac:dyDescent="0.2">
      <c r="F145" s="4"/>
    </row>
    <row r="146" spans="6:6" x14ac:dyDescent="0.2">
      <c r="F146" s="4"/>
    </row>
    <row r="147" spans="6:6" x14ac:dyDescent="0.2">
      <c r="F147" s="4"/>
    </row>
    <row r="148" spans="6:6" x14ac:dyDescent="0.2">
      <c r="F148" s="4"/>
    </row>
    <row r="149" spans="6:6" x14ac:dyDescent="0.2">
      <c r="F149" s="4"/>
    </row>
    <row r="150" spans="6:6" x14ac:dyDescent="0.2">
      <c r="F150" s="4"/>
    </row>
    <row r="151" spans="6:6" x14ac:dyDescent="0.2">
      <c r="F151" s="4"/>
    </row>
    <row r="152" spans="6:6" x14ac:dyDescent="0.2">
      <c r="F152" s="4"/>
    </row>
    <row r="153" spans="6:6" x14ac:dyDescent="0.2">
      <c r="F153" s="4"/>
    </row>
    <row r="154" spans="6:6" x14ac:dyDescent="0.2">
      <c r="F154" s="4"/>
    </row>
    <row r="155" spans="6:6" x14ac:dyDescent="0.2">
      <c r="F155" s="4"/>
    </row>
    <row r="156" spans="6:6" x14ac:dyDescent="0.2">
      <c r="F156" s="4"/>
    </row>
    <row r="157" spans="6:6" x14ac:dyDescent="0.2">
      <c r="F157" s="4"/>
    </row>
    <row r="158" spans="6:6" x14ac:dyDescent="0.2">
      <c r="F158" s="4"/>
    </row>
    <row r="159" spans="6:6" x14ac:dyDescent="0.2">
      <c r="F159" s="4"/>
    </row>
    <row r="160" spans="6:6" x14ac:dyDescent="0.2">
      <c r="F160" s="4"/>
    </row>
    <row r="161" spans="6:6" x14ac:dyDescent="0.2">
      <c r="F161" s="4"/>
    </row>
    <row r="162" spans="6:6" x14ac:dyDescent="0.2">
      <c r="F162" s="4"/>
    </row>
    <row r="163" spans="6:6" x14ac:dyDescent="0.2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5" defaultRowHeight="15" x14ac:dyDescent="0.2"/>
  <cols>
    <col min="1" max="1" width="6.83203125" style="4" bestFit="1" customWidth="1"/>
    <col min="2" max="4" width="11.5" style="4"/>
    <col min="5" max="5" width="9.5" style="4" customWidth="1"/>
    <col min="6" max="7" width="11.5" style="4"/>
    <col min="8" max="8" width="10.6640625" style="4" customWidth="1"/>
    <col min="9" max="9" width="9.5" style="4" customWidth="1"/>
    <col min="10" max="11" width="10.5" style="4" bestFit="1" customWidth="1"/>
    <col min="12" max="12" width="14" style="4" bestFit="1" customWidth="1"/>
    <col min="13" max="13" width="14" style="4" customWidth="1"/>
    <col min="14" max="23" width="11.5" style="4"/>
    <col min="24" max="24" width="11.6640625" style="4" bestFit="1" customWidth="1"/>
    <col min="25" max="25" width="14.5" style="4" bestFit="1" customWidth="1"/>
    <col min="26" max="26" width="12.5" style="4" bestFit="1" customWidth="1"/>
    <col min="27" max="27" width="9.6640625" style="4" bestFit="1" customWidth="1"/>
    <col min="28" max="28" width="11" style="4" bestFit="1" customWidth="1"/>
    <col min="29" max="29" width="9.5" style="4" bestFit="1" customWidth="1"/>
    <col min="30" max="31" width="9.5" style="4" customWidth="1"/>
    <col min="32" max="32" width="11.5" style="4"/>
    <col min="33" max="34" width="14" style="4" bestFit="1" customWidth="1"/>
    <col min="35" max="35" width="10.5" style="4" bestFit="1" customWidth="1"/>
    <col min="36" max="36" width="9.5" style="4" bestFit="1" customWidth="1"/>
    <col min="37" max="38" width="10.5" style="4" bestFit="1" customWidth="1"/>
    <col min="39" max="41" width="10.5" style="4" customWidth="1"/>
    <col min="42" max="42" width="9" style="4" bestFit="1" customWidth="1"/>
    <col min="43" max="43" width="10.5" style="4" bestFit="1" customWidth="1"/>
    <col min="44" max="44" width="9.33203125" style="4" bestFit="1" customWidth="1"/>
    <col min="45" max="45" width="11.6640625" style="4" bestFit="1" customWidth="1"/>
    <col min="46" max="46" width="8.5" style="4" bestFit="1" customWidth="1"/>
    <col min="47" max="47" width="9.5" style="4" bestFit="1" customWidth="1"/>
    <col min="48" max="48" width="9.6640625" style="4" bestFit="1" customWidth="1"/>
    <col min="49" max="49" width="11" style="4" bestFit="1" customWidth="1"/>
    <col min="50" max="50" width="9.5" style="4" bestFit="1" customWidth="1"/>
    <col min="51" max="52" width="9.5" style="4" customWidth="1"/>
    <col min="53" max="53" width="10.5" style="4" bestFit="1" customWidth="1"/>
    <col min="54" max="54" width="14.33203125" style="4" customWidth="1"/>
    <col min="55" max="55" width="14" style="4" customWidth="1"/>
    <col min="56" max="56" width="10.5" style="4" bestFit="1" customWidth="1"/>
    <col min="57" max="57" width="9.5" style="4" bestFit="1" customWidth="1"/>
    <col min="58" max="59" width="10.5" style="4" bestFit="1" customWidth="1"/>
    <col min="60" max="62" width="10.5" style="4" customWidth="1"/>
    <col min="63" max="63" width="9" style="4" bestFit="1" customWidth="1"/>
    <col min="64" max="64" width="10.5" style="4" bestFit="1" customWidth="1"/>
    <col min="65" max="65" width="9.33203125" style="4" bestFit="1" customWidth="1"/>
    <col min="66" max="66" width="11.6640625" style="4" bestFit="1" customWidth="1"/>
    <col min="67" max="67" width="8.5" style="4" bestFit="1" customWidth="1"/>
    <col min="68" max="68" width="9.5" style="4" bestFit="1" customWidth="1"/>
    <col min="69" max="69" width="9.6640625" style="4" bestFit="1" customWidth="1"/>
    <col min="70" max="70" width="11" style="4" bestFit="1" customWidth="1"/>
    <col min="71" max="71" width="9.5" style="4" bestFit="1" customWidth="1"/>
    <col min="72" max="73" width="9.5" style="4" customWidth="1"/>
    <col min="74" max="74" width="10.5" style="4" bestFit="1" customWidth="1"/>
    <col min="75" max="75" width="14" style="4" bestFit="1" customWidth="1"/>
    <col min="76" max="76" width="13.83203125" style="4" customWidth="1"/>
    <col min="77" max="77" width="10.5" style="4" bestFit="1" customWidth="1"/>
    <col min="78" max="78" width="9.5" style="4" bestFit="1" customWidth="1"/>
    <col min="79" max="80" width="10.5" style="4" bestFit="1" customWidth="1"/>
    <col min="81" max="83" width="10.5" style="4" customWidth="1"/>
    <col min="84" max="84" width="11.5" style="4"/>
    <col min="85" max="85" width="10.5" style="4" bestFit="1" customWidth="1"/>
    <col min="86" max="86" width="9.33203125" style="4" bestFit="1" customWidth="1"/>
    <col min="87" max="87" width="11.6640625" style="4" bestFit="1" customWidth="1"/>
    <col min="88" max="88" width="8.5" style="4" bestFit="1" customWidth="1"/>
    <col min="89" max="89" width="9.5" style="4" bestFit="1" customWidth="1"/>
    <col min="90" max="90" width="9.6640625" style="4" bestFit="1" customWidth="1"/>
    <col min="91" max="91" width="11" style="4" bestFit="1" customWidth="1"/>
    <col min="92" max="92" width="9.5" style="4" bestFit="1" customWidth="1"/>
    <col min="93" max="94" width="9.5" style="4" customWidth="1"/>
    <col min="95" max="95" width="11.5" style="4"/>
    <col min="96" max="97" width="14" style="4" customWidth="1"/>
    <col min="98" max="98" width="10.5" style="4" bestFit="1" customWidth="1"/>
    <col min="99" max="99" width="9.5" style="4" bestFit="1" customWidth="1"/>
    <col min="100" max="101" width="10.5" style="4" bestFit="1" customWidth="1"/>
    <col min="102" max="104" width="10.5" style="4" customWidth="1"/>
    <col min="105" max="105" width="9" style="4" bestFit="1" customWidth="1"/>
    <col min="106" max="106" width="10.5" style="4" bestFit="1" customWidth="1"/>
    <col min="107" max="107" width="9.33203125" style="4" bestFit="1" customWidth="1"/>
    <col min="108" max="108" width="11.6640625" style="4" bestFit="1" customWidth="1"/>
    <col min="109" max="109" width="8.5" style="4" bestFit="1" customWidth="1"/>
    <col min="110" max="110" width="9.5" style="4" bestFit="1" customWidth="1"/>
    <col min="111" max="111" width="9.6640625" style="4" bestFit="1" customWidth="1"/>
    <col min="112" max="112" width="11" style="4" bestFit="1" customWidth="1"/>
    <col min="113" max="113" width="9.5" style="4" bestFit="1" customWidth="1"/>
    <col min="114" max="115" width="9.5" style="4" customWidth="1"/>
    <col min="116" max="116" width="10.5" style="4" bestFit="1" customWidth="1"/>
    <col min="117" max="117" width="14.33203125" style="4" customWidth="1"/>
    <col min="118" max="118" width="14" style="4" bestFit="1" customWidth="1"/>
    <col min="119" max="119" width="10.5" style="4" bestFit="1" customWidth="1"/>
    <col min="120" max="120" width="9.5" style="4" bestFit="1" customWidth="1"/>
    <col min="121" max="122" width="10.5" style="4" bestFit="1" customWidth="1"/>
    <col min="123" max="125" width="10.5" style="4" customWidth="1"/>
    <col min="126" max="126" width="9" style="4" bestFit="1" customWidth="1"/>
    <col min="127" max="127" width="10.5" style="4" bestFit="1" customWidth="1"/>
    <col min="128" max="128" width="9.33203125" style="4" bestFit="1" customWidth="1"/>
    <col min="129" max="129" width="11.6640625" style="4" bestFit="1" customWidth="1"/>
    <col min="130" max="130" width="8.5" style="4" bestFit="1" customWidth="1"/>
    <col min="131" max="131" width="9.5" style="4" bestFit="1" customWidth="1"/>
    <col min="132" max="132" width="9.6640625" style="4" bestFit="1" customWidth="1"/>
    <col min="133" max="133" width="11" style="4" bestFit="1" customWidth="1"/>
    <col min="134" max="134" width="9.5" style="4" bestFit="1" customWidth="1"/>
    <col min="135" max="136" width="9.5" style="4" customWidth="1"/>
    <col min="137" max="137" width="10.5" style="4" bestFit="1" customWidth="1"/>
    <col min="138" max="139" width="14" style="4" customWidth="1"/>
    <col min="140" max="140" width="10.5" style="4" bestFit="1" customWidth="1"/>
    <col min="141" max="141" width="9.5" style="4" bestFit="1" customWidth="1"/>
    <col min="142" max="143" width="10.5" style="4" bestFit="1" customWidth="1"/>
    <col min="144" max="146" width="10.5" style="4" customWidth="1"/>
    <col min="147" max="147" width="9" style="4" bestFit="1" customWidth="1"/>
    <col min="148" max="148" width="10.5" style="4" bestFit="1" customWidth="1"/>
    <col min="149" max="149" width="9.33203125" style="4" bestFit="1" customWidth="1"/>
    <col min="150" max="150" width="11.6640625" style="4" bestFit="1" customWidth="1"/>
    <col min="151" max="151" width="8.5" style="4" bestFit="1" customWidth="1"/>
    <col min="152" max="152" width="9.5" style="4" bestFit="1" customWidth="1"/>
    <col min="153" max="153" width="9.6640625" style="4" bestFit="1" customWidth="1"/>
    <col min="154" max="154" width="11" style="4" bestFit="1" customWidth="1"/>
    <col min="155" max="155" width="9.5" style="4" bestFit="1" customWidth="1"/>
    <col min="156" max="157" width="9.5" style="4" customWidth="1"/>
    <col min="158" max="158" width="11.5" style="4"/>
    <col min="159" max="160" width="14" style="4" bestFit="1" customWidth="1"/>
    <col min="161" max="161" width="10.5" style="4" bestFit="1" customWidth="1"/>
    <col min="162" max="162" width="9.5" style="4" bestFit="1" customWidth="1"/>
    <col min="163" max="164" width="10.5" style="4" bestFit="1" customWidth="1"/>
    <col min="165" max="167" width="10.5" style="4" customWidth="1"/>
    <col min="168" max="168" width="9" style="4" bestFit="1" customWidth="1"/>
    <col min="169" max="169" width="10.5" style="4" bestFit="1" customWidth="1"/>
    <col min="170" max="170" width="9.33203125" style="4" bestFit="1" customWidth="1"/>
    <col min="171" max="171" width="11.6640625" style="4" bestFit="1" customWidth="1"/>
    <col min="172" max="172" width="8.1640625" style="4" bestFit="1" customWidth="1"/>
    <col min="173" max="173" width="9.5" style="4" bestFit="1" customWidth="1"/>
    <col min="174" max="174" width="9.6640625" style="4" bestFit="1" customWidth="1"/>
    <col min="175" max="175" width="11" style="4" bestFit="1" customWidth="1"/>
    <col min="176" max="176" width="9.5" style="4" bestFit="1" customWidth="1"/>
    <col min="177" max="178" width="9.5" style="4" customWidth="1"/>
    <col min="179" max="179" width="10.5" style="4" bestFit="1" customWidth="1"/>
    <col min="180" max="181" width="14" style="4" bestFit="1" customWidth="1"/>
    <col min="182" max="182" width="10.5" style="4" bestFit="1" customWidth="1"/>
    <col min="183" max="183" width="9.5" style="4" bestFit="1" customWidth="1"/>
    <col min="184" max="185" width="10.5" style="4" bestFit="1" customWidth="1"/>
    <col min="186" max="188" width="10.5" style="4" customWidth="1"/>
    <col min="189" max="189" width="9" style="4" bestFit="1" customWidth="1"/>
    <col min="190" max="190" width="10.5" style="4" bestFit="1" customWidth="1"/>
    <col min="191" max="191" width="9.33203125" style="4" bestFit="1" customWidth="1"/>
    <col min="192" max="192" width="11.5" style="4"/>
    <col min="193" max="193" width="8.5" style="4" bestFit="1" customWidth="1"/>
    <col min="194" max="194" width="9.5" style="4" bestFit="1" customWidth="1"/>
    <col min="195" max="195" width="9.6640625" style="4" bestFit="1" customWidth="1"/>
    <col min="196" max="196" width="11" style="4" bestFit="1" customWidth="1"/>
    <col min="197" max="197" width="9.5" style="4" bestFit="1" customWidth="1"/>
    <col min="198" max="199" width="9.5" style="4" customWidth="1"/>
    <col min="200" max="200" width="10.5" style="4" bestFit="1" customWidth="1"/>
    <col min="201" max="201" width="14" style="4" customWidth="1"/>
    <col min="202" max="202" width="14.33203125" style="4" customWidth="1"/>
    <col min="203" max="203" width="10.5" style="4" bestFit="1" customWidth="1"/>
    <col min="204" max="204" width="9.5" style="4" bestFit="1" customWidth="1"/>
    <col min="205" max="206" width="10.5" style="4" bestFit="1" customWidth="1"/>
    <col min="207" max="209" width="10.5" style="4" customWidth="1"/>
    <col min="210" max="210" width="9" style="4" bestFit="1" customWidth="1"/>
    <col min="211" max="211" width="10.5" style="4" bestFit="1" customWidth="1"/>
    <col min="212" max="212" width="9.33203125" style="4" bestFit="1" customWidth="1"/>
    <col min="213" max="213" width="11.6640625" style="4" bestFit="1" customWidth="1"/>
    <col min="214" max="214" width="8.5" style="4" bestFit="1" customWidth="1"/>
    <col min="215" max="215" width="9.5" style="4" bestFit="1" customWidth="1"/>
    <col min="216" max="216" width="9.6640625" style="4" bestFit="1" customWidth="1"/>
    <col min="217" max="217" width="11" style="4" bestFit="1" customWidth="1"/>
    <col min="218" max="218" width="9.5" style="4" bestFit="1" customWidth="1"/>
    <col min="219" max="16384" width="11.5" style="4"/>
  </cols>
  <sheetData>
    <row r="1" spans="1:218" ht="27" thickBot="1" x14ac:dyDescent="0.35">
      <c r="B1" s="277" t="s">
        <v>176</v>
      </c>
      <c r="C1" s="278"/>
      <c r="D1" s="278"/>
      <c r="E1" s="278"/>
      <c r="F1" s="278"/>
      <c r="G1" s="278"/>
      <c r="H1" s="279"/>
      <c r="I1" s="274" t="str">
        <f>IF('Données projet'!$B$9="","",'Données projet'!$B$9)</f>
        <v>Peuplier I-45/51</v>
      </c>
      <c r="J1" s="275"/>
      <c r="K1" s="275"/>
      <c r="L1" s="275"/>
      <c r="M1" s="275"/>
      <c r="N1" s="275"/>
      <c r="O1" s="275"/>
      <c r="P1" s="275"/>
      <c r="Q1" s="275"/>
      <c r="R1" s="275"/>
      <c r="S1" s="275"/>
      <c r="T1" s="275"/>
      <c r="U1" s="275"/>
      <c r="V1" s="275"/>
      <c r="W1" s="275"/>
      <c r="X1" s="275"/>
      <c r="Y1" s="275"/>
      <c r="Z1" s="275"/>
      <c r="AA1" s="275"/>
      <c r="AB1" s="275"/>
      <c r="AC1" s="276"/>
      <c r="AD1" s="275" t="str">
        <f>IF('Données projet'!$B$10="","",'Données projet'!$B$10)</f>
        <v>Peuplier I-45/51</v>
      </c>
      <c r="AE1" s="275"/>
      <c r="AF1" s="275"/>
      <c r="AG1" s="275"/>
      <c r="AH1" s="275"/>
      <c r="AI1" s="275"/>
      <c r="AJ1" s="275"/>
      <c r="AK1" s="275"/>
      <c r="AL1" s="275"/>
      <c r="AM1" s="275"/>
      <c r="AN1" s="275"/>
      <c r="AO1" s="275"/>
      <c r="AP1" s="275"/>
      <c r="AQ1" s="275"/>
      <c r="AR1" s="275"/>
      <c r="AS1" s="275"/>
      <c r="AT1" s="275"/>
      <c r="AU1" s="275"/>
      <c r="AV1" s="275"/>
      <c r="AW1" s="275"/>
      <c r="AX1" s="276"/>
      <c r="AY1" s="274" t="str">
        <f>IF('Données projet'!$B$11="","",'Données projet'!$B$11)</f>
        <v>Chêne sessile</v>
      </c>
      <c r="AZ1" s="275"/>
      <c r="BA1" s="275"/>
      <c r="BB1" s="275"/>
      <c r="BC1" s="275"/>
      <c r="BD1" s="275"/>
      <c r="BE1" s="275"/>
      <c r="BF1" s="275"/>
      <c r="BG1" s="275"/>
      <c r="BH1" s="275"/>
      <c r="BI1" s="275"/>
      <c r="BJ1" s="275"/>
      <c r="BK1" s="275"/>
      <c r="BL1" s="275"/>
      <c r="BM1" s="275"/>
      <c r="BN1" s="275"/>
      <c r="BO1" s="275"/>
      <c r="BP1" s="275"/>
      <c r="BQ1" s="275"/>
      <c r="BR1" s="275"/>
      <c r="BS1" s="276"/>
      <c r="BT1" s="274" t="str">
        <f>IF('Données projet'!$B$12="","",'Données projet'!$B$12)</f>
        <v>Chêne chevelu</v>
      </c>
      <c r="BU1" s="275"/>
      <c r="BV1" s="275"/>
      <c r="BW1" s="275"/>
      <c r="BX1" s="275"/>
      <c r="BY1" s="275"/>
      <c r="BZ1" s="275"/>
      <c r="CA1" s="275"/>
      <c r="CB1" s="275"/>
      <c r="CC1" s="275"/>
      <c r="CD1" s="275"/>
      <c r="CE1" s="275"/>
      <c r="CF1" s="275"/>
      <c r="CG1" s="275"/>
      <c r="CH1" s="275"/>
      <c r="CI1" s="275"/>
      <c r="CJ1" s="275"/>
      <c r="CK1" s="275"/>
      <c r="CL1" s="275"/>
      <c r="CM1" s="275"/>
      <c r="CN1" s="276"/>
      <c r="CO1" s="274" t="str">
        <f>IF('Données projet'!$B$13="","",'Données projet'!$B$13)</f>
        <v>Chêne pubescent</v>
      </c>
      <c r="CP1" s="275"/>
      <c r="CQ1" s="275"/>
      <c r="CR1" s="275"/>
      <c r="CS1" s="275"/>
      <c r="CT1" s="275"/>
      <c r="CU1" s="275"/>
      <c r="CV1" s="275"/>
      <c r="CW1" s="275"/>
      <c r="CX1" s="275"/>
      <c r="CY1" s="275"/>
      <c r="CZ1" s="275"/>
      <c r="DA1" s="275"/>
      <c r="DB1" s="275"/>
      <c r="DC1" s="275"/>
      <c r="DD1" s="275"/>
      <c r="DE1" s="275"/>
      <c r="DF1" s="275"/>
      <c r="DG1" s="275"/>
      <c r="DH1" s="275"/>
      <c r="DI1" s="276"/>
      <c r="DJ1" s="274" t="str">
        <f>IF('Données projet'!$B$14="","",'Données projet'!$B$14)</f>
        <v/>
      </c>
      <c r="DK1" s="275"/>
      <c r="DL1" s="275"/>
      <c r="DM1" s="275"/>
      <c r="DN1" s="275"/>
      <c r="DO1" s="275"/>
      <c r="DP1" s="275"/>
      <c r="DQ1" s="275"/>
      <c r="DR1" s="275"/>
      <c r="DS1" s="275"/>
      <c r="DT1" s="275"/>
      <c r="DU1" s="275"/>
      <c r="DV1" s="275"/>
      <c r="DW1" s="275"/>
      <c r="DX1" s="275"/>
      <c r="DY1" s="275"/>
      <c r="DZ1" s="275"/>
      <c r="EA1" s="275"/>
      <c r="EB1" s="275"/>
      <c r="EC1" s="275"/>
      <c r="ED1" s="276"/>
      <c r="EE1" s="274" t="str">
        <f>IF('Données projet'!$B$15="","",'Données projet'!$B$15)</f>
        <v/>
      </c>
      <c r="EF1" s="275"/>
      <c r="EG1" s="275"/>
      <c r="EH1" s="275"/>
      <c r="EI1" s="275"/>
      <c r="EJ1" s="275"/>
      <c r="EK1" s="275"/>
      <c r="EL1" s="275"/>
      <c r="EM1" s="275"/>
      <c r="EN1" s="275"/>
      <c r="EO1" s="275"/>
      <c r="EP1" s="275"/>
      <c r="EQ1" s="275"/>
      <c r="ER1" s="275"/>
      <c r="ES1" s="275"/>
      <c r="ET1" s="275"/>
      <c r="EU1" s="275"/>
      <c r="EV1" s="275"/>
      <c r="EW1" s="275"/>
      <c r="EX1" s="275"/>
      <c r="EY1" s="276"/>
      <c r="EZ1" s="274" t="str">
        <f>IF('Données projet'!$B$16="","",'Données projet'!$B$16)</f>
        <v/>
      </c>
      <c r="FA1" s="275"/>
      <c r="FB1" s="275"/>
      <c r="FC1" s="275"/>
      <c r="FD1" s="275"/>
      <c r="FE1" s="275"/>
      <c r="FF1" s="275"/>
      <c r="FG1" s="275"/>
      <c r="FH1" s="275"/>
      <c r="FI1" s="275"/>
      <c r="FJ1" s="275"/>
      <c r="FK1" s="275"/>
      <c r="FL1" s="275"/>
      <c r="FM1" s="275"/>
      <c r="FN1" s="275"/>
      <c r="FO1" s="275"/>
      <c r="FP1" s="275"/>
      <c r="FQ1" s="275"/>
      <c r="FR1" s="275"/>
      <c r="FS1" s="275"/>
      <c r="FT1" s="276"/>
      <c r="FU1" s="274" t="str">
        <f>IF('Données projet'!$B$17="","",'Données projet'!$B$17)</f>
        <v/>
      </c>
      <c r="FV1" s="275"/>
      <c r="FW1" s="275"/>
      <c r="FX1" s="275"/>
      <c r="FY1" s="275"/>
      <c r="FZ1" s="275"/>
      <c r="GA1" s="275"/>
      <c r="GB1" s="275"/>
      <c r="GC1" s="275"/>
      <c r="GD1" s="275"/>
      <c r="GE1" s="275"/>
      <c r="GF1" s="275"/>
      <c r="GG1" s="275"/>
      <c r="GH1" s="275"/>
      <c r="GI1" s="275"/>
      <c r="GJ1" s="275"/>
      <c r="GK1" s="275"/>
      <c r="GL1" s="275"/>
      <c r="GM1" s="275"/>
      <c r="GN1" s="275"/>
      <c r="GO1" s="276"/>
      <c r="GP1" s="274" t="str">
        <f>IF('Données projet'!$B$18="","",'Données projet'!$B$18)</f>
        <v/>
      </c>
      <c r="GQ1" s="275"/>
      <c r="GR1" s="275"/>
      <c r="GS1" s="275"/>
      <c r="GT1" s="275"/>
      <c r="GU1" s="275"/>
      <c r="GV1" s="275"/>
      <c r="GW1" s="275"/>
      <c r="GX1" s="275"/>
      <c r="GY1" s="275"/>
      <c r="GZ1" s="275"/>
      <c r="HA1" s="275"/>
      <c r="HB1" s="275"/>
      <c r="HC1" s="275"/>
      <c r="HD1" s="275"/>
      <c r="HE1" s="275"/>
      <c r="HF1" s="275"/>
      <c r="HG1" s="275"/>
      <c r="HH1" s="275"/>
      <c r="HI1" s="275"/>
      <c r="HJ1" s="276"/>
    </row>
    <row r="2" spans="1:218" ht="65" thickBot="1" x14ac:dyDescent="0.25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2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256.66666666666669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256.66666666666669</v>
      </c>
      <c r="S3" s="59">
        <f ca="1">AVERAGE(OFFSET($R$3,0,0,'Données projet'!$E$9+1,1))-AVERAGE(OFFSET($H$3,0,0,'Données projet'!$E$9+1,1))</f>
        <v>101.15586831191774</v>
      </c>
      <c r="T3" s="59">
        <f>IF('Données projet'!E9&gt;30,$R$33-$H$33,LOOKUP('Données projet'!$E$9,$A$3:$A$203,R3:R203)-LOOKUP('Données projet'!$E$9,$A$3:$A$203,$H$3:$H$203))</f>
        <v>346.96347336689064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256.66666666666669</v>
      </c>
      <c r="AN3" s="59">
        <f ca="1">AVERAGE(OFFSET($AM$3,0,0,'Données projet'!$E$10+1,1))-AVERAGE(OFFSET($H$3,0,0,'Données projet'!$E$10+1,1))</f>
        <v>101.15586831191774</v>
      </c>
      <c r="AO3" s="59">
        <f>IF('Données projet'!E10&gt;30,$AM$33-$H$33,LOOKUP('Données projet'!$E$10,$A$3:$A$203,AM3:AM203)-LOOKUP('Données projet'!$E$10,$A$3:$A$203,$H$3:$H$203))</f>
        <v>346.96347336689064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256.66666666666669</v>
      </c>
      <c r="BI3" s="59">
        <f ca="1">AVERAGE(OFFSET($BH$3,0,0,'Données projet'!$E$11+1,1))-AVERAGE(OFFSET($H$3,0,0,'Données projet'!$E$11+1,1))</f>
        <v>352.62747127358324</v>
      </c>
      <c r="BJ3" s="59">
        <f>IF('Données projet'!E11&gt;30,$BH$33-$H$33,LOOKUP('Données projet'!$E$11,$A$3:$A$203,BH3:BH203)-LOOKUP('Données projet'!$E$11,$A$3:$A$203,$H$3:$H$203))</f>
        <v>283.16932763435011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256.66666666666669</v>
      </c>
      <c r="CD3" s="59">
        <f ca="1">AVERAGE(OFFSET($CC$3,0,0,'Données projet'!$E$12+1,1))-AVERAGE(OFFSET($H$3,0,0,'Données projet'!$E$12+1,1))</f>
        <v>423.49657671419374</v>
      </c>
      <c r="CE3" s="59">
        <f>IF('Données projet'!E12&gt;30,$CC$33-$H$33,LOOKUP('Données projet'!$E$12,$A$3:$A$203,CC3:CC203)-LOOKUP('Données projet'!$E$12,$A$3:$A$203,$H$3:$H$203))</f>
        <v>329.6783569381081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9">
        <f>CW3+(CO3+CP3)*44/12</f>
        <v>256.66666666666669</v>
      </c>
      <c r="CY3" s="59">
        <f ca="1">AVERAGE(OFFSET($CX$3,0,0,'Données projet'!$E$13+1,1))-AVERAGE(OFFSET($H$3,0,0,'Données projet'!$E$13+1,1))</f>
        <v>407.76560346703042</v>
      </c>
      <c r="CZ3" s="59">
        <f>IF('Données projet'!E13&gt;30,$CX$33-$H$33,LOOKUP('Données projet'!$E$13,$A$3:$A$203,CX3:CX203)-LOOKUP('Données projet'!$E$13,$A$3:$A$203,$H$3:$H$203))</f>
        <v>319.35531375725202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2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0.88919999999999999</v>
      </c>
      <c r="D4" s="11">
        <f>IFERROR(EXP(-1.0587+0.8836*LN(C4)+0.284),0)</f>
        <v>0.41542055579923082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10.07075516757301</v>
      </c>
      <c r="H4" s="67">
        <f t="shared" ref="H4:H67" si="1">(B4+E4+F4)*44/12+(C4+D4)*0.475*44/12</f>
        <v>258.93888080135036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1</v>
      </c>
      <c r="N4" s="13">
        <f>IF('Données projet'!$A$36&gt;35,N3+M4-V3,IF(A4&lt;'Données projet'!$A$36,$K$205^A4,IF(A4='Données projet'!$A$36,'Données projet'!$B$36,N3+M4-V3)))</f>
        <v>1.2968395546510096</v>
      </c>
      <c r="O4" s="13">
        <f>N4*VLOOKUP('Données projet'!$B$9,Paramètres!$A$1:$I$89,3,0)*VLOOKUP('Données projet'!$B$9,Paramètres!$A$1:$I$89,5,0)</f>
        <v>0.66356686332382864</v>
      </c>
      <c r="P4" s="13">
        <f>EXP(-1.0587+0.8836*LN(O4)+0.284)</f>
        <v>0.32075200318339342</v>
      </c>
      <c r="Q4" s="20">
        <f t="shared" ref="Q4:Q34" si="2">(O4+P4)*0.475*44/12</f>
        <v>1.7143553591667449</v>
      </c>
      <c r="R4" s="59">
        <f t="shared" si="0"/>
        <v>259.6032442480556</v>
      </c>
      <c r="S4" s="59">
        <f ca="1">AVERAGE(OFFSET($R$3,0,0,'Données projet'!$E$9+1,1))-AVERAGE(OFFSET($H$3,0,0,'Données projet'!$E$9+1,1))</f>
        <v>101.15586831191774</v>
      </c>
      <c r="T4" s="59">
        <f>$T$3</f>
        <v>346.96347336689064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1</v>
      </c>
      <c r="AI4" s="13">
        <f>IF('Données projet'!$A$62&gt;35,AI3+AH4-AQ3,IF(A4&lt;'Données projet'!$A$62,$AF$205^A4,IF(A4='Données projet'!$A$62,'Données projet'!$B$62,AI3+AH4-AQ3)))</f>
        <v>1.2968395546510096</v>
      </c>
      <c r="AJ4" s="13">
        <f>AI4*VLOOKUP('Données projet'!$B$10,Paramètres!$A$1:$I$89,3,0)*VLOOKUP('Données projet'!$B$10,Paramètres!$A$1:$I$89,5,0)</f>
        <v>0.66356686332382864</v>
      </c>
      <c r="AK4" s="13">
        <f>EXP(-1.0587+0.8836*LN(AJ4)+0.284)</f>
        <v>0.32075200318339342</v>
      </c>
      <c r="AL4" s="20">
        <f t="shared" ref="AL4:AL67" si="4">(AJ4+AK4)*0.475*44/12</f>
        <v>1.7143553591667449</v>
      </c>
      <c r="AM4" s="59">
        <f t="shared" ref="AM4:AM67" si="5">AL4+(AD4+AE4)*44/12</f>
        <v>259.6032442480556</v>
      </c>
      <c r="AN4" s="59">
        <f ca="1">AVERAGE(OFFSET($AM$3,0,0,'Données projet'!$E$10+1,1))-AVERAGE(OFFSET($H$3,0,0,'Données projet'!$E$10+1,1))</f>
        <v>101.15586831191774</v>
      </c>
      <c r="AO4" s="59">
        <f>$AO$3</f>
        <v>346.96347336689064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3.65</v>
      </c>
      <c r="BD4" s="12">
        <f>IF('Données projet'!$A$88&gt;35,BD3+BC4-BL3,IF(A4&lt;'Données projet'!$A$88,$BA$205^A4,IF(A4='Données projet'!$A$88,'Données projet'!$B$88,BD3+BC4-BL3)))</f>
        <v>1.2392705892426346</v>
      </c>
      <c r="BE4" s="13">
        <f>BD4*VLOOKUP('Données projet'!$B$11,Paramètres!$A$1:$I$89,3,0)*VLOOKUP('Données projet'!$B$11,Paramètres!$A$1:$I$89,5,0)</f>
        <v>1.1212920291467359</v>
      </c>
      <c r="BF4" s="13">
        <f>EXP(-1.0587+0.8836*LN(BE4)+0.284)</f>
        <v>0.50989827066551541</v>
      </c>
      <c r="BG4" s="20">
        <f t="shared" ref="BG4:BG67" si="7">(BE4+BF4)*0.475*44/12</f>
        <v>2.8409897721730037</v>
      </c>
      <c r="BH4" s="59">
        <f t="shared" ref="BH4:BH67" si="8">BG4+(AY4+AZ4)*44/12</f>
        <v>260.72987866106189</v>
      </c>
      <c r="BI4" s="59">
        <f ca="1">AVERAGE(OFFSET($BH$3,0,0,'Données projet'!$E$11+1,1))-AVERAGE(OFFSET($H$3,0,0,'Données projet'!$E$11+1,1))</f>
        <v>352.62747127358324</v>
      </c>
      <c r="BJ4" s="59">
        <f>$BJ$3</f>
        <v>283.16932763435011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3.65</v>
      </c>
      <c r="BY4" s="12">
        <f>IF('Données projet'!$A$114&gt;35,BY3+BX4-CG3,IF(A4&lt;'Données projet'!$A$114,$BV$205^A4,IF(A4='Données projet'!$A$114,'Données projet'!$B$114,BY3+BX4-CG3)))</f>
        <v>1.2392705892426346</v>
      </c>
      <c r="BZ4" s="13">
        <f>BY4*VLOOKUP('Données projet'!$B$12,Paramètres!$A$1:$I$89,3,0)*VLOOKUP('Données projet'!$B$12,Paramètres!$A$1:$I$89,5,0)</f>
        <v>1.2952856198764018</v>
      </c>
      <c r="CA4" s="13">
        <f>EXP(-1.0587+0.8836*LN(BZ4)+0.284)</f>
        <v>0.57921294517312394</v>
      </c>
      <c r="CB4" s="20">
        <f t="shared" ref="CB4:CB67" si="10">(BZ4+CA4)*0.475*44/12</f>
        <v>3.2647516674612578</v>
      </c>
      <c r="CC4" s="59">
        <f t="shared" ref="CC4:CC67" si="11">CB4+(BT4+BU4)*44/12</f>
        <v>261.15364055635013</v>
      </c>
      <c r="CD4" s="59">
        <f ca="1">AVERAGE(OFFSET($CC$3,0,0,'Données projet'!$E$12+1,1))-AVERAGE(OFFSET($H$3,0,0,'Données projet'!$E$12+1,1))</f>
        <v>423.49657671419374</v>
      </c>
      <c r="CE4" s="59">
        <f>$CE$3</f>
        <v>329.6783569381081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3.65</v>
      </c>
      <c r="CT4" s="12">
        <f>IF('Données projet'!$A$140&gt;35,CT3+CS4-DB3,IF(A4&lt;'Données projet'!$A$140,$CQ$205^A4,IF(A4='Données projet'!$A$140,'Données projet'!$B$140,CT3+CS4-DB3)))</f>
        <v>1.2392705892426346</v>
      </c>
      <c r="CU4" s="17">
        <f>CT4*VLOOKUP('Données projet'!$B$13,Paramètres!$A$1:$I$89,3,0)*VLOOKUP('Données projet'!$B$13,Paramètres!$A$1:$I$89,5,0)</f>
        <v>1.2566203774920315</v>
      </c>
      <c r="CV4" s="13">
        <f>EXP(-1.0587+0.8836*LN(CU4)+0.284)</f>
        <v>0.56390871417545174</v>
      </c>
      <c r="CW4" s="20">
        <f t="shared" ref="CW4:CW67" si="13">(CU4+CV4)*0.475*44/12</f>
        <v>3.1707548346542</v>
      </c>
      <c r="CX4" s="59">
        <f t="shared" ref="CX4:CX67" si="14">CW4+(CO4+CP4)*44/12</f>
        <v>261.05964372354305</v>
      </c>
      <c r="CY4" s="59">
        <f ca="1">AVERAGE(OFFSET($CX$3,0,0,'Données projet'!$E$13+1,1))-AVERAGE(OFFSET($H$3,0,0,'Données projet'!$E$13+1,1))</f>
        <v>407.76560346703042</v>
      </c>
      <c r="CZ4" s="59">
        <f>$CZ$3</f>
        <v>319.35531375725202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2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1.7784</v>
      </c>
      <c r="D5" s="11">
        <f t="shared" ref="D5:D68" si="32">IFERROR(EXP(-1.0587+0.8836*LN(C5)+0.284),0)</f>
        <v>0.76643986660078545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19.644377917620098</v>
      </c>
      <c r="H5" s="67">
        <f t="shared" si="1"/>
        <v>261.0989294343297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1</v>
      </c>
      <c r="N5" s="13">
        <f>IF('Données projet'!$A$36&gt;35,N4+M5-V4,IF(A5&lt;'Données projet'!$A$36,$K$205^A5,IF(A5='Données projet'!$A$36,'Données projet'!$B$36,N4+M5-V4)))</f>
        <v>1.681792830507429</v>
      </c>
      <c r="O5" s="13">
        <f>N5*VLOOKUP('Données projet'!$B$9,Paramètres!$A$1:$I$89,3,0)*VLOOKUP('Données projet'!$B$9,Paramètres!$A$1:$I$89,5,0)</f>
        <v>0.86053975551404138</v>
      </c>
      <c r="P5" s="13">
        <f t="shared" ref="P5:P68" si="33">EXP(-1.0587+0.8836*LN(O5)+0.284)</f>
        <v>0.40356701858496602</v>
      </c>
      <c r="Q5" s="20">
        <f t="shared" si="2"/>
        <v>2.201652631555771</v>
      </c>
      <c r="R5" s="59">
        <f t="shared" si="0"/>
        <v>261.3127637426669</v>
      </c>
      <c r="S5" s="59">
        <f ca="1">AVERAGE(OFFSET($R$3,0,0,'Données projet'!$E$9+1,1))-AVERAGE(OFFSET($H$3,0,0,'Données projet'!$E$9+1,1))</f>
        <v>101.15586831191774</v>
      </c>
      <c r="T5" s="59">
        <f t="shared" ref="T5:T68" si="34">$T$3</f>
        <v>346.96347336689064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1</v>
      </c>
      <c r="AI5" s="13">
        <f>IF('Données projet'!$A$62&gt;35,AI4+AH5-AQ4,IF(A5&lt;'Données projet'!$A$62,$AF$205^A5,IF(A5='Données projet'!$A$62,'Données projet'!$B$62,AI4+AH5-AQ4)))</f>
        <v>1.681792830507429</v>
      </c>
      <c r="AJ5" s="13">
        <f>AI5*VLOOKUP('Données projet'!$B$10,Paramètres!$A$1:$I$89,3,0)*VLOOKUP('Données projet'!$B$10,Paramètres!$A$1:$I$89,5,0)</f>
        <v>0.86053975551404138</v>
      </c>
      <c r="AK5" s="13">
        <f t="shared" ref="AK5:AK68" si="35">EXP(-1.0587+0.8836*LN(AJ5)+0.284)</f>
        <v>0.40356701858496602</v>
      </c>
      <c r="AL5" s="20">
        <f t="shared" si="4"/>
        <v>2.201652631555771</v>
      </c>
      <c r="AM5" s="59">
        <f t="shared" si="5"/>
        <v>261.3127637426669</v>
      </c>
      <c r="AN5" s="59">
        <f ca="1">AVERAGE(OFFSET($AM$3,0,0,'Données projet'!$E$10+1,1))-AVERAGE(OFFSET($H$3,0,0,'Données projet'!$E$10+1,1))</f>
        <v>101.15586831191774</v>
      </c>
      <c r="AO5" s="59">
        <f t="shared" ref="AO5:AO68" si="36">$AO$3</f>
        <v>346.96347336689064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3.65</v>
      </c>
      <c r="BD5" s="12">
        <f>IF('Données projet'!$A$88&gt;35,BD4+BC5-BL4,IF(A5&lt;'Données projet'!$A$88,$BA$205^A5,IF(A5='Données projet'!$A$88,'Données projet'!$B$88,BD4+BC5-BL4)))</f>
        <v>1.5357915933617867</v>
      </c>
      <c r="BE5" s="13">
        <f>BD5*VLOOKUP('Données projet'!$B$11,Paramètres!$A$1:$I$89,3,0)*VLOOKUP('Données projet'!$B$11,Paramètres!$A$1:$I$89,5,0)</f>
        <v>1.3895842336737447</v>
      </c>
      <c r="BF5" s="13">
        <f t="shared" ref="BF5:BF68" si="37">EXP(-1.0587+0.8836*LN(BE5)+0.284)</f>
        <v>0.61631841327304715</v>
      </c>
      <c r="BG5" s="20">
        <f t="shared" si="7"/>
        <v>3.4936137767656628</v>
      </c>
      <c r="BH5" s="59">
        <f t="shared" si="8"/>
        <v>262.60472488787678</v>
      </c>
      <c r="BI5" s="59">
        <f ca="1">AVERAGE(OFFSET($BH$3,0,0,'Données projet'!$E$11+1,1))-AVERAGE(OFFSET($H$3,0,0,'Données projet'!$E$11+1,1))</f>
        <v>352.62747127358324</v>
      </c>
      <c r="BJ5" s="59">
        <f t="shared" ref="BJ5:BJ68" si="38">$BJ$3</f>
        <v>283.16932763435011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3.65</v>
      </c>
      <c r="BY5" s="12">
        <f>IF('Données projet'!$A$114&gt;35,BY4+BX5-CG4,IF(A5&lt;'Données projet'!$A$114,$BV$205^A5,IF(A5='Données projet'!$A$114,'Données projet'!$B$114,BY4+BX5-CG4)))</f>
        <v>1.5357915933617867</v>
      </c>
      <c r="BZ5" s="13">
        <f>BY5*VLOOKUP('Données projet'!$B$12,Paramètres!$A$1:$I$89,3,0)*VLOOKUP('Données projet'!$B$12,Paramètres!$A$1:$I$89,5,0)</f>
        <v>1.6052093733817396</v>
      </c>
      <c r="CA5" s="13">
        <f t="shared" ref="CA5:CA68" si="39">EXP(-1.0587+0.8836*LN(BZ5)+0.284)</f>
        <v>0.70009965487896453</v>
      </c>
      <c r="CB5" s="20">
        <f t="shared" si="10"/>
        <v>4.0150798908873933</v>
      </c>
      <c r="CC5" s="59">
        <f t="shared" si="11"/>
        <v>263.12619100199856</v>
      </c>
      <c r="CD5" s="59">
        <f ca="1">AVERAGE(OFFSET($CC$3,0,0,'Données projet'!$E$12+1,1))-AVERAGE(OFFSET($H$3,0,0,'Données projet'!$E$12+1,1))</f>
        <v>423.49657671419374</v>
      </c>
      <c r="CE5" s="59">
        <f t="shared" ref="CE5:CE68" si="40">$CE$3</f>
        <v>329.6783569381081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3.65</v>
      </c>
      <c r="CT5" s="12">
        <f>IF('Données projet'!$A$140&gt;35,CT4+CS5-DB4,IF(A5&lt;'Données projet'!$A$140,$CQ$205^A5,IF(A5='Données projet'!$A$140,'Données projet'!$B$140,CT4+CS5-DB4)))</f>
        <v>1.5357915933617867</v>
      </c>
      <c r="CU5" s="17">
        <f>CT5*VLOOKUP('Données projet'!$B$13,Paramètres!$A$1:$I$89,3,0)*VLOOKUP('Données projet'!$B$13,Paramètres!$A$1:$I$89,5,0)</f>
        <v>1.5572926756688519</v>
      </c>
      <c r="CV5" s="13">
        <f t="shared" ref="CV5:CV68" si="41">EXP(-1.0587+0.8836*LN(CU5)+0.284)</f>
        <v>0.68160129960402205</v>
      </c>
      <c r="CW5" s="20">
        <f t="shared" si="13"/>
        <v>3.8994070069335893</v>
      </c>
      <c r="CX5" s="59">
        <f t="shared" si="14"/>
        <v>263.01051811804473</v>
      </c>
      <c r="CY5" s="59">
        <f ca="1">AVERAGE(OFFSET($CX$3,0,0,'Données projet'!$E$13+1,1))-AVERAGE(OFFSET($H$3,0,0,'Données projet'!$E$13+1,1))</f>
        <v>407.76560346703042</v>
      </c>
      <c r="CZ5" s="59">
        <f t="shared" ref="CZ5:CZ68" si="42">$CZ$3</f>
        <v>319.35531375725202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2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2.6676000000000002</v>
      </c>
      <c r="D6" s="11">
        <f t="shared" si="32"/>
        <v>1.0966608080083624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29.057451851292623</v>
      </c>
      <c r="H6" s="67">
        <f t="shared" si="1"/>
        <v>263.22275424061456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1</v>
      </c>
      <c r="N6" s="13">
        <f>IF('Données projet'!$A$36&gt;35,N5+M6-V5,IF(A6&lt;'Données projet'!$A$36,$K$205^A6,IF(A6='Données projet'!$A$36,'Données projet'!$B$36,N5+M6-V5)))</f>
        <v>2.1810154653305154</v>
      </c>
      <c r="O6" s="13">
        <f>N6*VLOOKUP('Données projet'!$B$9,Paramètres!$A$1:$I$89,3,0)*VLOOKUP('Données projet'!$B$9,Paramètres!$A$1:$I$89,5,0)</f>
        <v>1.1159819933003183</v>
      </c>
      <c r="P6" s="13">
        <f t="shared" si="33"/>
        <v>0.50776405719417372</v>
      </c>
      <c r="Q6" s="20">
        <f t="shared" si="2"/>
        <v>2.8280243712779067</v>
      </c>
      <c r="R6" s="59">
        <f t="shared" si="0"/>
        <v>263.16135770461125</v>
      </c>
      <c r="S6" s="59">
        <f ca="1">AVERAGE(OFFSET($R$3,0,0,'Données projet'!$E$9+1,1))-AVERAGE(OFFSET($H$3,0,0,'Données projet'!$E$9+1,1))</f>
        <v>101.15586831191774</v>
      </c>
      <c r="T6" s="59">
        <f t="shared" si="34"/>
        <v>346.96347336689064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1</v>
      </c>
      <c r="AI6" s="13">
        <f>IF('Données projet'!$A$62&gt;35,AI5+AH6-AQ5,IF(A6&lt;'Données projet'!$A$62,$AF$205^A6,IF(A6='Données projet'!$A$62,'Données projet'!$B$62,AI5+AH6-AQ5)))</f>
        <v>2.1810154653305154</v>
      </c>
      <c r="AJ6" s="13">
        <f>AI6*VLOOKUP('Données projet'!$B$10,Paramètres!$A$1:$I$89,3,0)*VLOOKUP('Données projet'!$B$10,Paramètres!$A$1:$I$89,5,0)</f>
        <v>1.1159819933003183</v>
      </c>
      <c r="AK6" s="13">
        <f t="shared" si="35"/>
        <v>0.50776405719417372</v>
      </c>
      <c r="AL6" s="20">
        <f t="shared" si="4"/>
        <v>2.8280243712779067</v>
      </c>
      <c r="AM6" s="59">
        <f t="shared" si="5"/>
        <v>263.16135770461125</v>
      </c>
      <c r="AN6" s="59">
        <f ca="1">AVERAGE(OFFSET($AM$3,0,0,'Données projet'!$E$10+1,1))-AVERAGE(OFFSET($H$3,0,0,'Données projet'!$E$10+1,1))</f>
        <v>101.15586831191774</v>
      </c>
      <c r="AO6" s="59">
        <f t="shared" si="36"/>
        <v>346.96347336689064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3.65</v>
      </c>
      <c r="BD6" s="12">
        <f>IF('Données projet'!$A$88&gt;35,BD5+BC6-BL5,IF(A6&lt;'Données projet'!$A$88,$BA$205^A6,IF(A6='Données projet'!$A$88,'Données projet'!$B$88,BD5+BC6-BL5)))</f>
        <v>1.9032613528593461</v>
      </c>
      <c r="BE6" s="13">
        <f>BD6*VLOOKUP('Données projet'!$B$11,Paramètres!$A$1:$I$89,3,0)*VLOOKUP('Données projet'!$B$11,Paramètres!$A$1:$I$89,5,0)</f>
        <v>1.7220708720671365</v>
      </c>
      <c r="BF6" s="13">
        <f t="shared" si="37"/>
        <v>0.74494935243383209</v>
      </c>
      <c r="BG6" s="20">
        <f t="shared" si="7"/>
        <v>4.2967268910058536</v>
      </c>
      <c r="BH6" s="59">
        <f t="shared" si="8"/>
        <v>264.63006022433916</v>
      </c>
      <c r="BI6" s="59">
        <f ca="1">AVERAGE(OFFSET($BH$3,0,0,'Données projet'!$E$11+1,1))-AVERAGE(OFFSET($H$3,0,0,'Données projet'!$E$11+1,1))</f>
        <v>352.62747127358324</v>
      </c>
      <c r="BJ6" s="59">
        <f t="shared" si="38"/>
        <v>283.16932763435011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3.65</v>
      </c>
      <c r="BY6" s="12">
        <f>IF('Données projet'!$A$114&gt;35,BY5+BX6-CG5,IF(A6&lt;'Données projet'!$A$114,$BV$205^A6,IF(A6='Données projet'!$A$114,'Données projet'!$B$114,BY5+BX6-CG5)))</f>
        <v>1.9032613528593461</v>
      </c>
      <c r="BZ6" s="13">
        <f>BY6*VLOOKUP('Données projet'!$B$12,Paramètres!$A$1:$I$89,3,0)*VLOOKUP('Données projet'!$B$12,Paramètres!$A$1:$I$89,5,0)</f>
        <v>1.9892887660085887</v>
      </c>
      <c r="CA6" s="13">
        <f t="shared" si="39"/>
        <v>0.84621645777468746</v>
      </c>
      <c r="CB6" s="20">
        <f t="shared" si="10"/>
        <v>4.9385049314225391</v>
      </c>
      <c r="CC6" s="59">
        <f t="shared" si="11"/>
        <v>265.27183826475584</v>
      </c>
      <c r="CD6" s="59">
        <f ca="1">AVERAGE(OFFSET($CC$3,0,0,'Données projet'!$E$12+1,1))-AVERAGE(OFFSET($H$3,0,0,'Données projet'!$E$12+1,1))</f>
        <v>423.49657671419374</v>
      </c>
      <c r="CE6" s="59">
        <f t="shared" si="40"/>
        <v>329.6783569381081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3.65</v>
      </c>
      <c r="CT6" s="12">
        <f>IF('Données projet'!$A$140&gt;35,CT5+CS6-DB5,IF(A6&lt;'Données projet'!$A$140,$CQ$205^A6,IF(A6='Données projet'!$A$140,'Données projet'!$B$140,CT5+CS6-DB5)))</f>
        <v>1.9032613528593461</v>
      </c>
      <c r="CU6" s="17">
        <f>CT6*VLOOKUP('Données projet'!$B$13,Paramètres!$A$1:$I$89,3,0)*VLOOKUP('Données projet'!$B$13,Paramètres!$A$1:$I$89,5,0)</f>
        <v>1.9299070117993768</v>
      </c>
      <c r="CV6" s="13">
        <f t="shared" si="41"/>
        <v>0.82385733708903885</v>
      </c>
      <c r="CW6" s="20">
        <f t="shared" si="13"/>
        <v>4.7961395743139903</v>
      </c>
      <c r="CX6" s="59">
        <f t="shared" si="14"/>
        <v>265.12947290764731</v>
      </c>
      <c r="CY6" s="59">
        <f ca="1">AVERAGE(OFFSET($CX$3,0,0,'Données projet'!$E$13+1,1))-AVERAGE(OFFSET($H$3,0,0,'Données projet'!$E$13+1,1))</f>
        <v>407.76560346703042</v>
      </c>
      <c r="CZ6" s="59">
        <f t="shared" si="42"/>
        <v>319.35531375725202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2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3.5568</v>
      </c>
      <c r="D7" s="11">
        <f t="shared" si="32"/>
        <v>1.4140611505968179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38.37155975899298</v>
      </c>
      <c r="H7" s="67">
        <f t="shared" si="1"/>
        <v>265.32424983728947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1</v>
      </c>
      <c r="N7" s="13">
        <f>IF('Données projet'!$A$36&gt;35,N6+M7-V6,IF(A7&lt;'Données projet'!$A$36,$K$205^A7,IF(A7='Données projet'!$A$36,'Données projet'!$B$36,N6+M7-V6)))</f>
        <v>2.8284271247461898</v>
      </c>
      <c r="O7" s="13">
        <f>N7*VLOOKUP('Données projet'!$B$9,Paramètres!$A$1:$I$89,3,0)*VLOOKUP('Données projet'!$B$9,Paramètres!$A$1:$I$89,5,0)</f>
        <v>1.4472495911901304</v>
      </c>
      <c r="P7" s="13">
        <f t="shared" si="33"/>
        <v>0.63886374729605466</v>
      </c>
      <c r="Q7" s="20">
        <f t="shared" si="2"/>
        <v>3.6333140645301047</v>
      </c>
      <c r="R7" s="59">
        <f t="shared" si="0"/>
        <v>265.18886962008565</v>
      </c>
      <c r="S7" s="59">
        <f ca="1">AVERAGE(OFFSET($R$3,0,0,'Données projet'!$E$9+1,1))-AVERAGE(OFFSET($H$3,0,0,'Données projet'!$E$9+1,1))</f>
        <v>101.15586831191774</v>
      </c>
      <c r="T7" s="59">
        <f t="shared" si="34"/>
        <v>346.96347336689064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1</v>
      </c>
      <c r="AI7" s="13">
        <f>IF('Données projet'!$A$62&gt;35,AI6+AH7-AQ6,IF(A7&lt;'Données projet'!$A$62,$AF$205^A7,IF(A7='Données projet'!$A$62,'Données projet'!$B$62,AI6+AH7-AQ6)))</f>
        <v>2.8284271247461898</v>
      </c>
      <c r="AJ7" s="13">
        <f>AI7*VLOOKUP('Données projet'!$B$10,Paramètres!$A$1:$I$89,3,0)*VLOOKUP('Données projet'!$B$10,Paramètres!$A$1:$I$89,5,0)</f>
        <v>1.4472495911901304</v>
      </c>
      <c r="AK7" s="13">
        <f t="shared" si="35"/>
        <v>0.63886374729605466</v>
      </c>
      <c r="AL7" s="20">
        <f t="shared" si="4"/>
        <v>3.6333140645301047</v>
      </c>
      <c r="AM7" s="59">
        <f t="shared" si="5"/>
        <v>265.18886962008565</v>
      </c>
      <c r="AN7" s="59">
        <f ca="1">AVERAGE(OFFSET($AM$3,0,0,'Données projet'!$E$10+1,1))-AVERAGE(OFFSET($H$3,0,0,'Données projet'!$E$10+1,1))</f>
        <v>101.15586831191774</v>
      </c>
      <c r="AO7" s="59">
        <f t="shared" si="36"/>
        <v>346.96347336689064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3.65</v>
      </c>
      <c r="BD7" s="12">
        <f>IF('Données projet'!$A$88&gt;35,BD6+BC7-BL6,IF(A7&lt;'Données projet'!$A$88,$BA$205^A7,IF(A7='Données projet'!$A$88,'Données projet'!$B$88,BD6+BC7-BL6)))</f>
        <v>2.3586558182407358</v>
      </c>
      <c r="BE7" s="13">
        <f>BD7*VLOOKUP('Données projet'!$B$11,Paramètres!$A$1:$I$89,3,0)*VLOOKUP('Données projet'!$B$11,Paramètres!$A$1:$I$89,5,0)</f>
        <v>2.1341117843442179</v>
      </c>
      <c r="BF7" s="13">
        <f t="shared" si="37"/>
        <v>0.90042667189585779</v>
      </c>
      <c r="BG7" s="20">
        <f t="shared" si="7"/>
        <v>5.2851544779514645</v>
      </c>
      <c r="BH7" s="59">
        <f t="shared" si="8"/>
        <v>266.84071003350698</v>
      </c>
      <c r="BI7" s="59">
        <f ca="1">AVERAGE(OFFSET($BH$3,0,0,'Données projet'!$E$11+1,1))-AVERAGE(OFFSET($H$3,0,0,'Données projet'!$E$11+1,1))</f>
        <v>352.62747127358324</v>
      </c>
      <c r="BJ7" s="59">
        <f t="shared" si="38"/>
        <v>283.16932763435011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3.65</v>
      </c>
      <c r="BY7" s="12">
        <f>IF('Données projet'!$A$114&gt;35,BY6+BX7-CG6,IF(A7&lt;'Données projet'!$A$114,$BV$205^A7,IF(A7='Données projet'!$A$114,'Données projet'!$B$114,BY6+BX7-CG6)))</f>
        <v>2.3586558182407358</v>
      </c>
      <c r="BZ7" s="13">
        <f>BY7*VLOOKUP('Données projet'!$B$12,Paramètres!$A$1:$I$89,3,0)*VLOOKUP('Données projet'!$B$12,Paramètres!$A$1:$I$89,5,0)</f>
        <v>2.4652670612252172</v>
      </c>
      <c r="CA7" s="13">
        <f t="shared" si="39"/>
        <v>1.0228290907135758</v>
      </c>
      <c r="CB7" s="20">
        <f t="shared" si="10"/>
        <v>6.0751007979600642</v>
      </c>
      <c r="CC7" s="59">
        <f t="shared" si="11"/>
        <v>267.63065635351563</v>
      </c>
      <c r="CD7" s="59">
        <f ca="1">AVERAGE(OFFSET($CC$3,0,0,'Données projet'!$E$12+1,1))-AVERAGE(OFFSET($H$3,0,0,'Données projet'!$E$12+1,1))</f>
        <v>423.49657671419374</v>
      </c>
      <c r="CE7" s="59">
        <f t="shared" si="40"/>
        <v>329.6783569381081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3.65</v>
      </c>
      <c r="CT7" s="12">
        <f>IF('Données projet'!$A$140&gt;35,CT6+CS7-DB6,IF(A7&lt;'Données projet'!$A$140,$CQ$205^A7,IF(A7='Données projet'!$A$140,'Données projet'!$B$140,CT6+CS7-DB6)))</f>
        <v>2.3586558182407358</v>
      </c>
      <c r="CU7" s="17">
        <f>CT7*VLOOKUP('Données projet'!$B$13,Paramètres!$A$1:$I$89,3,0)*VLOOKUP('Données projet'!$B$13,Paramètres!$A$1:$I$89,5,0)</f>
        <v>2.3916769996961063</v>
      </c>
      <c r="CV7" s="13">
        <f t="shared" si="41"/>
        <v>0.9958034297612971</v>
      </c>
      <c r="CW7" s="20">
        <f t="shared" si="13"/>
        <v>5.8998617479716442</v>
      </c>
      <c r="CX7" s="59">
        <f t="shared" si="14"/>
        <v>267.45541730352721</v>
      </c>
      <c r="CY7" s="59">
        <f ca="1">AVERAGE(OFFSET($CX$3,0,0,'Données projet'!$E$13+1,1))-AVERAGE(OFFSET($H$3,0,0,'Données projet'!$E$13+1,1))</f>
        <v>407.76560346703042</v>
      </c>
      <c r="CZ7" s="59">
        <f t="shared" si="42"/>
        <v>319.35531375725202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2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4.4459999999999997</v>
      </c>
      <c r="D8" s="11">
        <f t="shared" si="32"/>
        <v>1.7222566815192897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47.614612980148905</v>
      </c>
      <c r="H8" s="67">
        <f t="shared" si="1"/>
        <v>267.40971372031277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1</v>
      </c>
      <c r="N8" s="13">
        <f>IF('Données projet'!$A$36&gt;35,N7+M8-V7,IF(A8&lt;'Données projet'!$A$36,$K$205^A8,IF(A8='Données projet'!$A$36,'Données projet'!$B$36,N7+M8-V7)))</f>
        <v>3.6680161728186844</v>
      </c>
      <c r="O8" s="13">
        <f>N8*VLOOKUP('Données projet'!$B$9,Paramètres!$A$1:$I$89,3,0)*VLOOKUP('Données projet'!$B$9,Paramètres!$A$1:$I$89,5,0)</f>
        <v>1.8768505153078645</v>
      </c>
      <c r="P8" s="13">
        <f t="shared" si="33"/>
        <v>0.80381208915123781</v>
      </c>
      <c r="Q8" s="20">
        <f t="shared" si="2"/>
        <v>4.6688207027662694</v>
      </c>
      <c r="R8" s="59">
        <f t="shared" si="0"/>
        <v>267.44659848054403</v>
      </c>
      <c r="S8" s="59">
        <f ca="1">AVERAGE(OFFSET($R$3,0,0,'Données projet'!$E$9+1,1))-AVERAGE(OFFSET($H$3,0,0,'Données projet'!$E$9+1,1))</f>
        <v>101.15586831191774</v>
      </c>
      <c r="T8" s="59">
        <f t="shared" si="34"/>
        <v>346.96347336689064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1</v>
      </c>
      <c r="AI8" s="13">
        <f>IF('Données projet'!$A$62&gt;35,AI7+AH8-AQ7,IF(A8&lt;'Données projet'!$A$62,$AF$205^A8,IF(A8='Données projet'!$A$62,'Données projet'!$B$62,AI7+AH8-AQ7)))</f>
        <v>3.6680161728186844</v>
      </c>
      <c r="AJ8" s="13">
        <f>AI8*VLOOKUP('Données projet'!$B$10,Paramètres!$A$1:$I$89,3,0)*VLOOKUP('Données projet'!$B$10,Paramètres!$A$1:$I$89,5,0)</f>
        <v>1.8768505153078645</v>
      </c>
      <c r="AK8" s="13">
        <f t="shared" si="35"/>
        <v>0.80381208915123781</v>
      </c>
      <c r="AL8" s="20">
        <f t="shared" si="4"/>
        <v>4.6688207027662694</v>
      </c>
      <c r="AM8" s="59">
        <f t="shared" si="5"/>
        <v>267.44659848054403</v>
      </c>
      <c r="AN8" s="59">
        <f ca="1">AVERAGE(OFFSET($AM$3,0,0,'Données projet'!$E$10+1,1))-AVERAGE(OFFSET($H$3,0,0,'Données projet'!$E$10+1,1))</f>
        <v>101.15586831191774</v>
      </c>
      <c r="AO8" s="59">
        <f t="shared" si="36"/>
        <v>346.96347336689064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3.65</v>
      </c>
      <c r="BD8" s="12">
        <f>IF('Données projet'!$A$88&gt;35,BD7+BC8-BL7,IF(A8&lt;'Données projet'!$A$88,$BA$205^A8,IF(A8='Données projet'!$A$88,'Données projet'!$B$88,BD7+BC8-BL7)))</f>
        <v>2.9230127856917649</v>
      </c>
      <c r="BE8" s="13">
        <f>BD8*VLOOKUP('Données projet'!$B$11,Paramètres!$A$1:$I$89,3,0)*VLOOKUP('Données projet'!$B$11,Paramètres!$A$1:$I$89,5,0)</f>
        <v>2.6447419684939089</v>
      </c>
      <c r="BF8" s="13">
        <f t="shared" si="37"/>
        <v>1.0883534414958294</v>
      </c>
      <c r="BG8" s="20">
        <f t="shared" si="7"/>
        <v>6.5018078390654601</v>
      </c>
      <c r="BH8" s="59">
        <f t="shared" si="8"/>
        <v>269.27958561684324</v>
      </c>
      <c r="BI8" s="59">
        <f ca="1">AVERAGE(OFFSET($BH$3,0,0,'Données projet'!$E$11+1,1))-AVERAGE(OFFSET($H$3,0,0,'Données projet'!$E$11+1,1))</f>
        <v>352.62747127358324</v>
      </c>
      <c r="BJ8" s="59">
        <f t="shared" si="38"/>
        <v>283.16932763435011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3.65</v>
      </c>
      <c r="BY8" s="12">
        <f>IF('Données projet'!$A$114&gt;35,BY7+BX8-CG7,IF(A8&lt;'Données projet'!$A$114,$BV$205^A8,IF(A8='Données projet'!$A$114,'Données projet'!$B$114,BY7+BX8-CG7)))</f>
        <v>2.9230127856917649</v>
      </c>
      <c r="BZ8" s="13">
        <f>BY8*VLOOKUP('Données projet'!$B$12,Paramètres!$A$1:$I$89,3,0)*VLOOKUP('Données projet'!$B$12,Paramètres!$A$1:$I$89,5,0)</f>
        <v>3.0551329636050331</v>
      </c>
      <c r="CA8" s="13">
        <f t="shared" si="39"/>
        <v>1.2363022949956788</v>
      </c>
      <c r="CB8" s="20">
        <f t="shared" si="10"/>
        <v>7.4742497420629066</v>
      </c>
      <c r="CC8" s="59">
        <f t="shared" si="11"/>
        <v>270.25202751984068</v>
      </c>
      <c r="CD8" s="59">
        <f ca="1">AVERAGE(OFFSET($CC$3,0,0,'Données projet'!$E$12+1,1))-AVERAGE(OFFSET($H$3,0,0,'Données projet'!$E$12+1,1))</f>
        <v>423.49657671419374</v>
      </c>
      <c r="CE8" s="59">
        <f t="shared" si="40"/>
        <v>329.6783569381081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3.65</v>
      </c>
      <c r="CT8" s="12">
        <f>IF('Données projet'!$A$140&gt;35,CT7+CS8-DB7,IF(A8&lt;'Données projet'!$A$140,$CQ$205^A8,IF(A8='Données projet'!$A$140,'Données projet'!$B$140,CT7+CS8-DB7)))</f>
        <v>2.9230127856917649</v>
      </c>
      <c r="CU8" s="17">
        <f>CT8*VLOOKUP('Données projet'!$B$13,Paramètres!$A$1:$I$89,3,0)*VLOOKUP('Données projet'!$B$13,Paramètres!$A$1:$I$89,5,0)</f>
        <v>2.9639349646914495</v>
      </c>
      <c r="CV8" s="13">
        <f t="shared" si="41"/>
        <v>1.2036361467970902</v>
      </c>
      <c r="CW8" s="20">
        <f t="shared" si="13"/>
        <v>7.2585196858425398</v>
      </c>
      <c r="CX8" s="59">
        <f t="shared" si="14"/>
        <v>270.03629746362031</v>
      </c>
      <c r="CY8" s="59">
        <f ca="1">AVERAGE(OFFSET($CX$3,0,0,'Données projet'!$E$13+1,1))-AVERAGE(OFFSET($H$3,0,0,'Données projet'!$E$13+1,1))</f>
        <v>407.76560346703042</v>
      </c>
      <c r="CZ8" s="59">
        <f t="shared" si="42"/>
        <v>319.35531375725202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2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5.3351999999999995</v>
      </c>
      <c r="D9" s="11">
        <f t="shared" si="32"/>
        <v>2.0233099967312578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56.802533308100926</v>
      </c>
      <c r="H9" s="67">
        <f t="shared" si="1"/>
        <v>269.48273824430697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1</v>
      </c>
      <c r="N9" s="13">
        <f>IF('Données projet'!$A$36&gt;35,N8+M9-V8,IF(A9&lt;'Données projet'!$A$36,$K$205^A9,IF(A9='Données projet'!$A$36,'Données projet'!$B$36,N8+M9-V8)))</f>
        <v>4.7568284600108832</v>
      </c>
      <c r="O9" s="13">
        <f>N9*VLOOKUP('Données projet'!$B$9,Paramètres!$A$1:$I$89,3,0)*VLOOKUP('Données projet'!$B$9,Paramètres!$A$1:$I$89,5,0)</f>
        <v>2.4339739864183687</v>
      </c>
      <c r="P9" s="13">
        <f t="shared" si="33"/>
        <v>1.0113484720338388</v>
      </c>
      <c r="Q9" s="20">
        <f t="shared" si="2"/>
        <v>6.0006032818042625</v>
      </c>
      <c r="R9" s="59">
        <f t="shared" si="0"/>
        <v>270.00060328180427</v>
      </c>
      <c r="S9" s="59">
        <f ca="1">AVERAGE(OFFSET($R$3,0,0,'Données projet'!$E$9+1,1))-AVERAGE(OFFSET($H$3,0,0,'Données projet'!$E$9+1,1))</f>
        <v>101.15586831191774</v>
      </c>
      <c r="T9" s="59">
        <f t="shared" si="34"/>
        <v>346.96347336689064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1</v>
      </c>
      <c r="AI9" s="13">
        <f>IF('Données projet'!$A$62&gt;35,AI8+AH9-AQ8,IF(A9&lt;'Données projet'!$A$62,$AF$205^A9,IF(A9='Données projet'!$A$62,'Données projet'!$B$62,AI8+AH9-AQ8)))</f>
        <v>4.7568284600108832</v>
      </c>
      <c r="AJ9" s="13">
        <f>AI9*VLOOKUP('Données projet'!$B$10,Paramètres!$A$1:$I$89,3,0)*VLOOKUP('Données projet'!$B$10,Paramètres!$A$1:$I$89,5,0)</f>
        <v>2.4339739864183687</v>
      </c>
      <c r="AK9" s="13">
        <f t="shared" si="35"/>
        <v>1.0113484720338388</v>
      </c>
      <c r="AL9" s="20">
        <f t="shared" si="4"/>
        <v>6.0006032818042625</v>
      </c>
      <c r="AM9" s="59">
        <f t="shared" si="5"/>
        <v>270.00060328180427</v>
      </c>
      <c r="AN9" s="59">
        <f ca="1">AVERAGE(OFFSET($AM$3,0,0,'Données projet'!$E$10+1,1))-AVERAGE(OFFSET($H$3,0,0,'Données projet'!$E$10+1,1))</f>
        <v>101.15586831191774</v>
      </c>
      <c r="AO9" s="59">
        <f t="shared" si="36"/>
        <v>346.96347336689064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3.65</v>
      </c>
      <c r="BD9" s="12">
        <f>IF('Données projet'!$A$88&gt;35,BD8+BC9-BL8,IF(A9&lt;'Données projet'!$A$88,$BA$205^A9,IF(A9='Données projet'!$A$88,'Données projet'!$B$88,BD8+BC9-BL8)))</f>
        <v>3.6224037772879885</v>
      </c>
      <c r="BE9" s="13">
        <f>BD9*VLOOKUP('Données projet'!$B$11,Paramètres!$A$1:$I$89,3,0)*VLOOKUP('Données projet'!$B$11,Paramètres!$A$1:$I$89,5,0)</f>
        <v>3.2775509376901719</v>
      </c>
      <c r="BF9" s="13">
        <f t="shared" si="37"/>
        <v>1.315502139804245</v>
      </c>
      <c r="BG9" s="20">
        <f t="shared" si="7"/>
        <v>7.9995674433027766</v>
      </c>
      <c r="BH9" s="59">
        <f t="shared" si="8"/>
        <v>271.99956744330279</v>
      </c>
      <c r="BI9" s="59">
        <f ca="1">AVERAGE(OFFSET($BH$3,0,0,'Données projet'!$E$11+1,1))-AVERAGE(OFFSET($H$3,0,0,'Données projet'!$E$11+1,1))</f>
        <v>352.62747127358324</v>
      </c>
      <c r="BJ9" s="59">
        <f t="shared" si="38"/>
        <v>283.16932763435011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3.65</v>
      </c>
      <c r="BY9" s="12">
        <f>IF('Données projet'!$A$114&gt;35,BY8+BX9-CG8,IF(A9&lt;'Données projet'!$A$114,$BV$205^A9,IF(A9='Données projet'!$A$114,'Données projet'!$B$114,BY8+BX9-CG8)))</f>
        <v>3.6224037772879885</v>
      </c>
      <c r="BZ9" s="13">
        <f>BY9*VLOOKUP('Données projet'!$B$12,Paramètres!$A$1:$I$89,3,0)*VLOOKUP('Données projet'!$B$12,Paramètres!$A$1:$I$89,5,0)</f>
        <v>3.7861364280214058</v>
      </c>
      <c r="CA9" s="13">
        <f t="shared" si="39"/>
        <v>1.494329188022278</v>
      </c>
      <c r="CB9" s="20">
        <f t="shared" si="10"/>
        <v>9.1968109479427493</v>
      </c>
      <c r="CC9" s="59">
        <f t="shared" si="11"/>
        <v>273.19681094794277</v>
      </c>
      <c r="CD9" s="59">
        <f ca="1">AVERAGE(OFFSET($CC$3,0,0,'Données projet'!$E$12+1,1))-AVERAGE(OFFSET($H$3,0,0,'Données projet'!$E$12+1,1))</f>
        <v>423.49657671419374</v>
      </c>
      <c r="CE9" s="59">
        <f t="shared" si="40"/>
        <v>329.6783569381081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3.65</v>
      </c>
      <c r="CT9" s="12">
        <f>IF('Données projet'!$A$140&gt;35,CT8+CS9-DB8,IF(A9&lt;'Données projet'!$A$140,$CQ$205^A9,IF(A9='Données projet'!$A$140,'Données projet'!$B$140,CT8+CS9-DB8)))</f>
        <v>3.6224037772879885</v>
      </c>
      <c r="CU9" s="17">
        <f>CT9*VLOOKUP('Données projet'!$B$13,Paramètres!$A$1:$I$89,3,0)*VLOOKUP('Données projet'!$B$13,Paramètres!$A$1:$I$89,5,0)</f>
        <v>3.6731174301700205</v>
      </c>
      <c r="CV9" s="13">
        <f t="shared" si="41"/>
        <v>1.4548453345092642</v>
      </c>
      <c r="CW9" s="20">
        <f t="shared" si="13"/>
        <v>8.9312018151497536</v>
      </c>
      <c r="CX9" s="59">
        <f t="shared" si="14"/>
        <v>272.93120181514973</v>
      </c>
      <c r="CY9" s="59">
        <f ca="1">AVERAGE(OFFSET($CX$3,0,0,'Données projet'!$E$13+1,1))-AVERAGE(OFFSET($H$3,0,0,'Données projet'!$E$13+1,1))</f>
        <v>407.76560346703042</v>
      </c>
      <c r="CZ9" s="59">
        <f t="shared" si="42"/>
        <v>319.35531375725202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2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6.2243999999999993</v>
      </c>
      <c r="D10" s="11">
        <f t="shared" si="32"/>
        <v>2.3185507720937846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65.945584907390625</v>
      </c>
      <c r="H10" s="67">
        <f t="shared" si="1"/>
        <v>271.54563926139667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1</v>
      </c>
      <c r="N10" s="13">
        <f>IF('Données projet'!$A$36&gt;35,N9+M10-V9,IF(A10&lt;'Données projet'!$A$36,$K$205^A10,IF(A10='Données projet'!$A$36,'Données projet'!$B$36,N9+M10-V9)))</f>
        <v>6.168843301631763</v>
      </c>
      <c r="O10" s="13">
        <f>N10*VLOOKUP('Données projet'!$B$9,Paramètres!$A$1:$I$89,3,0)*VLOOKUP('Données projet'!$B$9,Paramètres!$A$1:$I$89,5,0)</f>
        <v>3.1564737405789405</v>
      </c>
      <c r="P10" s="13">
        <f t="shared" si="33"/>
        <v>1.2724687096522822</v>
      </c>
      <c r="Q10" s="20">
        <f t="shared" si="2"/>
        <v>7.7137414341527117</v>
      </c>
      <c r="R10" s="59">
        <f t="shared" si="0"/>
        <v>272.93596365637495</v>
      </c>
      <c r="S10" s="59">
        <f ca="1">AVERAGE(OFFSET($R$3,0,0,'Données projet'!$E$9+1,1))-AVERAGE(OFFSET($H$3,0,0,'Données projet'!$E$9+1,1))</f>
        <v>101.15586831191774</v>
      </c>
      <c r="T10" s="59">
        <f t="shared" si="34"/>
        <v>346.96347336689064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1</v>
      </c>
      <c r="AI10" s="13">
        <f>IF('Données projet'!$A$62&gt;35,AI9+AH10-AQ9,IF(A10&lt;'Données projet'!$A$62,$AF$205^A10,IF(A10='Données projet'!$A$62,'Données projet'!$B$62,AI9+AH10-AQ9)))</f>
        <v>6.168843301631763</v>
      </c>
      <c r="AJ10" s="13">
        <f>AI10*VLOOKUP('Données projet'!$B$10,Paramètres!$A$1:$I$89,3,0)*VLOOKUP('Données projet'!$B$10,Paramètres!$A$1:$I$89,5,0)</f>
        <v>3.1564737405789405</v>
      </c>
      <c r="AK10" s="13">
        <f t="shared" si="35"/>
        <v>1.2724687096522822</v>
      </c>
      <c r="AL10" s="20">
        <f t="shared" si="4"/>
        <v>7.7137414341527117</v>
      </c>
      <c r="AM10" s="59">
        <f t="shared" si="5"/>
        <v>272.93596365637495</v>
      </c>
      <c r="AN10" s="59">
        <f ca="1">AVERAGE(OFFSET($AM$3,0,0,'Données projet'!$E$10+1,1))-AVERAGE(OFFSET($H$3,0,0,'Données projet'!$E$10+1,1))</f>
        <v>101.15586831191774</v>
      </c>
      <c r="AO10" s="59">
        <f t="shared" si="36"/>
        <v>346.96347336689064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3.65</v>
      </c>
      <c r="BD10" s="12">
        <f>IF('Données projet'!$A$88&gt;35,BD9+BC10-BL9,IF(A10&lt;'Données projet'!$A$88,$BA$205^A10,IF(A10='Données projet'!$A$88,'Données projet'!$B$88,BD9+BC10-BL9)))</f>
        <v>4.4891384635544309</v>
      </c>
      <c r="BE10" s="13">
        <f>BD10*VLOOKUP('Données projet'!$B$11,Paramètres!$A$1:$I$89,3,0)*VLOOKUP('Données projet'!$B$11,Paramètres!$A$1:$I$89,5,0)</f>
        <v>4.0617724818240486</v>
      </c>
      <c r="BF10" s="13">
        <f t="shared" si="37"/>
        <v>1.590058719758437</v>
      </c>
      <c r="BG10" s="20">
        <f t="shared" si="7"/>
        <v>9.8436060094228282</v>
      </c>
      <c r="BH10" s="59">
        <f t="shared" si="8"/>
        <v>275.06582823164507</v>
      </c>
      <c r="BI10" s="59">
        <f ca="1">AVERAGE(OFFSET($BH$3,0,0,'Données projet'!$E$11+1,1))-AVERAGE(OFFSET($H$3,0,0,'Données projet'!$E$11+1,1))</f>
        <v>352.62747127358324</v>
      </c>
      <c r="BJ10" s="59">
        <f t="shared" si="38"/>
        <v>283.16932763435011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3.65</v>
      </c>
      <c r="BY10" s="12">
        <f>IF('Données projet'!$A$114&gt;35,BY9+BX10-CG9,IF(A10&lt;'Données projet'!$A$114,$BV$205^A10,IF(A10='Données projet'!$A$114,'Données projet'!$B$114,BY9+BX10-CG9)))</f>
        <v>4.4891384635544309</v>
      </c>
      <c r="BZ10" s="13">
        <f>BY10*VLOOKUP('Données projet'!$B$12,Paramètres!$A$1:$I$89,3,0)*VLOOKUP('Données projet'!$B$12,Paramètres!$A$1:$I$89,5,0)</f>
        <v>4.6920475221070923</v>
      </c>
      <c r="CA10" s="13">
        <f t="shared" si="39"/>
        <v>1.8062085067820133</v>
      </c>
      <c r="CB10" s="20">
        <f t="shared" si="10"/>
        <v>11.317795916981858</v>
      </c>
      <c r="CC10" s="59">
        <f t="shared" si="11"/>
        <v>276.54001813920411</v>
      </c>
      <c r="CD10" s="59">
        <f ca="1">AVERAGE(OFFSET($CC$3,0,0,'Données projet'!$E$12+1,1))-AVERAGE(OFFSET($H$3,0,0,'Données projet'!$E$12+1,1))</f>
        <v>423.49657671419374</v>
      </c>
      <c r="CE10" s="59">
        <f t="shared" si="40"/>
        <v>329.6783569381081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3.65</v>
      </c>
      <c r="CT10" s="12">
        <f>IF('Données projet'!$A$140&gt;35,CT9+CS10-DB9,IF(A10&lt;'Données projet'!$A$140,$CQ$205^A10,IF(A10='Données projet'!$A$140,'Données projet'!$B$140,CT9+CS10-DB9)))</f>
        <v>4.4891384635544309</v>
      </c>
      <c r="CU10" s="17">
        <f>CT10*VLOOKUP('Données projet'!$B$13,Paramètres!$A$1:$I$89,3,0)*VLOOKUP('Données projet'!$B$13,Paramètres!$A$1:$I$89,5,0)</f>
        <v>4.5519864020441929</v>
      </c>
      <c r="CV10" s="13">
        <f t="shared" si="41"/>
        <v>1.7584840343783612</v>
      </c>
      <c r="CW10" s="20">
        <f t="shared" si="13"/>
        <v>10.990736010102614</v>
      </c>
      <c r="CX10" s="59">
        <f t="shared" si="14"/>
        <v>276.21295823232487</v>
      </c>
      <c r="CY10" s="59">
        <f ca="1">AVERAGE(OFFSET($CX$3,0,0,'Données projet'!$E$13+1,1))-AVERAGE(OFFSET($H$3,0,0,'Données projet'!$E$13+1,1))</f>
        <v>407.76560346703042</v>
      </c>
      <c r="CZ10" s="59">
        <f t="shared" si="42"/>
        <v>319.35531375725202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2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7.113599999999999</v>
      </c>
      <c r="D11" s="11">
        <f t="shared" si="32"/>
        <v>2.6089051793396716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75.050917173850095</v>
      </c>
      <c r="H11" s="67">
        <f t="shared" si="1"/>
        <v>273.60002985401661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>
        <f>VLOOKUP(A11,'Données projet'!$A$35:$I$55,2,0)</f>
        <v>8</v>
      </c>
      <c r="L11" s="12">
        <f>VLOOKUP(A11,'Données projet'!$A$35:$I$55,9,0)</f>
        <v>1</v>
      </c>
      <c r="M11" s="12">
        <f t="array" ref="M11">INDEX(L:L,MIN(IF(ISNUMBER(L11:L207),ROW(L11:L207),"")))</f>
        <v>1</v>
      </c>
      <c r="N11" s="13">
        <f>IF('Données projet'!$A$36&gt;35,N10+M11-V10,IF(A11&lt;'Données projet'!$A$36,$K$205^A11,IF(A11='Données projet'!$A$36,'Données projet'!$B$36,N10+M11-V10)))</f>
        <v>8</v>
      </c>
      <c r="O11" s="13">
        <f>N11*VLOOKUP('Données projet'!$B$9,Paramètres!$A$1:$I$89,3,0)*VLOOKUP('Données projet'!$B$9,Paramètres!$A$1:$I$89,5,0)</f>
        <v>4.0934400000000002</v>
      </c>
      <c r="P11" s="13">
        <f t="shared" si="33"/>
        <v>1.6010076267658291</v>
      </c>
      <c r="Q11" s="20">
        <f t="shared" si="2"/>
        <v>9.9178296166171513</v>
      </c>
      <c r="R11" s="59">
        <f t="shared" si="0"/>
        <v>276.36227406106161</v>
      </c>
      <c r="S11" s="59">
        <f ca="1">AVERAGE(OFFSET($R$3,0,0,'Données projet'!$E$9+1,1))-AVERAGE(OFFSET($H$3,0,0,'Données projet'!$E$9+1,1))</f>
        <v>101.15586831191774</v>
      </c>
      <c r="T11" s="59">
        <f t="shared" si="34"/>
        <v>346.96347336689064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0.28199999999999997</v>
      </c>
      <c r="X11" s="16">
        <f>IF(ISNA(VLOOKUP(A11,'Données projet'!$A$35:$I$55,6,0)),0%,VLOOKUP(A11,'Données projet'!$A$35:$I$55,6,0)*VLOOKUP('Données projet'!$B$9,Paramètres!$A$1:$I$89,7,0))</f>
        <v>0.126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>
        <f>VLOOKUP(A11,'Données projet'!$A$61:$I$81,2,0)</f>
        <v>8</v>
      </c>
      <c r="AG11" s="12">
        <f>VLOOKUP(A11,'Données projet'!$A$61:$I$81,9,0)</f>
        <v>1</v>
      </c>
      <c r="AH11" s="12">
        <f t="array" ref="AH11">INDEX(AG:AG,MIN(IF(ISNUMBER(AG11:AG207),ROW(AG11:AG207),"")))</f>
        <v>1</v>
      </c>
      <c r="AI11" s="13">
        <f>IF('Données projet'!$A$62&gt;35,AI10+AH11-AQ10,IF(A11&lt;'Données projet'!$A$62,$AF$205^A11,IF(A11='Données projet'!$A$62,'Données projet'!$B$62,AI10+AH11-AQ10)))</f>
        <v>8</v>
      </c>
      <c r="AJ11" s="13">
        <f>AI11*VLOOKUP('Données projet'!$B$10,Paramètres!$A$1:$I$89,3,0)*VLOOKUP('Données projet'!$B$10,Paramètres!$A$1:$I$89,5,0)</f>
        <v>4.0934400000000002</v>
      </c>
      <c r="AK11" s="13">
        <f t="shared" si="35"/>
        <v>1.6010076267658291</v>
      </c>
      <c r="AL11" s="20">
        <f t="shared" si="4"/>
        <v>9.9178296166171513</v>
      </c>
      <c r="AM11" s="59">
        <f t="shared" si="5"/>
        <v>276.36227406106161</v>
      </c>
      <c r="AN11" s="59">
        <f ca="1">AVERAGE(OFFSET($AM$3,0,0,'Données projet'!$E$10+1,1))-AVERAGE(OFFSET($H$3,0,0,'Données projet'!$E$10+1,1))</f>
        <v>101.15586831191774</v>
      </c>
      <c r="AO11" s="59">
        <f t="shared" si="36"/>
        <v>346.96347336689064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0.28199999999999997</v>
      </c>
      <c r="AS11" s="16">
        <f>IF(ISNA(VLOOKUP(A11,'Données projet'!$A$61:$I$81,6,0)),0%,VLOOKUP(A11,'Données projet'!$A$61:$I$81,6,0)*VLOOKUP('Données projet'!$B$10,Paramètres!$A$1:$I$89,7,0))</f>
        <v>0.126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3.65</v>
      </c>
      <c r="BD11" s="12">
        <f>IF('Données projet'!$A$88&gt;35,BD10+BC11-BL10,IF(A11&lt;'Données projet'!$A$88,$BA$205^A11,IF(A11='Données projet'!$A$88,'Données projet'!$B$88,BD10+BC11-BL10)))</f>
        <v>5.563257268920875</v>
      </c>
      <c r="BE11" s="13">
        <f>BD11*VLOOKUP('Données projet'!$B$11,Paramètres!$A$1:$I$89,3,0)*VLOOKUP('Données projet'!$B$11,Paramètres!$A$1:$I$89,5,0)</f>
        <v>5.0336351769196082</v>
      </c>
      <c r="BF11" s="13">
        <f t="shared" si="37"/>
        <v>1.9219176128866391</v>
      </c>
      <c r="BG11" s="20">
        <f t="shared" si="7"/>
        <v>12.11425444224588</v>
      </c>
      <c r="BH11" s="59">
        <f t="shared" si="8"/>
        <v>278.55869888669031</v>
      </c>
      <c r="BI11" s="59">
        <f ca="1">AVERAGE(OFFSET($BH$3,0,0,'Données projet'!$E$11+1,1))-AVERAGE(OFFSET($H$3,0,0,'Données projet'!$E$11+1,1))</f>
        <v>352.62747127358324</v>
      </c>
      <c r="BJ11" s="59">
        <f t="shared" si="38"/>
        <v>283.16932763435011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3.65</v>
      </c>
      <c r="BY11" s="12">
        <f>IF('Données projet'!$A$114&gt;35,BY10+BX11-CG10,IF(A11&lt;'Données projet'!$A$114,$BV$205^A11,IF(A11='Données projet'!$A$114,'Données projet'!$B$114,BY10+BX11-CG10)))</f>
        <v>5.563257268920875</v>
      </c>
      <c r="BZ11" s="13">
        <f>BY11*VLOOKUP('Données projet'!$B$12,Paramètres!$A$1:$I$89,3,0)*VLOOKUP('Données projet'!$B$12,Paramètres!$A$1:$I$89,5,0)</f>
        <v>5.8147164974760992</v>
      </c>
      <c r="CA11" s="13">
        <f t="shared" si="39"/>
        <v>2.1831797144305476</v>
      </c>
      <c r="CB11" s="20">
        <f t="shared" si="10"/>
        <v>13.929669235737409</v>
      </c>
      <c r="CC11" s="59">
        <f t="shared" si="11"/>
        <v>280.37411368018189</v>
      </c>
      <c r="CD11" s="59">
        <f ca="1">AVERAGE(OFFSET($CC$3,0,0,'Données projet'!$E$12+1,1))-AVERAGE(OFFSET($H$3,0,0,'Données projet'!$E$12+1,1))</f>
        <v>423.49657671419374</v>
      </c>
      <c r="CE11" s="59">
        <f t="shared" si="40"/>
        <v>329.6783569381081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3.65</v>
      </c>
      <c r="CT11" s="12">
        <f>IF('Données projet'!$A$140&gt;35,CT10+CS11-DB10,IF(A11&lt;'Données projet'!$A$140,$CQ$205^A11,IF(A11='Données projet'!$A$140,'Données projet'!$B$140,CT10+CS11-DB10)))</f>
        <v>5.563257268920875</v>
      </c>
      <c r="CU11" s="17">
        <f>CT11*VLOOKUP('Données projet'!$B$13,Paramètres!$A$1:$I$89,3,0)*VLOOKUP('Données projet'!$B$13,Paramètres!$A$1:$I$89,5,0)</f>
        <v>5.6411428706857674</v>
      </c>
      <c r="CV11" s="13">
        <f t="shared" si="41"/>
        <v>2.125494735292019</v>
      </c>
      <c r="CW11" s="20">
        <f t="shared" si="13"/>
        <v>13.526893830411311</v>
      </c>
      <c r="CX11" s="59">
        <f t="shared" si="14"/>
        <v>279.97133827485578</v>
      </c>
      <c r="CY11" s="59">
        <f ca="1">AVERAGE(OFFSET($CX$3,0,0,'Données projet'!$E$13+1,1))-AVERAGE(OFFSET($H$3,0,0,'Données projet'!$E$13+1,1))</f>
        <v>407.76560346703042</v>
      </c>
      <c r="CZ11" s="59">
        <f t="shared" si="42"/>
        <v>319.35531375725202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2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8.0027999999999988</v>
      </c>
      <c r="D12" s="11">
        <f t="shared" si="32"/>
        <v>2.8950539664743791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84.123785004363612</v>
      </c>
      <c r="H12" s="67">
        <f t="shared" si="1"/>
        <v>275.64709565827621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>
        <f>VLOOKUP(A12,'Données projet'!$A$35:$I$55,2,0)</f>
        <v>34</v>
      </c>
      <c r="L12" s="12">
        <f>VLOOKUP(A12,'Données projet'!$A$35:$I$55,9,0)</f>
        <v>26</v>
      </c>
      <c r="M12" s="12">
        <f t="array" ref="M12">INDEX(L:L,MIN(IF(ISNUMBER(L12:L208),ROW(L12:L208),"")))</f>
        <v>26</v>
      </c>
      <c r="N12" s="13">
        <f>IF('Données projet'!$A$36&gt;35,N11+M12-V11,IF(A12&lt;'Données projet'!$A$36,$K$205^A12,IF(A12='Données projet'!$A$36,'Données projet'!$B$36,N11+M12-V11)))</f>
        <v>34</v>
      </c>
      <c r="O12" s="13">
        <f>N12*VLOOKUP('Données projet'!$B$9,Paramètres!$A$1:$I$89,3,0)*VLOOKUP('Données projet'!$B$9,Paramètres!$A$1:$I$89,5,0)</f>
        <v>17.397120000000001</v>
      </c>
      <c r="P12" s="13">
        <f t="shared" si="33"/>
        <v>5.7496030122448101</v>
      </c>
      <c r="Q12" s="20">
        <f t="shared" si="2"/>
        <v>40.313875912993048</v>
      </c>
      <c r="R12" s="59">
        <f t="shared" si="0"/>
        <v>307.98054257965975</v>
      </c>
      <c r="S12" s="59">
        <f ca="1">AVERAGE(OFFSET($R$3,0,0,'Données projet'!$E$9+1,1))-AVERAGE(OFFSET($H$3,0,0,'Données projet'!$E$9+1,1))</f>
        <v>101.15586831191774</v>
      </c>
      <c r="T12" s="59">
        <f t="shared" si="34"/>
        <v>346.96347336689064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0.28199999999999997</v>
      </c>
      <c r="X12" s="16">
        <f>IF(ISNA(VLOOKUP(A12,'Données projet'!$A$35:$I$55,6,0)),0%,VLOOKUP(A12,'Données projet'!$A$35:$I$55,6,0)*VLOOKUP('Données projet'!$B$9,Paramètres!$A$1:$I$89,7,0))</f>
        <v>0.126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>
        <f>VLOOKUP(A12,'Données projet'!$A$61:$I$81,2,0)</f>
        <v>34</v>
      </c>
      <c r="AG12" s="12">
        <f>VLOOKUP(A12,'Données projet'!$A$61:$I$81,9,0)</f>
        <v>26</v>
      </c>
      <c r="AH12" s="12">
        <f t="array" ref="AH12">INDEX(AG:AG,MIN(IF(ISNUMBER(AG12:AG208),ROW(AG12:AG208),"")))</f>
        <v>26</v>
      </c>
      <c r="AI12" s="13">
        <f>IF('Données projet'!$A$62&gt;35,AI11+AH12-AQ11,IF(A12&lt;'Données projet'!$A$62,$AF$205^A12,IF(A12='Données projet'!$A$62,'Données projet'!$B$62,AI11+AH12-AQ11)))</f>
        <v>34</v>
      </c>
      <c r="AJ12" s="13">
        <f>AI12*VLOOKUP('Données projet'!$B$10,Paramètres!$A$1:$I$89,3,0)*VLOOKUP('Données projet'!$B$10,Paramètres!$A$1:$I$89,5,0)</f>
        <v>17.397120000000001</v>
      </c>
      <c r="AK12" s="13">
        <f t="shared" si="35"/>
        <v>5.7496030122448101</v>
      </c>
      <c r="AL12" s="20">
        <f t="shared" si="4"/>
        <v>40.313875912993048</v>
      </c>
      <c r="AM12" s="59">
        <f t="shared" si="5"/>
        <v>307.98054257965975</v>
      </c>
      <c r="AN12" s="59">
        <f ca="1">AVERAGE(OFFSET($AM$3,0,0,'Données projet'!$E$10+1,1))-AVERAGE(OFFSET($H$3,0,0,'Données projet'!$E$10+1,1))</f>
        <v>101.15586831191774</v>
      </c>
      <c r="AO12" s="59">
        <f t="shared" si="36"/>
        <v>346.96347336689064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0.28199999999999997</v>
      </c>
      <c r="AS12" s="16">
        <f>IF(ISNA(VLOOKUP(A12,'Données projet'!$A$61:$I$81,6,0)),0%,VLOOKUP(A12,'Données projet'!$A$61:$I$81,6,0)*VLOOKUP('Données projet'!$B$10,Paramètres!$A$1:$I$89,7,0))</f>
        <v>0.126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3.65</v>
      </c>
      <c r="BD12" s="12">
        <f>IF('Données projet'!$A$88&gt;35,BD11+BC12-BL11,IF(A12&lt;'Données projet'!$A$88,$BA$205^A12,IF(A12='Données projet'!$A$88,'Données projet'!$B$88,BD11+BC12-BL11)))</f>
        <v>6.8943811137639424</v>
      </c>
      <c r="BE12" s="13">
        <f>BD12*VLOOKUP('Données projet'!$B$11,Paramètres!$A$1:$I$89,3,0)*VLOOKUP('Données projet'!$B$11,Paramètres!$A$1:$I$89,5,0)</f>
        <v>6.2380360317336141</v>
      </c>
      <c r="BF12" s="13">
        <f t="shared" si="37"/>
        <v>2.3230383034439352</v>
      </c>
      <c r="BG12" s="20">
        <f t="shared" si="7"/>
        <v>14.910537800434229</v>
      </c>
      <c r="BH12" s="59">
        <f t="shared" si="8"/>
        <v>282.5772044671009</v>
      </c>
      <c r="BI12" s="59">
        <f ca="1">AVERAGE(OFFSET($BH$3,0,0,'Données projet'!$E$11+1,1))-AVERAGE(OFFSET($H$3,0,0,'Données projet'!$E$11+1,1))</f>
        <v>352.62747127358324</v>
      </c>
      <c r="BJ12" s="59">
        <f t="shared" si="38"/>
        <v>283.16932763435011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3.65</v>
      </c>
      <c r="BY12" s="12">
        <f>IF('Données projet'!$A$114&gt;35,BY11+BX12-CG11,IF(A12&lt;'Données projet'!$A$114,$BV$205^A12,IF(A12='Données projet'!$A$114,'Données projet'!$B$114,BY11+BX12-CG11)))</f>
        <v>6.8943811137639424</v>
      </c>
      <c r="BZ12" s="13">
        <f>BY12*VLOOKUP('Données projet'!$B$12,Paramètres!$A$1:$I$89,3,0)*VLOOKUP('Données projet'!$B$12,Paramètres!$A$1:$I$89,5,0)</f>
        <v>7.2060071401060739</v>
      </c>
      <c r="CA12" s="13">
        <f t="shared" si="39"/>
        <v>2.6388280464877014</v>
      </c>
      <c r="CB12" s="20">
        <f t="shared" si="10"/>
        <v>17.14642128331749</v>
      </c>
      <c r="CC12" s="59">
        <f t="shared" si="11"/>
        <v>284.81308794998415</v>
      </c>
      <c r="CD12" s="59">
        <f ca="1">AVERAGE(OFFSET($CC$3,0,0,'Données projet'!$E$12+1,1))-AVERAGE(OFFSET($H$3,0,0,'Données projet'!$E$12+1,1))</f>
        <v>423.49657671419374</v>
      </c>
      <c r="CE12" s="59">
        <f t="shared" si="40"/>
        <v>329.6783569381081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3.65</v>
      </c>
      <c r="CT12" s="12">
        <f>IF('Données projet'!$A$140&gt;35,CT11+CS12-DB11,IF(A12&lt;'Données projet'!$A$140,$CQ$205^A12,IF(A12='Données projet'!$A$140,'Données projet'!$B$140,CT11+CS12-DB11)))</f>
        <v>6.8943811137639424</v>
      </c>
      <c r="CU12" s="17">
        <f>CT12*VLOOKUP('Données projet'!$B$13,Paramètres!$A$1:$I$89,3,0)*VLOOKUP('Données projet'!$B$13,Paramètres!$A$1:$I$89,5,0)</f>
        <v>6.9909024493566383</v>
      </c>
      <c r="CV12" s="13">
        <f t="shared" si="41"/>
        <v>2.5691037174250742</v>
      </c>
      <c r="CW12" s="20">
        <f t="shared" si="13"/>
        <v>16.650344073811482</v>
      </c>
      <c r="CX12" s="59">
        <f t="shared" si="14"/>
        <v>284.31701074047817</v>
      </c>
      <c r="CY12" s="59">
        <f ca="1">AVERAGE(OFFSET($CX$3,0,0,'Données projet'!$E$13+1,1))-AVERAGE(OFFSET($H$3,0,0,'Données projet'!$E$13+1,1))</f>
        <v>407.76560346703042</v>
      </c>
      <c r="CZ12" s="59">
        <f t="shared" si="42"/>
        <v>319.35531375725202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2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8.8919999999999995</v>
      </c>
      <c r="D13" s="11">
        <f t="shared" si="32"/>
        <v>3.177517729464268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93.16820703446102</v>
      </c>
      <c r="H13" s="67">
        <f t="shared" si="1"/>
        <v>277.68774337881695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>
        <f>VLOOKUP(A13,'Données projet'!$A$35:$I$55,2,0)</f>
        <v>63</v>
      </c>
      <c r="L13" s="12">
        <f>VLOOKUP(A13,'Données projet'!$A$35:$I$55,9,0)</f>
        <v>29</v>
      </c>
      <c r="M13" s="12">
        <f t="array" ref="M13">INDEX(L:L,MIN(IF(ISNUMBER(L13:L209),ROW(L13:L209),"")))</f>
        <v>29</v>
      </c>
      <c r="N13" s="13">
        <f>IF('Données projet'!$A$36&gt;35,N12+M13-V12,IF(A13&lt;'Données projet'!$A$36,$K$205^A13,IF(A13='Données projet'!$A$36,'Données projet'!$B$36,N12+M13-V12)))</f>
        <v>63</v>
      </c>
      <c r="O13" s="13">
        <f>N13*VLOOKUP('Données projet'!$B$9,Paramètres!$A$1:$I$89,3,0)*VLOOKUP('Données projet'!$B$9,Paramètres!$A$1:$I$89,5,0)</f>
        <v>32.235840000000003</v>
      </c>
      <c r="P13" s="13">
        <f t="shared" si="33"/>
        <v>9.9156319407055413</v>
      </c>
      <c r="Q13" s="20">
        <f t="shared" si="2"/>
        <v>73.413813630062165</v>
      </c>
      <c r="R13" s="59">
        <f t="shared" si="0"/>
        <v>342.30270251895104</v>
      </c>
      <c r="S13" s="59">
        <f ca="1">AVERAGE(OFFSET($R$3,0,0,'Données projet'!$E$9+1,1))-AVERAGE(OFFSET($H$3,0,0,'Données projet'!$E$9+1,1))</f>
        <v>101.15586831191774</v>
      </c>
      <c r="T13" s="59">
        <f t="shared" si="34"/>
        <v>346.96347336689064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0.28199999999999997</v>
      </c>
      <c r="X13" s="16">
        <f>IF(ISNA(VLOOKUP(A13,'Données projet'!$A$35:$I$55,6,0)),0%,VLOOKUP(A13,'Données projet'!$A$35:$I$55,6,0)*VLOOKUP('Données projet'!$B$9,Paramètres!$A$1:$I$89,7,0))</f>
        <v>0.126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>
        <f>VLOOKUP(A13,'Données projet'!$A$61:$I$81,2,0)</f>
        <v>63</v>
      </c>
      <c r="AG13" s="12">
        <f>VLOOKUP(A13,'Données projet'!$A$61:$I$81,9,0)</f>
        <v>29</v>
      </c>
      <c r="AH13" s="12">
        <f t="array" ref="AH13">INDEX(AG:AG,MIN(IF(ISNUMBER(AG13:AG209),ROW(AG13:AG209),"")))</f>
        <v>29</v>
      </c>
      <c r="AI13" s="13">
        <f>IF('Données projet'!$A$62&gt;35,AI12+AH13-AQ12,IF(A13&lt;'Données projet'!$A$62,$AF$205^A13,IF(A13='Données projet'!$A$62,'Données projet'!$B$62,AI12+AH13-AQ12)))</f>
        <v>63</v>
      </c>
      <c r="AJ13" s="13">
        <f>AI13*VLOOKUP('Données projet'!$B$10,Paramètres!$A$1:$I$89,3,0)*VLOOKUP('Données projet'!$B$10,Paramètres!$A$1:$I$89,5,0)</f>
        <v>32.235840000000003</v>
      </c>
      <c r="AK13" s="13">
        <f t="shared" si="35"/>
        <v>9.9156319407055413</v>
      </c>
      <c r="AL13" s="20">
        <f t="shared" si="4"/>
        <v>73.413813630062165</v>
      </c>
      <c r="AM13" s="59">
        <f t="shared" si="5"/>
        <v>342.30270251895104</v>
      </c>
      <c r="AN13" s="59">
        <f ca="1">AVERAGE(OFFSET($AM$3,0,0,'Données projet'!$E$10+1,1))-AVERAGE(OFFSET($H$3,0,0,'Données projet'!$E$10+1,1))</f>
        <v>101.15586831191774</v>
      </c>
      <c r="AO13" s="59">
        <f t="shared" si="36"/>
        <v>346.96347336689064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0.28199999999999997</v>
      </c>
      <c r="AS13" s="16">
        <f>IF(ISNA(VLOOKUP(A13,'Données projet'!$A$61:$I$81,6,0)),0%,VLOOKUP(A13,'Données projet'!$A$61:$I$81,6,0)*VLOOKUP('Données projet'!$B$10,Paramètres!$A$1:$I$89,7,0))</f>
        <v>0.126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3.65</v>
      </c>
      <c r="BD13" s="12">
        <f>IF('Données projet'!$A$88&gt;35,BD12+BC13-BL12,IF(A13&lt;'Données projet'!$A$88,$BA$205^A13,IF(A13='Données projet'!$A$88,'Données projet'!$B$88,BD12+BC13-BL12)))</f>
        <v>8.5440037453175322</v>
      </c>
      <c r="BE13" s="13">
        <f>BD13*VLOOKUP('Données projet'!$B$11,Paramètres!$A$1:$I$89,3,0)*VLOOKUP('Données projet'!$B$11,Paramètres!$A$1:$I$89,5,0)</f>
        <v>7.7306145887633031</v>
      </c>
      <c r="BF13" s="13">
        <f t="shared" si="37"/>
        <v>2.8078763226288115</v>
      </c>
      <c r="BG13" s="20">
        <f t="shared" si="7"/>
        <v>18.354538337341264</v>
      </c>
      <c r="BH13" s="59">
        <f t="shared" si="8"/>
        <v>287.2434272262301</v>
      </c>
      <c r="BI13" s="59">
        <f ca="1">AVERAGE(OFFSET($BH$3,0,0,'Données projet'!$E$11+1,1))-AVERAGE(OFFSET($H$3,0,0,'Données projet'!$E$11+1,1))</f>
        <v>352.62747127358324</v>
      </c>
      <c r="BJ13" s="59">
        <f t="shared" si="38"/>
        <v>283.16932763435011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3.65</v>
      </c>
      <c r="BY13" s="12">
        <f>IF('Données projet'!$A$114&gt;35,BY12+BX13-CG12,IF(A13&lt;'Données projet'!$A$114,$BV$205^A13,IF(A13='Données projet'!$A$114,'Données projet'!$B$114,BY12+BX13-CG12)))</f>
        <v>8.5440037453175322</v>
      </c>
      <c r="BZ13" s="13">
        <f>BY13*VLOOKUP('Données projet'!$B$12,Paramètres!$A$1:$I$89,3,0)*VLOOKUP('Données projet'!$B$12,Paramètres!$A$1:$I$89,5,0)</f>
        <v>8.9301927146058855</v>
      </c>
      <c r="CA13" s="13">
        <f t="shared" si="39"/>
        <v>3.1895740936500991</v>
      </c>
      <c r="CB13" s="20">
        <f t="shared" si="10"/>
        <v>21.108593857712506</v>
      </c>
      <c r="CC13" s="59">
        <f t="shared" si="11"/>
        <v>289.99748274660135</v>
      </c>
      <c r="CD13" s="59">
        <f ca="1">AVERAGE(OFFSET($CC$3,0,0,'Données projet'!$E$12+1,1))-AVERAGE(OFFSET($H$3,0,0,'Données projet'!$E$12+1,1))</f>
        <v>423.49657671419374</v>
      </c>
      <c r="CE13" s="59">
        <f t="shared" si="40"/>
        <v>329.6783569381081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3.65</v>
      </c>
      <c r="CT13" s="12">
        <f>IF('Données projet'!$A$140&gt;35,CT12+CS13-DB12,IF(A13&lt;'Données projet'!$A$140,$CQ$205^A13,IF(A13='Données projet'!$A$140,'Données projet'!$B$140,CT12+CS13-DB12)))</f>
        <v>8.5440037453175322</v>
      </c>
      <c r="CU13" s="17">
        <f>CT13*VLOOKUP('Données projet'!$B$13,Paramètres!$A$1:$I$89,3,0)*VLOOKUP('Données projet'!$B$13,Paramètres!$A$1:$I$89,5,0)</f>
        <v>8.6636197977519771</v>
      </c>
      <c r="CV13" s="13">
        <f t="shared" si="41"/>
        <v>3.1052976990698267</v>
      </c>
      <c r="CW13" s="20">
        <f t="shared" si="13"/>
        <v>20.497531306964643</v>
      </c>
      <c r="CX13" s="59">
        <f t="shared" si="14"/>
        <v>289.38642019585347</v>
      </c>
      <c r="CY13" s="59">
        <f ca="1">AVERAGE(OFFSET($CX$3,0,0,'Données projet'!$E$13+1,1))-AVERAGE(OFFSET($H$3,0,0,'Données projet'!$E$13+1,1))</f>
        <v>407.76560346703042</v>
      </c>
      <c r="CZ13" s="59">
        <f t="shared" si="42"/>
        <v>319.35531375725202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2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9.7812000000000001</v>
      </c>
      <c r="D14" s="11">
        <f t="shared" si="32"/>
        <v>3.4567069199829903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102.18735166302658</v>
      </c>
      <c r="H14" s="67">
        <f t="shared" si="1"/>
        <v>279.72268788563707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>
        <f>VLOOKUP(A14,'Données projet'!$A$35:$I$55,2,0)</f>
        <v>94</v>
      </c>
      <c r="L14" s="12">
        <f>VLOOKUP(A14,'Données projet'!$A$35:$I$55,9,0)</f>
        <v>31</v>
      </c>
      <c r="M14" s="12">
        <f t="array" ref="M14">INDEX(L:L,MIN(IF(ISNUMBER(L14:L210),ROW(L14:L210),"")))</f>
        <v>31</v>
      </c>
      <c r="N14" s="13">
        <f>IF('Données projet'!$A$36&gt;35,N13+M14-V13,IF(A14&lt;'Données projet'!$A$36,$K$205^A14,IF(A14='Données projet'!$A$36,'Données projet'!$B$36,N13+M14-V13)))</f>
        <v>94</v>
      </c>
      <c r="O14" s="13">
        <f>N14*VLOOKUP('Données projet'!$B$9,Paramètres!$A$1:$I$89,3,0)*VLOOKUP('Données projet'!$B$9,Paramètres!$A$1:$I$89,5,0)</f>
        <v>48.097920000000002</v>
      </c>
      <c r="P14" s="13">
        <f t="shared" si="33"/>
        <v>14.121435922745269</v>
      </c>
      <c r="Q14" s="20">
        <f t="shared" si="2"/>
        <v>108.36537823211468</v>
      </c>
      <c r="R14" s="59">
        <f t="shared" si="0"/>
        <v>378.47648934322581</v>
      </c>
      <c r="S14" s="59">
        <f ca="1">AVERAGE(OFFSET($R$3,0,0,'Données projet'!$E$9+1,1))-AVERAGE(OFFSET($H$3,0,0,'Données projet'!$E$9+1,1))</f>
        <v>101.15586831191774</v>
      </c>
      <c r="T14" s="59">
        <f t="shared" si="34"/>
        <v>346.96347336689064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0.28199999999999997</v>
      </c>
      <c r="X14" s="16">
        <f>IF(ISNA(VLOOKUP(A14,'Données projet'!$A$35:$I$55,6,0)),0%,VLOOKUP(A14,'Données projet'!$A$35:$I$55,6,0)*VLOOKUP('Données projet'!$B$9,Paramètres!$A$1:$I$89,7,0))</f>
        <v>0.126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>
        <f>VLOOKUP(A14,'Données projet'!$A$61:$I$81,2,0)</f>
        <v>94</v>
      </c>
      <c r="AG14" s="12">
        <f>VLOOKUP(A14,'Données projet'!$A$61:$I$81,9,0)</f>
        <v>31</v>
      </c>
      <c r="AH14" s="12">
        <f t="array" ref="AH14">INDEX(AG:AG,MIN(IF(ISNUMBER(AG14:AG210),ROW(AG14:AG210),"")))</f>
        <v>31</v>
      </c>
      <c r="AI14" s="13">
        <f>IF('Données projet'!$A$62&gt;35,AI13+AH14-AQ13,IF(A14&lt;'Données projet'!$A$62,$AF$205^A14,IF(A14='Données projet'!$A$62,'Données projet'!$B$62,AI13+AH14-AQ13)))</f>
        <v>94</v>
      </c>
      <c r="AJ14" s="13">
        <f>AI14*VLOOKUP('Données projet'!$B$10,Paramètres!$A$1:$I$89,3,0)*VLOOKUP('Données projet'!$B$10,Paramètres!$A$1:$I$89,5,0)</f>
        <v>48.097920000000002</v>
      </c>
      <c r="AK14" s="13">
        <f t="shared" si="35"/>
        <v>14.121435922745269</v>
      </c>
      <c r="AL14" s="20">
        <f t="shared" si="4"/>
        <v>108.36537823211468</v>
      </c>
      <c r="AM14" s="59">
        <f t="shared" si="5"/>
        <v>378.47648934322581</v>
      </c>
      <c r="AN14" s="59">
        <f ca="1">AVERAGE(OFFSET($AM$3,0,0,'Données projet'!$E$10+1,1))-AVERAGE(OFFSET($H$3,0,0,'Données projet'!$E$10+1,1))</f>
        <v>101.15586831191774</v>
      </c>
      <c r="AO14" s="59">
        <f t="shared" si="36"/>
        <v>346.96347336689064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0.28199999999999997</v>
      </c>
      <c r="AS14" s="16">
        <f>IF(ISNA(VLOOKUP(A14,'Données projet'!$A$61:$I$81,6,0)),0%,VLOOKUP(A14,'Données projet'!$A$61:$I$81,6,0)*VLOOKUP('Données projet'!$B$10,Paramètres!$A$1:$I$89,7,0))</f>
        <v>0.126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3.65</v>
      </c>
      <c r="BD14" s="12">
        <f>IF('Données projet'!$A$88&gt;35,BD13+BC14-BL13,IF(A14&lt;'Données projet'!$A$88,$BA$205^A14,IF(A14='Données projet'!$A$88,'Données projet'!$B$88,BD13+BC14-BL13)))</f>
        <v>10.588332555950936</v>
      </c>
      <c r="BE14" s="13">
        <f>BD14*VLOOKUP('Données projet'!$B$11,Paramètres!$A$1:$I$89,3,0)*VLOOKUP('Données projet'!$B$11,Paramètres!$A$1:$I$89,5,0)</f>
        <v>9.5803232966244067</v>
      </c>
      <c r="BF14" s="13">
        <f t="shared" si="37"/>
        <v>3.3939041949894282</v>
      </c>
      <c r="BG14" s="20">
        <f t="shared" si="7"/>
        <v>22.596779547894098</v>
      </c>
      <c r="BH14" s="59">
        <f t="shared" si="8"/>
        <v>292.70789065900522</v>
      </c>
      <c r="BI14" s="59">
        <f ca="1">AVERAGE(OFFSET($BH$3,0,0,'Données projet'!$E$11+1,1))-AVERAGE(OFFSET($H$3,0,0,'Données projet'!$E$11+1,1))</f>
        <v>352.62747127358324</v>
      </c>
      <c r="BJ14" s="59">
        <f t="shared" si="38"/>
        <v>283.16932763435011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3.65</v>
      </c>
      <c r="BY14" s="12">
        <f>IF('Données projet'!$A$114&gt;35,BY13+BX14-CG13,IF(A14&lt;'Données projet'!$A$114,$BV$205^A14,IF(A14='Données projet'!$A$114,'Données projet'!$B$114,BY13+BX14-CG13)))</f>
        <v>10.588332555950936</v>
      </c>
      <c r="BZ14" s="13">
        <f>BY14*VLOOKUP('Données projet'!$B$12,Paramètres!$A$1:$I$89,3,0)*VLOOKUP('Données projet'!$B$12,Paramètres!$A$1:$I$89,5,0)</f>
        <v>11.066925187479919</v>
      </c>
      <c r="CA14" s="13">
        <f t="shared" si="39"/>
        <v>3.8552655647360954</v>
      </c>
      <c r="CB14" s="20">
        <f t="shared" si="10"/>
        <v>25.989482226776222</v>
      </c>
      <c r="CC14" s="59">
        <f t="shared" si="11"/>
        <v>296.10059333788735</v>
      </c>
      <c r="CD14" s="59">
        <f ca="1">AVERAGE(OFFSET($CC$3,0,0,'Données projet'!$E$12+1,1))-AVERAGE(OFFSET($H$3,0,0,'Données projet'!$E$12+1,1))</f>
        <v>423.49657671419374</v>
      </c>
      <c r="CE14" s="59">
        <f t="shared" si="40"/>
        <v>329.6783569381081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3.65</v>
      </c>
      <c r="CT14" s="12">
        <f>IF('Données projet'!$A$140&gt;35,CT13+CS14-DB13,IF(A14&lt;'Données projet'!$A$140,$CQ$205^A14,IF(A14='Données projet'!$A$140,'Données projet'!$B$140,CT13+CS14-DB13)))</f>
        <v>10.588332555950936</v>
      </c>
      <c r="CU14" s="17">
        <f>CT14*VLOOKUP('Données projet'!$B$13,Paramètres!$A$1:$I$89,3,0)*VLOOKUP('Données projet'!$B$13,Paramètres!$A$1:$I$89,5,0)</f>
        <v>10.736569211734251</v>
      </c>
      <c r="CV14" s="13">
        <f t="shared" si="41"/>
        <v>3.7533999637480915</v>
      </c>
      <c r="CW14" s="20">
        <f t="shared" si="13"/>
        <v>25.23669631396508</v>
      </c>
      <c r="CX14" s="59">
        <f t="shared" si="14"/>
        <v>295.34780742507621</v>
      </c>
      <c r="CY14" s="59">
        <f ca="1">AVERAGE(OFFSET($CX$3,0,0,'Données projet'!$E$13+1,1))-AVERAGE(OFFSET($H$3,0,0,'Données projet'!$E$13+1,1))</f>
        <v>407.76560346703042</v>
      </c>
      <c r="CZ14" s="59">
        <f t="shared" si="42"/>
        <v>319.35531375725202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2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10.670400000000001</v>
      </c>
      <c r="D15" s="11">
        <f t="shared" si="32"/>
        <v>3.7329530817348471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111.18377817479534</v>
      </c>
      <c r="H15" s="67">
        <f t="shared" si="1"/>
        <v>281.75250661735487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>
        <f>VLOOKUP(A15,'Données projet'!$A$35:$I$55,2,0)</f>
        <v>128</v>
      </c>
      <c r="L15" s="12">
        <f>VLOOKUP(A15,'Données projet'!$A$35:$I$55,9,0)</f>
        <v>34</v>
      </c>
      <c r="M15" s="12">
        <f t="array" ref="M15">INDEX(L:L,MIN(IF(ISNUMBER(L15:L211),ROW(L15:L211),"")))</f>
        <v>34</v>
      </c>
      <c r="N15" s="13">
        <f>IF('Données projet'!$A$36&gt;35,N14+M15-V14,IF(A15&lt;'Données projet'!$A$36,$K$205^A15,IF(A15='Données projet'!$A$36,'Données projet'!$B$36,N14+M15-V14)))</f>
        <v>128</v>
      </c>
      <c r="O15" s="13">
        <f>N15*VLOOKUP('Données projet'!$B$9,Paramètres!$A$1:$I$89,3,0)*VLOOKUP('Données projet'!$B$9,Paramètres!$A$1:$I$89,5,0)</f>
        <v>65.495040000000003</v>
      </c>
      <c r="P15" s="13">
        <f t="shared" si="33"/>
        <v>18.550423012941607</v>
      </c>
      <c r="Q15" s="20">
        <f t="shared" si="2"/>
        <v>146.37918141420661</v>
      </c>
      <c r="R15" s="59">
        <f t="shared" si="0"/>
        <v>417.7125147475399</v>
      </c>
      <c r="S15" s="59">
        <f ca="1">AVERAGE(OFFSET($R$3,0,0,'Données projet'!$E$9+1,1))-AVERAGE(OFFSET($H$3,0,0,'Données projet'!$E$9+1,1))</f>
        <v>101.15586831191774</v>
      </c>
      <c r="T15" s="59">
        <f t="shared" si="34"/>
        <v>346.96347336689064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0.28199999999999997</v>
      </c>
      <c r="X15" s="16">
        <f>IF(ISNA(VLOOKUP(A15,'Données projet'!$A$35:$I$55,6,0)),0%,VLOOKUP(A15,'Données projet'!$A$35:$I$55,6,0)*VLOOKUP('Données projet'!$B$9,Paramètres!$A$1:$I$89,7,0))</f>
        <v>0.126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>
        <f>VLOOKUP(A15,'Données projet'!$A$61:$I$81,2,0)</f>
        <v>128</v>
      </c>
      <c r="AG15" s="12">
        <f>VLOOKUP(A15,'Données projet'!$A$61:$I$81,9,0)</f>
        <v>34</v>
      </c>
      <c r="AH15" s="12">
        <f t="array" ref="AH15">INDEX(AG:AG,MIN(IF(ISNUMBER(AG15:AG211),ROW(AG15:AG211),"")))</f>
        <v>34</v>
      </c>
      <c r="AI15" s="13">
        <f>IF('Données projet'!$A$62&gt;35,AI14+AH15-AQ14,IF(A15&lt;'Données projet'!$A$62,$AF$205^A15,IF(A15='Données projet'!$A$62,'Données projet'!$B$62,AI14+AH15-AQ14)))</f>
        <v>128</v>
      </c>
      <c r="AJ15" s="13">
        <f>AI15*VLOOKUP('Données projet'!$B$10,Paramètres!$A$1:$I$89,3,0)*VLOOKUP('Données projet'!$B$10,Paramètres!$A$1:$I$89,5,0)</f>
        <v>65.495040000000003</v>
      </c>
      <c r="AK15" s="13">
        <f t="shared" si="35"/>
        <v>18.550423012941607</v>
      </c>
      <c r="AL15" s="20">
        <f t="shared" si="4"/>
        <v>146.37918141420661</v>
      </c>
      <c r="AM15" s="59">
        <f t="shared" si="5"/>
        <v>417.7125147475399</v>
      </c>
      <c r="AN15" s="59">
        <f ca="1">AVERAGE(OFFSET($AM$3,0,0,'Données projet'!$E$10+1,1))-AVERAGE(OFFSET($H$3,0,0,'Données projet'!$E$10+1,1))</f>
        <v>101.15586831191774</v>
      </c>
      <c r="AO15" s="59">
        <f t="shared" si="36"/>
        <v>346.96347336689064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0.28199999999999997</v>
      </c>
      <c r="AS15" s="16">
        <f>IF(ISNA(VLOOKUP(A15,'Données projet'!$A$61:$I$81,6,0)),0%,VLOOKUP(A15,'Données projet'!$A$61:$I$81,6,0)*VLOOKUP('Données projet'!$B$10,Paramètres!$A$1:$I$89,7,0))</f>
        <v>0.126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3.65</v>
      </c>
      <c r="BD15" s="12">
        <f>IF('Données projet'!$A$88&gt;35,BD14+BC15-BL14,IF(A15&lt;'Données projet'!$A$88,$BA$205^A15,IF(A15='Données projet'!$A$88,'Données projet'!$B$88,BD14+BC15-BL14)))</f>
        <v>13.121809125710287</v>
      </c>
      <c r="BE15" s="13">
        <f>BD15*VLOOKUP('Données projet'!$B$11,Paramètres!$A$1:$I$89,3,0)*VLOOKUP('Données projet'!$B$11,Paramètres!$A$1:$I$89,5,0)</f>
        <v>11.872612896942668</v>
      </c>
      <c r="BF15" s="13">
        <f t="shared" si="37"/>
        <v>4.1022411108131784</v>
      </c>
      <c r="BG15" s="20">
        <f t="shared" si="7"/>
        <v>27.822870730174767</v>
      </c>
      <c r="BH15" s="59">
        <f t="shared" si="8"/>
        <v>299.15620406350808</v>
      </c>
      <c r="BI15" s="59">
        <f ca="1">AVERAGE(OFFSET($BH$3,0,0,'Données projet'!$E$11+1,1))-AVERAGE(OFFSET($H$3,0,0,'Données projet'!$E$11+1,1))</f>
        <v>352.62747127358324</v>
      </c>
      <c r="BJ15" s="59">
        <f t="shared" si="38"/>
        <v>283.16932763435011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3.65</v>
      </c>
      <c r="BY15" s="12">
        <f>IF('Données projet'!$A$114&gt;35,BY14+BX15-CG14,IF(A15&lt;'Données projet'!$A$114,$BV$205^A15,IF(A15='Données projet'!$A$114,'Données projet'!$B$114,BY14+BX15-CG14)))</f>
        <v>13.121809125710287</v>
      </c>
      <c r="BZ15" s="13">
        <f>BY15*VLOOKUP('Données projet'!$B$12,Paramètres!$A$1:$I$89,3,0)*VLOOKUP('Données projet'!$B$12,Paramètres!$A$1:$I$89,5,0)</f>
        <v>13.714914898192394</v>
      </c>
      <c r="CA15" s="13">
        <f t="shared" si="39"/>
        <v>4.6598925556329869</v>
      </c>
      <c r="CB15" s="20">
        <f t="shared" si="10"/>
        <v>32.002789648745868</v>
      </c>
      <c r="CC15" s="59">
        <f t="shared" si="11"/>
        <v>303.33612298207919</v>
      </c>
      <c r="CD15" s="59">
        <f ca="1">AVERAGE(OFFSET($CC$3,0,0,'Données projet'!$E$12+1,1))-AVERAGE(OFFSET($H$3,0,0,'Données projet'!$E$12+1,1))</f>
        <v>423.49657671419374</v>
      </c>
      <c r="CE15" s="59">
        <f t="shared" si="40"/>
        <v>329.6783569381081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3.65</v>
      </c>
      <c r="CT15" s="12">
        <f>IF('Données projet'!$A$140&gt;35,CT14+CS15-DB14,IF(A15&lt;'Données projet'!$A$140,$CQ$205^A15,IF(A15='Données projet'!$A$140,'Données projet'!$B$140,CT14+CS15-DB14)))</f>
        <v>13.121809125710287</v>
      </c>
      <c r="CU15" s="17">
        <f>CT15*VLOOKUP('Données projet'!$B$13,Paramètres!$A$1:$I$89,3,0)*VLOOKUP('Données projet'!$B$13,Paramètres!$A$1:$I$89,5,0)</f>
        <v>13.305514453470233</v>
      </c>
      <c r="CV15" s="13">
        <f t="shared" si="41"/>
        <v>4.5367667299931158</v>
      </c>
      <c r="CW15" s="20">
        <f t="shared" si="13"/>
        <v>31.075306394532003</v>
      </c>
      <c r="CX15" s="59">
        <f t="shared" si="14"/>
        <v>302.40863972786531</v>
      </c>
      <c r="CY15" s="59">
        <f ca="1">AVERAGE(OFFSET($CX$3,0,0,'Données projet'!$E$13+1,1))-AVERAGE(OFFSET($H$3,0,0,'Données projet'!$E$13+1,1))</f>
        <v>407.76560346703042</v>
      </c>
      <c r="CZ15" s="59">
        <f t="shared" si="42"/>
        <v>319.35531375725202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0</v>
      </c>
      <c r="DI15" s="22">
        <f t="shared" si="15"/>
        <v>0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2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11.559600000000001</v>
      </c>
      <c r="D16" s="11">
        <f t="shared" si="32"/>
        <v>4.0065293501366055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120.15959498351064</v>
      </c>
      <c r="H16" s="67">
        <f t="shared" si="1"/>
        <v>283.77767528482127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>
        <f>VLOOKUP(A16,'Données projet'!$A$35:$I$55,2,0)</f>
        <v>165</v>
      </c>
      <c r="L16" s="12">
        <f>VLOOKUP(A16,'Données projet'!$A$35:$I$55,9,0)</f>
        <v>37</v>
      </c>
      <c r="M16" s="12">
        <f t="array" ref="M16">INDEX(L:L,MIN(IF(ISNUMBER(L16:L212),ROW(L16:L212),"")))</f>
        <v>37</v>
      </c>
      <c r="N16" s="13">
        <f>IF('Données projet'!$A$36&gt;35,N15+M16-V15,IF(A16&lt;'Données projet'!$A$36,$K$205^A16,IF(A16='Données projet'!$A$36,'Données projet'!$B$36,N15+M16-V15)))</f>
        <v>165</v>
      </c>
      <c r="O16" s="13">
        <f>N16*VLOOKUP('Données projet'!$B$9,Paramètres!$A$1:$I$89,3,0)*VLOOKUP('Données projet'!$B$9,Paramètres!$A$1:$I$89,5,0)</f>
        <v>84.427200000000013</v>
      </c>
      <c r="P16" s="13">
        <f t="shared" si="33"/>
        <v>23.216240893320119</v>
      </c>
      <c r="Q16" s="20">
        <f t="shared" si="2"/>
        <v>187.47899288919925</v>
      </c>
      <c r="R16" s="59">
        <f t="shared" si="0"/>
        <v>460.03454844475482</v>
      </c>
      <c r="S16" s="59">
        <f ca="1">AVERAGE(OFFSET($R$3,0,0,'Données projet'!$E$9+1,1))-AVERAGE(OFFSET($H$3,0,0,'Données projet'!$E$9+1,1))</f>
        <v>101.15586831191774</v>
      </c>
      <c r="T16" s="59">
        <f t="shared" si="34"/>
        <v>346.96347336689064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0.28199999999999997</v>
      </c>
      <c r="X16" s="16">
        <f>IF(ISNA(VLOOKUP(A16,'Données projet'!$A$35:$I$55,6,0)),0%,VLOOKUP(A16,'Données projet'!$A$35:$I$55,6,0)*VLOOKUP('Données projet'!$B$9,Paramètres!$A$1:$I$89,7,0))</f>
        <v>0.126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>
        <f>VLOOKUP(A16,'Données projet'!$A$61:$I$81,2,0)</f>
        <v>165</v>
      </c>
      <c r="AG16" s="12">
        <f>VLOOKUP(A16,'Données projet'!$A$61:$I$81,9,0)</f>
        <v>37</v>
      </c>
      <c r="AH16" s="12">
        <f t="array" ref="AH16">INDEX(AG:AG,MIN(IF(ISNUMBER(AG16:AG212),ROW(AG16:AG212),"")))</f>
        <v>37</v>
      </c>
      <c r="AI16" s="13">
        <f>IF('Données projet'!$A$62&gt;35,AI15+AH16-AQ15,IF(A16&lt;'Données projet'!$A$62,$AF$205^A16,IF(A16='Données projet'!$A$62,'Données projet'!$B$62,AI15+AH16-AQ15)))</f>
        <v>165</v>
      </c>
      <c r="AJ16" s="13">
        <f>AI16*VLOOKUP('Données projet'!$B$10,Paramètres!$A$1:$I$89,3,0)*VLOOKUP('Données projet'!$B$10,Paramètres!$A$1:$I$89,5,0)</f>
        <v>84.427200000000013</v>
      </c>
      <c r="AK16" s="13">
        <f t="shared" si="35"/>
        <v>23.216240893320119</v>
      </c>
      <c r="AL16" s="20">
        <f t="shared" si="4"/>
        <v>187.47899288919925</v>
      </c>
      <c r="AM16" s="59">
        <f t="shared" si="5"/>
        <v>460.03454844475482</v>
      </c>
      <c r="AN16" s="59">
        <f ca="1">AVERAGE(OFFSET($AM$3,0,0,'Données projet'!$E$10+1,1))-AVERAGE(OFFSET($H$3,0,0,'Données projet'!$E$10+1,1))</f>
        <v>101.15586831191774</v>
      </c>
      <c r="AO16" s="59">
        <f t="shared" si="36"/>
        <v>346.96347336689064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0.28199999999999997</v>
      </c>
      <c r="AS16" s="16">
        <f>IF(ISNA(VLOOKUP(A16,'Données projet'!$A$61:$I$81,6,0)),0%,VLOOKUP(A16,'Données projet'!$A$61:$I$81,6,0)*VLOOKUP('Données projet'!$B$10,Paramètres!$A$1:$I$89,7,0))</f>
        <v>0.126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3.65</v>
      </c>
      <c r="BD16" s="12">
        <f>IF('Données projet'!$A$88&gt;35,BD15+BC16-BL15,IF(A16&lt;'Données projet'!$A$88,$BA$205^A16,IF(A16='Données projet'!$A$88,'Données projet'!$B$88,BD15+BC16-BL15)))</f>
        <v>16.261472127148366</v>
      </c>
      <c r="BE16" s="13">
        <f>BD16*VLOOKUP('Données projet'!$B$11,Paramètres!$A$1:$I$89,3,0)*VLOOKUP('Données projet'!$B$11,Paramètres!$A$1:$I$89,5,0)</f>
        <v>14.713379980643843</v>
      </c>
      <c r="BF16" s="13">
        <f t="shared" si="37"/>
        <v>4.9584140165447881</v>
      </c>
      <c r="BG16" s="20">
        <f t="shared" si="7"/>
        <v>34.261707878436859</v>
      </c>
      <c r="BH16" s="59">
        <f t="shared" si="8"/>
        <v>306.81726343399242</v>
      </c>
      <c r="BI16" s="59">
        <f ca="1">AVERAGE(OFFSET($BH$3,0,0,'Données projet'!$E$11+1,1))-AVERAGE(OFFSET($H$3,0,0,'Données projet'!$E$11+1,1))</f>
        <v>352.62747127358324</v>
      </c>
      <c r="BJ16" s="59">
        <f t="shared" si="38"/>
        <v>283.16932763435011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3.65</v>
      </c>
      <c r="BY16" s="12">
        <f>IF('Données projet'!$A$114&gt;35,BY15+BX16-CG15,IF(A16&lt;'Données projet'!$A$114,$BV$205^A16,IF(A16='Données projet'!$A$114,'Données projet'!$B$114,BY15+BX16-CG15)))</f>
        <v>16.261472127148366</v>
      </c>
      <c r="BZ16" s="13">
        <f>BY16*VLOOKUP('Données projet'!$B$12,Paramètres!$A$1:$I$89,3,0)*VLOOKUP('Données projet'!$B$12,Paramètres!$A$1:$I$89,5,0)</f>
        <v>16.996490667295472</v>
      </c>
      <c r="CA16" s="13">
        <f t="shared" si="39"/>
        <v>5.6324521010085444</v>
      </c>
      <c r="CB16" s="20">
        <f t="shared" si="10"/>
        <v>39.412075321462829</v>
      </c>
      <c r="CC16" s="59">
        <f t="shared" si="11"/>
        <v>311.96763087701839</v>
      </c>
      <c r="CD16" s="59">
        <f ca="1">AVERAGE(OFFSET($CC$3,0,0,'Données projet'!$E$12+1,1))-AVERAGE(OFFSET($H$3,0,0,'Données projet'!$E$12+1,1))</f>
        <v>423.49657671419374</v>
      </c>
      <c r="CE16" s="59">
        <f t="shared" si="40"/>
        <v>329.6783569381081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3.65</v>
      </c>
      <c r="CT16" s="12">
        <f>IF('Données projet'!$A$140&gt;35,CT15+CS16-DB15,IF(A16&lt;'Données projet'!$A$140,$CQ$205^A16,IF(A16='Données projet'!$A$140,'Données projet'!$B$140,CT15+CS16-DB15)))</f>
        <v>16.261472127148366</v>
      </c>
      <c r="CU16" s="17">
        <f>CT16*VLOOKUP('Données projet'!$B$13,Paramètres!$A$1:$I$89,3,0)*VLOOKUP('Données projet'!$B$13,Paramètres!$A$1:$I$89,5,0)</f>
        <v>16.489132736928447</v>
      </c>
      <c r="CV16" s="13">
        <f t="shared" si="41"/>
        <v>5.4836288594779292</v>
      </c>
      <c r="CW16" s="20">
        <f t="shared" si="13"/>
        <v>38.269226447074438</v>
      </c>
      <c r="CX16" s="59">
        <f t="shared" si="14"/>
        <v>310.82478200263</v>
      </c>
      <c r="CY16" s="59">
        <f ca="1">AVERAGE(OFFSET($CX$3,0,0,'Données projet'!$E$13+1,1))-AVERAGE(OFFSET($H$3,0,0,'Données projet'!$E$13+1,1))</f>
        <v>407.76560346703042</v>
      </c>
      <c r="CZ16" s="59">
        <f t="shared" si="42"/>
        <v>319.35531375725202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0</v>
      </c>
      <c r="DI16" s="22">
        <f t="shared" si="15"/>
        <v>0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2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12.448800000000002</v>
      </c>
      <c r="D17" s="11">
        <f t="shared" si="32"/>
        <v>4.2776644527179633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129.11656770519133</v>
      </c>
      <c r="H17" s="67">
        <f t="shared" si="1"/>
        <v>285.79859225515048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>
        <f>VLOOKUP(A17,'Données projet'!$A$35:$I$55,2,0)</f>
        <v>198</v>
      </c>
      <c r="L17" s="12">
        <f>VLOOKUP(A17,'Données projet'!$A$35:$I$55,9,0)</f>
        <v>33</v>
      </c>
      <c r="M17" s="12">
        <f t="array" ref="M17">INDEX(L:L,MIN(IF(ISNUMBER(L17:L213),ROW(L17:L213),"")))</f>
        <v>33</v>
      </c>
      <c r="N17" s="13">
        <f>IF('Données projet'!$A$36&gt;35,N16+M17-V16,IF(A17&lt;'Données projet'!$A$36,$K$205^A17,IF(A17='Données projet'!$A$36,'Données projet'!$B$36,N16+M17-V16)))</f>
        <v>198</v>
      </c>
      <c r="O17" s="13">
        <f>N17*VLOOKUP('Données projet'!$B$9,Paramètres!$A$1:$I$89,3,0)*VLOOKUP('Données projet'!$B$9,Paramètres!$A$1:$I$89,5,0)</f>
        <v>101.31264</v>
      </c>
      <c r="P17" s="13">
        <f t="shared" si="33"/>
        <v>27.274478183204245</v>
      </c>
      <c r="Q17" s="20">
        <f t="shared" si="2"/>
        <v>223.95589750241402</v>
      </c>
      <c r="R17" s="59">
        <f t="shared" si="0"/>
        <v>497.73367528019179</v>
      </c>
      <c r="S17" s="59">
        <f ca="1">AVERAGE(OFFSET($R$3,0,0,'Données projet'!$E$9+1,1))-AVERAGE(OFFSET($H$3,0,0,'Données projet'!$E$9+1,1))</f>
        <v>101.15586831191774</v>
      </c>
      <c r="T17" s="59">
        <f t="shared" si="34"/>
        <v>346.96347336689064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0.28199999999999997</v>
      </c>
      <c r="X17" s="16">
        <f>IF(ISNA(VLOOKUP(A17,'Données projet'!$A$35:$I$55,6,0)),0%,VLOOKUP(A17,'Données projet'!$A$35:$I$55,6,0)*VLOOKUP('Données projet'!$B$9,Paramètres!$A$1:$I$89,7,0))</f>
        <v>0.126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>
        <f>VLOOKUP(A17,'Données projet'!$A$61:$I$81,2,0)</f>
        <v>198</v>
      </c>
      <c r="AG17" s="12">
        <f>VLOOKUP(A17,'Données projet'!$A$61:$I$81,9,0)</f>
        <v>33</v>
      </c>
      <c r="AH17" s="12">
        <f t="array" ref="AH17">INDEX(AG:AG,MIN(IF(ISNUMBER(AG17:AG213),ROW(AG17:AG213),"")))</f>
        <v>33</v>
      </c>
      <c r="AI17" s="13">
        <f>IF('Données projet'!$A$62&gt;35,AI16+AH17-AQ16,IF(A17&lt;'Données projet'!$A$62,$AF$205^A17,IF(A17='Données projet'!$A$62,'Données projet'!$B$62,AI16+AH17-AQ16)))</f>
        <v>198</v>
      </c>
      <c r="AJ17" s="13">
        <f>AI17*VLOOKUP('Données projet'!$B$10,Paramètres!$A$1:$I$89,3,0)*VLOOKUP('Données projet'!$B$10,Paramètres!$A$1:$I$89,5,0)</f>
        <v>101.31264</v>
      </c>
      <c r="AK17" s="13">
        <f t="shared" si="35"/>
        <v>27.274478183204245</v>
      </c>
      <c r="AL17" s="20">
        <f t="shared" si="4"/>
        <v>223.95589750241402</v>
      </c>
      <c r="AM17" s="59">
        <f t="shared" si="5"/>
        <v>497.73367528019179</v>
      </c>
      <c r="AN17" s="59">
        <f ca="1">AVERAGE(OFFSET($AM$3,0,0,'Données projet'!$E$10+1,1))-AVERAGE(OFFSET($H$3,0,0,'Données projet'!$E$10+1,1))</f>
        <v>101.15586831191774</v>
      </c>
      <c r="AO17" s="59">
        <f t="shared" si="36"/>
        <v>346.96347336689064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0.28199999999999997</v>
      </c>
      <c r="AS17" s="16">
        <f>IF(ISNA(VLOOKUP(A17,'Données projet'!$A$61:$I$81,6,0)),0%,VLOOKUP(A17,'Données projet'!$A$61:$I$81,6,0)*VLOOKUP('Données projet'!$B$10,Paramètres!$A$1:$I$89,7,0))</f>
        <v>0.126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3.65</v>
      </c>
      <c r="BD17" s="12">
        <f>IF('Données projet'!$A$88&gt;35,BD16+BC17-BL16,IF(A17&lt;'Données projet'!$A$88,$BA$205^A17,IF(A17='Données projet'!$A$88,'Données projet'!$B$88,BD16+BC17-BL16)))</f>
        <v>20.152364144963837</v>
      </c>
      <c r="BE17" s="13">
        <f>BD17*VLOOKUP('Données projet'!$B$11,Paramètres!$A$1:$I$89,3,0)*VLOOKUP('Données projet'!$B$11,Paramètres!$A$1:$I$89,5,0)</f>
        <v>18.233859078363277</v>
      </c>
      <c r="BF17" s="13">
        <f t="shared" si="37"/>
        <v>5.9932775513027368</v>
      </c>
      <c r="BG17" s="20">
        <f t="shared" si="7"/>
        <v>42.195596296668306</v>
      </c>
      <c r="BH17" s="59">
        <f t="shared" si="8"/>
        <v>315.9733740744461</v>
      </c>
      <c r="BI17" s="59">
        <f ca="1">AVERAGE(OFFSET($BH$3,0,0,'Données projet'!$E$11+1,1))-AVERAGE(OFFSET($H$3,0,0,'Données projet'!$E$11+1,1))</f>
        <v>352.62747127358324</v>
      </c>
      <c r="BJ17" s="59">
        <f t="shared" si="38"/>
        <v>283.16932763435011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3.65</v>
      </c>
      <c r="BY17" s="12">
        <f>IF('Données projet'!$A$114&gt;35,BY16+BX17-CG16,IF(A17&lt;'Données projet'!$A$114,$BV$205^A17,IF(A17='Données projet'!$A$114,'Données projet'!$B$114,BY16+BX17-CG16)))</f>
        <v>20.152364144963837</v>
      </c>
      <c r="BZ17" s="13">
        <f>BY17*VLOOKUP('Données projet'!$B$12,Paramètres!$A$1:$I$89,3,0)*VLOOKUP('Données projet'!$B$12,Paramètres!$A$1:$I$89,5,0)</f>
        <v>21.063251004316204</v>
      </c>
      <c r="CA17" s="13">
        <f t="shared" si="39"/>
        <v>6.8079931653802301</v>
      </c>
      <c r="CB17" s="20">
        <f t="shared" si="10"/>
        <v>48.542416928887945</v>
      </c>
      <c r="CC17" s="59">
        <f t="shared" si="11"/>
        <v>322.32019470666569</v>
      </c>
      <c r="CD17" s="59">
        <f ca="1">AVERAGE(OFFSET($CC$3,0,0,'Données projet'!$E$12+1,1))-AVERAGE(OFFSET($H$3,0,0,'Données projet'!$E$12+1,1))</f>
        <v>423.49657671419374</v>
      </c>
      <c r="CE17" s="59">
        <f t="shared" si="40"/>
        <v>329.6783569381081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3.65</v>
      </c>
      <c r="CT17" s="12">
        <f>IF('Données projet'!$A$140&gt;35,CT16+CS17-DB16,IF(A17&lt;'Données projet'!$A$140,$CQ$205^A17,IF(A17='Données projet'!$A$140,'Données projet'!$B$140,CT16+CS17-DB16)))</f>
        <v>20.152364144963837</v>
      </c>
      <c r="CU17" s="17">
        <f>CT17*VLOOKUP('Données projet'!$B$13,Paramètres!$A$1:$I$89,3,0)*VLOOKUP('Données projet'!$B$13,Paramètres!$A$1:$I$89,5,0)</f>
        <v>20.434497242993334</v>
      </c>
      <c r="CV17" s="13">
        <f t="shared" si="41"/>
        <v>6.6281092368495731</v>
      </c>
      <c r="CW17" s="20">
        <f t="shared" si="13"/>
        <v>47.134039619059727</v>
      </c>
      <c r="CX17" s="59">
        <f t="shared" si="14"/>
        <v>320.91181739683748</v>
      </c>
      <c r="CY17" s="59">
        <f ca="1">AVERAGE(OFFSET($CX$3,0,0,'Données projet'!$E$13+1,1))-AVERAGE(OFFSET($H$3,0,0,'Données projet'!$E$13+1,1))</f>
        <v>407.76560346703042</v>
      </c>
      <c r="CZ17" s="59">
        <f t="shared" si="42"/>
        <v>319.35531375725202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0</v>
      </c>
      <c r="DI17" s="22">
        <f t="shared" si="15"/>
        <v>0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2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13.338000000000003</v>
      </c>
      <c r="D18" s="11">
        <f t="shared" si="32"/>
        <v>4.5465525901071517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138.0561954324061</v>
      </c>
      <c r="H18" s="67">
        <f t="shared" si="1"/>
        <v>287.81559576110328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>
        <f>VLOOKUP(A18,'Données projet'!$A$35:$I$55,2,0)</f>
        <v>232</v>
      </c>
      <c r="L18" s="12">
        <f>VLOOKUP(A18,'Données projet'!$A$35:$I$55,9,0)</f>
        <v>34</v>
      </c>
      <c r="M18" s="12">
        <f t="array" ref="M18">INDEX(L:L,MIN(IF(ISNUMBER(L18:L214),ROW(L18:L214),"")))</f>
        <v>34</v>
      </c>
      <c r="N18" s="13">
        <f>IF('Données projet'!$A$36&gt;35,N17+M18-V17,IF(A18&lt;'Données projet'!$A$36,$K$205^A18,IF(A18='Données projet'!$A$36,'Données projet'!$B$36,N17+M18-V17)))</f>
        <v>232</v>
      </c>
      <c r="O18" s="13">
        <f>N18*VLOOKUP('Données projet'!$B$9,Paramètres!$A$1:$I$89,3,0)*VLOOKUP('Données projet'!$B$9,Paramètres!$A$1:$I$89,5,0)</f>
        <v>118.70976</v>
      </c>
      <c r="P18" s="13">
        <f t="shared" si="33"/>
        <v>31.373882934303314</v>
      </c>
      <c r="Q18" s="20">
        <f t="shared" si="2"/>
        <v>261.39567811057827</v>
      </c>
      <c r="R18" s="59">
        <f t="shared" si="0"/>
        <v>536.39567811057827</v>
      </c>
      <c r="S18" s="59">
        <f ca="1">AVERAGE(OFFSET($R$3,0,0,'Données projet'!$E$9+1,1))-AVERAGE(OFFSET($H$3,0,0,'Données projet'!$E$9+1,1))</f>
        <v>101.15586831191774</v>
      </c>
      <c r="T18" s="59">
        <f t="shared" si="34"/>
        <v>346.96347336689064</v>
      </c>
      <c r="U18" s="15">
        <f>IF(ISNA(VLOOKUP(A18,'Données projet'!$A$35:$I$55,3,0)),0,VLOOKUP(A18,'Données projet'!$A$35:$I$55,3,0))</f>
        <v>1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0.28199999999999997</v>
      </c>
      <c r="X18" s="16">
        <f>IF(ISNA(VLOOKUP(A18,'Données projet'!$A$35:$I$55,6,0)),0%,VLOOKUP(A18,'Données projet'!$A$35:$I$55,6,0)*VLOOKUP('Données projet'!$B$9,Paramètres!$A$1:$I$89,7,0))</f>
        <v>0.126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>
        <f>VLOOKUP(A18,'Données projet'!$A$61:$I$81,2,0)</f>
        <v>232</v>
      </c>
      <c r="AG18" s="12">
        <f>VLOOKUP(A18,'Données projet'!$A$61:$I$81,9,0)</f>
        <v>34</v>
      </c>
      <c r="AH18" s="12">
        <f t="array" ref="AH18">INDEX(AG:AG,MIN(IF(ISNUMBER(AG18:AG214),ROW(AG18:AG214),"")))</f>
        <v>34</v>
      </c>
      <c r="AI18" s="13">
        <f>IF('Données projet'!$A$62&gt;35,AI17+AH18-AQ17,IF(A18&lt;'Données projet'!$A$62,$AF$205^A18,IF(A18='Données projet'!$A$62,'Données projet'!$B$62,AI17+AH18-AQ17)))</f>
        <v>232</v>
      </c>
      <c r="AJ18" s="13">
        <f>AI18*VLOOKUP('Données projet'!$B$10,Paramètres!$A$1:$I$89,3,0)*VLOOKUP('Données projet'!$B$10,Paramètres!$A$1:$I$89,5,0)</f>
        <v>118.70976</v>
      </c>
      <c r="AK18" s="13">
        <f t="shared" si="35"/>
        <v>31.373882934303314</v>
      </c>
      <c r="AL18" s="20">
        <f t="shared" si="4"/>
        <v>261.39567811057827</v>
      </c>
      <c r="AM18" s="59">
        <f t="shared" si="5"/>
        <v>536.39567811057827</v>
      </c>
      <c r="AN18" s="59">
        <f ca="1">AVERAGE(OFFSET($AM$3,0,0,'Données projet'!$E$10+1,1))-AVERAGE(OFFSET($H$3,0,0,'Données projet'!$E$10+1,1))</f>
        <v>101.15586831191774</v>
      </c>
      <c r="AO18" s="59">
        <f t="shared" si="36"/>
        <v>346.96347336689064</v>
      </c>
      <c r="AP18" s="15">
        <f>IF(ISNA(VLOOKUP(A18,'Données projet'!$A$61:$I$81,3,0)),0,VLOOKUP(A18,'Données projet'!$A$61:$I$81,3,0))</f>
        <v>1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0.28199999999999997</v>
      </c>
      <c r="AS18" s="16">
        <f>IF(ISNA(VLOOKUP(A18,'Données projet'!$A$61:$I$81,6,0)),0%,VLOOKUP(A18,'Données projet'!$A$61:$I$81,6,0)*VLOOKUP('Données projet'!$B$10,Paramètres!$A$1:$I$89,7,0))</f>
        <v>0.126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3.65</v>
      </c>
      <c r="BD18" s="12">
        <f>IF('Données projet'!$A$88&gt;35,BD17+BC18-BL17,IF(A18&lt;'Données projet'!$A$88,$BA$205^A18,IF(A18='Données projet'!$A$88,'Données projet'!$B$88,BD17+BC18-BL17)))</f>
        <v>24.974232188561476</v>
      </c>
      <c r="BE18" s="13">
        <f>BD18*VLOOKUP('Données projet'!$B$11,Paramètres!$A$1:$I$89,3,0)*VLOOKUP('Données projet'!$B$11,Paramètres!$A$1:$I$89,5,0)</f>
        <v>22.596685284210423</v>
      </c>
      <c r="BF18" s="13">
        <f t="shared" si="37"/>
        <v>7.2441259820371586</v>
      </c>
      <c r="BG18" s="20">
        <f t="shared" si="7"/>
        <v>51.972746288714539</v>
      </c>
      <c r="BH18" s="59">
        <f t="shared" si="8"/>
        <v>326.97274628871452</v>
      </c>
      <c r="BI18" s="59">
        <f ca="1">AVERAGE(OFFSET($BH$3,0,0,'Données projet'!$E$11+1,1))-AVERAGE(OFFSET($H$3,0,0,'Données projet'!$E$11+1,1))</f>
        <v>352.62747127358324</v>
      </c>
      <c r="BJ18" s="59">
        <f t="shared" si="38"/>
        <v>283.16932763435011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3.65</v>
      </c>
      <c r="BY18" s="12">
        <f>IF('Données projet'!$A$114&gt;35,BY17+BX18-CG17,IF(A18&lt;'Données projet'!$A$114,$BV$205^A18,IF(A18='Données projet'!$A$114,'Données projet'!$B$114,BY17+BX18-CG17)))</f>
        <v>24.974232188561476</v>
      </c>
      <c r="BZ18" s="13">
        <f>BY18*VLOOKUP('Données projet'!$B$12,Paramètres!$A$1:$I$89,3,0)*VLOOKUP('Données projet'!$B$12,Paramètres!$A$1:$I$89,5,0)</f>
        <v>26.103067483484455</v>
      </c>
      <c r="CA18" s="13">
        <f t="shared" si="39"/>
        <v>8.2288797327836498</v>
      </c>
      <c r="CB18" s="20">
        <f t="shared" si="10"/>
        <v>59.794808068333602</v>
      </c>
      <c r="CC18" s="59">
        <f t="shared" si="11"/>
        <v>334.79480806833362</v>
      </c>
      <c r="CD18" s="59">
        <f ca="1">AVERAGE(OFFSET($CC$3,0,0,'Données projet'!$E$12+1,1))-AVERAGE(OFFSET($H$3,0,0,'Données projet'!$E$12+1,1))</f>
        <v>423.49657671419374</v>
      </c>
      <c r="CE18" s="59">
        <f t="shared" si="40"/>
        <v>329.6783569381081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3.65</v>
      </c>
      <c r="CT18" s="12">
        <f>IF('Données projet'!$A$140&gt;35,CT17+CS18-DB17,IF(A18&lt;'Données projet'!$A$140,$CQ$205^A18,IF(A18='Données projet'!$A$140,'Données projet'!$B$140,CT17+CS18-DB17)))</f>
        <v>24.974232188561476</v>
      </c>
      <c r="CU18" s="17">
        <f>CT18*VLOOKUP('Données projet'!$B$13,Paramètres!$A$1:$I$89,3,0)*VLOOKUP('Données projet'!$B$13,Paramètres!$A$1:$I$89,5,0)</f>
        <v>25.323871439201337</v>
      </c>
      <c r="CV18" s="13">
        <f t="shared" si="41"/>
        <v>8.0114524854610902</v>
      </c>
      <c r="CW18" s="20">
        <f t="shared" si="13"/>
        <v>58.059022502120392</v>
      </c>
      <c r="CX18" s="59">
        <f t="shared" si="14"/>
        <v>333.0590225021204</v>
      </c>
      <c r="CY18" s="59">
        <f ca="1">AVERAGE(OFFSET($CX$3,0,0,'Données projet'!$E$13+1,1))-AVERAGE(OFFSET($H$3,0,0,'Données projet'!$E$13+1,1))</f>
        <v>407.76560346703042</v>
      </c>
      <c r="CZ18" s="59">
        <f t="shared" si="42"/>
        <v>319.35531375725202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>
        <f>EXP(-LN(2)/35)*DF17+(1-EXP(-LN(2)/35))/(LN(2)/35)*DB18*DC18*VLOOKUP('Données projet'!$B$13,Paramètres!$A$1:$I$89,3,0)*0.475*44/12</f>
        <v>0</v>
      </c>
      <c r="DG18" s="21">
        <f>EXP(-LN(2)/25)*DG17+(1-EXP(-LN(2)/25))/(LN(2)/25)*Calculateur!DB18*Calculateur!DD18*VLOOKUP('Données projet'!$B$13,Paramètres!$A$1:$I$89,3,0)*0.475*44/12</f>
        <v>0</v>
      </c>
      <c r="DH18" s="21">
        <f>EXP(-LN(2)/2)*DH17+(1-EXP(-LN(2)/2))/(LN(2)/2)*DB18*DE18*VLOOKUP('Données projet'!$B$13,Paramètres!$A$1:$I$89,3,0)*0.475*44/12</f>
        <v>0</v>
      </c>
      <c r="DI18" s="22">
        <f t="shared" si="15"/>
        <v>0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2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14.227200000000003</v>
      </c>
      <c r="D19" s="11">
        <f t="shared" si="32"/>
        <v>4.81336060460516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146.97976607063634</v>
      </c>
      <c r="H19" s="67">
        <f t="shared" si="1"/>
        <v>289.82897638635399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>
        <f>VLOOKUP(A19,'Données projet'!$A$35:$I$55,2,0)</f>
        <v>266</v>
      </c>
      <c r="L19" s="12">
        <f>VLOOKUP(A19,'Données projet'!$A$35:$I$55,9,0)</f>
        <v>34</v>
      </c>
      <c r="M19" s="12">
        <f t="array" ref="M19">INDEX(L:L,MIN(IF(ISNUMBER(L19:L215),ROW(L19:L215),"")))</f>
        <v>34</v>
      </c>
      <c r="N19" s="13">
        <f>IF('Données projet'!$A$36&gt;35,N18+M19-V18,IF(A19&lt;'Données projet'!$A$36,$K$205^A19,IF(A19='Données projet'!$A$36,'Données projet'!$B$36,N18+M19-V18)))</f>
        <v>266</v>
      </c>
      <c r="O19" s="13">
        <f>N19*VLOOKUP('Données projet'!$B$9,Paramètres!$A$1:$I$89,3,0)*VLOOKUP('Données projet'!$B$9,Paramètres!$A$1:$I$89,5,0)</f>
        <v>136.10688000000002</v>
      </c>
      <c r="P19" s="13">
        <f t="shared" si="33"/>
        <v>35.40368780391627</v>
      </c>
      <c r="Q19" s="20">
        <f t="shared" si="2"/>
        <v>298.71423892515418</v>
      </c>
      <c r="R19" s="59">
        <f t="shared" si="0"/>
        <v>574.93646114737635</v>
      </c>
      <c r="S19" s="59">
        <f ca="1">AVERAGE(OFFSET($R$3,0,0,'Données projet'!$E$9+1,1))-AVERAGE(OFFSET($H$3,0,0,'Données projet'!$E$9+1,1))</f>
        <v>101.15586831191774</v>
      </c>
      <c r="T19" s="59">
        <f t="shared" si="34"/>
        <v>346.96347336689064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0.28199999999999997</v>
      </c>
      <c r="X19" s="16">
        <f>IF(ISNA(VLOOKUP(A19,'Données projet'!$A$35:$I$55,6,0)),0%,VLOOKUP(A19,'Données projet'!$A$35:$I$55,6,0)*VLOOKUP('Données projet'!$B$9,Paramètres!$A$1:$I$89,7,0))</f>
        <v>0.126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>
        <f>VLOOKUP(A19,'Données projet'!$A$61:$I$81,2,0)</f>
        <v>266</v>
      </c>
      <c r="AG19" s="12">
        <f>VLOOKUP(A19,'Données projet'!$A$61:$I$81,9,0)</f>
        <v>34</v>
      </c>
      <c r="AH19" s="12">
        <f t="array" ref="AH19">INDEX(AG:AG,MIN(IF(ISNUMBER(AG19:AG215),ROW(AG19:AG215),"")))</f>
        <v>34</v>
      </c>
      <c r="AI19" s="13">
        <f>IF('Données projet'!$A$62&gt;35,AI18+AH19-AQ18,IF(A19&lt;'Données projet'!$A$62,$AF$205^A19,IF(A19='Données projet'!$A$62,'Données projet'!$B$62,AI18+AH19-AQ18)))</f>
        <v>266</v>
      </c>
      <c r="AJ19" s="13">
        <f>AI19*VLOOKUP('Données projet'!$B$10,Paramètres!$A$1:$I$89,3,0)*VLOOKUP('Données projet'!$B$10,Paramètres!$A$1:$I$89,5,0)</f>
        <v>136.10688000000002</v>
      </c>
      <c r="AK19" s="13">
        <f t="shared" si="35"/>
        <v>35.40368780391627</v>
      </c>
      <c r="AL19" s="20">
        <f t="shared" si="4"/>
        <v>298.71423892515418</v>
      </c>
      <c r="AM19" s="59">
        <f t="shared" si="5"/>
        <v>574.93646114737635</v>
      </c>
      <c r="AN19" s="59">
        <f ca="1">AVERAGE(OFFSET($AM$3,0,0,'Données projet'!$E$10+1,1))-AVERAGE(OFFSET($H$3,0,0,'Données projet'!$E$10+1,1))</f>
        <v>101.15586831191774</v>
      </c>
      <c r="AO19" s="59">
        <f t="shared" si="36"/>
        <v>346.96347336689064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0.28199999999999997</v>
      </c>
      <c r="AS19" s="16">
        <f>IF(ISNA(VLOOKUP(A19,'Données projet'!$A$61:$I$81,6,0)),0%,VLOOKUP(A19,'Données projet'!$A$61:$I$81,6,0)*VLOOKUP('Données projet'!$B$10,Paramètres!$A$1:$I$89,7,0))</f>
        <v>0.126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3.65</v>
      </c>
      <c r="BD19" s="12">
        <f>IF('Données projet'!$A$88&gt;35,BD18+BC19-BL18,IF(A19&lt;'Données projet'!$A$88,$BA$205^A19,IF(A19='Données projet'!$A$88,'Données projet'!$B$88,BD18+BC19-BL18)))</f>
        <v>30.949831440200953</v>
      </c>
      <c r="BE19" s="13">
        <f>BD19*VLOOKUP('Données projet'!$B$11,Paramètres!$A$1:$I$89,3,0)*VLOOKUP('Données projet'!$B$11,Paramètres!$A$1:$I$89,5,0)</f>
        <v>28.003407487093821</v>
      </c>
      <c r="BF19" s="13">
        <f t="shared" si="37"/>
        <v>8.7560372090925433</v>
      </c>
      <c r="BG19" s="20">
        <f t="shared" si="7"/>
        <v>64.022699512524582</v>
      </c>
      <c r="BH19" s="59">
        <f t="shared" si="8"/>
        <v>340.24492173474681</v>
      </c>
      <c r="BI19" s="59">
        <f ca="1">AVERAGE(OFFSET($BH$3,0,0,'Données projet'!$E$11+1,1))-AVERAGE(OFFSET($H$3,0,0,'Données projet'!$E$11+1,1))</f>
        <v>352.62747127358324</v>
      </c>
      <c r="BJ19" s="59">
        <f t="shared" si="38"/>
        <v>283.16932763435011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3.65</v>
      </c>
      <c r="BY19" s="12">
        <f>IF('Données projet'!$A$114&gt;35,BY18+BX19-CG18,IF(A19&lt;'Données projet'!$A$114,$BV$205^A19,IF(A19='Données projet'!$A$114,'Données projet'!$B$114,BY18+BX19-CG18)))</f>
        <v>30.949831440200953</v>
      </c>
      <c r="BZ19" s="13">
        <f>BY19*VLOOKUP('Données projet'!$B$12,Paramètres!$A$1:$I$89,3,0)*VLOOKUP('Données projet'!$B$12,Paramètres!$A$1:$I$89,5,0)</f>
        <v>32.348763821298036</v>
      </c>
      <c r="CA19" s="13">
        <f t="shared" si="39"/>
        <v>9.9463175140886975</v>
      </c>
      <c r="CB19" s="20">
        <f t="shared" si="10"/>
        <v>73.663933325798567</v>
      </c>
      <c r="CC19" s="59">
        <f t="shared" si="11"/>
        <v>349.88615554802078</v>
      </c>
      <c r="CD19" s="59">
        <f ca="1">AVERAGE(OFFSET($CC$3,0,0,'Données projet'!$E$12+1,1))-AVERAGE(OFFSET($H$3,0,0,'Données projet'!$E$12+1,1))</f>
        <v>423.49657671419374</v>
      </c>
      <c r="CE19" s="59">
        <f t="shared" si="40"/>
        <v>329.6783569381081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3.65</v>
      </c>
      <c r="CT19" s="12">
        <f>IF('Données projet'!$A$140&gt;35,CT18+CS19-DB18,IF(A19&lt;'Données projet'!$A$140,$CQ$205^A19,IF(A19='Données projet'!$A$140,'Données projet'!$B$140,CT18+CS19-DB18)))</f>
        <v>30.949831440200953</v>
      </c>
      <c r="CU19" s="17">
        <f>CT19*VLOOKUP('Données projet'!$B$13,Paramètres!$A$1:$I$89,3,0)*VLOOKUP('Données projet'!$B$13,Paramètres!$A$1:$I$89,5,0)</f>
        <v>31.383129080363769</v>
      </c>
      <c r="CV19" s="13">
        <f t="shared" si="41"/>
        <v>9.6835113353243223</v>
      </c>
      <c r="CW19" s="20">
        <f t="shared" si="13"/>
        <v>71.524398723990075</v>
      </c>
      <c r="CX19" s="59">
        <f t="shared" si="14"/>
        <v>347.74662094621232</v>
      </c>
      <c r="CY19" s="59">
        <f ca="1">AVERAGE(OFFSET($CX$3,0,0,'Données projet'!$E$13+1,1))-AVERAGE(OFFSET($H$3,0,0,'Données projet'!$E$13+1,1))</f>
        <v>407.76560346703042</v>
      </c>
      <c r="CZ19" s="59">
        <f t="shared" si="42"/>
        <v>319.35531375725202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projet'!$B$13,Paramètres!$A$1:$I$89,3,0)*0.475*44/12</f>
        <v>0</v>
      </c>
      <c r="DG19" s="21">
        <f>EXP(-LN(2)/25)*DG18+(1-EXP(-LN(2)/25))/(LN(2)/25)*Calculateur!DB19*Calculateur!DD19*VLOOKUP('Données projet'!$B$13,Paramètres!$A$1:$I$89,3,0)*0.475*44/12</f>
        <v>0</v>
      </c>
      <c r="DH19" s="21">
        <f>EXP(-LN(2)/2)*DH18+(1-EXP(-LN(2)/2))/(LN(2)/2)*DB19*DE19*VLOOKUP('Données projet'!$B$13,Paramètres!$A$1:$I$89,3,0)*0.475*44/12</f>
        <v>0</v>
      </c>
      <c r="DI19" s="22">
        <f t="shared" si="15"/>
        <v>0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2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15.116400000000004</v>
      </c>
      <c r="D20" s="11">
        <f t="shared" si="32"/>
        <v>5.0782333044806931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155.8883974380966</v>
      </c>
      <c r="H20" s="67">
        <f t="shared" si="1"/>
        <v>291.83898633863726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>
        <f>VLOOKUP(A20,'Données projet'!$A$35:$I$55,2,0)</f>
        <v>295</v>
      </c>
      <c r="L20" s="12">
        <f>VLOOKUP(A20,'Données projet'!$A$35:$I$55,9,0)</f>
        <v>29</v>
      </c>
      <c r="M20" s="12">
        <f t="array" ref="M20">INDEX(L:L,MIN(IF(ISNUMBER(L20:L216),ROW(L20:L216),"")))</f>
        <v>29</v>
      </c>
      <c r="N20" s="13">
        <f>IF('Données projet'!$A$36&gt;35,N19+M20-V19,IF(A20&lt;'Données projet'!$A$36,$K$205^A20,IF(A20='Données projet'!$A$36,'Données projet'!$B$36,N19+M20-V19)))</f>
        <v>295</v>
      </c>
      <c r="O20" s="13">
        <f>N20*VLOOKUP('Données projet'!$B$9,Paramètres!$A$1:$I$89,3,0)*VLOOKUP('Données projet'!$B$9,Paramètres!$A$1:$I$89,5,0)</f>
        <v>150.94560000000001</v>
      </c>
      <c r="P20" s="13">
        <f t="shared" si="33"/>
        <v>38.793397956395509</v>
      </c>
      <c r="Q20" s="20">
        <f t="shared" si="2"/>
        <v>330.46208810738881</v>
      </c>
      <c r="R20" s="59">
        <f t="shared" si="0"/>
        <v>607.90653255183327</v>
      </c>
      <c r="S20" s="59">
        <f ca="1">AVERAGE(OFFSET($R$3,0,0,'Données projet'!$E$9+1,1))-AVERAGE(OFFSET($H$3,0,0,'Données projet'!$E$9+1,1))</f>
        <v>101.15586831191774</v>
      </c>
      <c r="T20" s="59">
        <f t="shared" si="34"/>
        <v>346.96347336689064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0.28199999999999997</v>
      </c>
      <c r="X20" s="16">
        <f>IF(ISNA(VLOOKUP(A20,'Données projet'!$A$35:$I$55,6,0)),0%,VLOOKUP(A20,'Données projet'!$A$35:$I$55,6,0)*VLOOKUP('Données projet'!$B$9,Paramètres!$A$1:$I$89,7,0))</f>
        <v>0.126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>
        <f>VLOOKUP(A20,'Données projet'!$A$61:$I$81,2,0)</f>
        <v>295</v>
      </c>
      <c r="AG20" s="12">
        <f>VLOOKUP(A20,'Données projet'!$A$61:$I$81,9,0)</f>
        <v>29</v>
      </c>
      <c r="AH20" s="12">
        <f t="array" ref="AH20">INDEX(AG:AG,MIN(IF(ISNUMBER(AG20:AG216),ROW(AG20:AG216),"")))</f>
        <v>29</v>
      </c>
      <c r="AI20" s="13">
        <f>IF('Données projet'!$A$62&gt;35,AI19+AH20-AQ19,IF(A20&lt;'Données projet'!$A$62,$AF$205^A20,IF(A20='Données projet'!$A$62,'Données projet'!$B$62,AI19+AH20-AQ19)))</f>
        <v>295</v>
      </c>
      <c r="AJ20" s="13">
        <f>AI20*VLOOKUP('Données projet'!$B$10,Paramètres!$A$1:$I$89,3,0)*VLOOKUP('Données projet'!$B$10,Paramètres!$A$1:$I$89,5,0)</f>
        <v>150.94560000000001</v>
      </c>
      <c r="AK20" s="13">
        <f t="shared" si="35"/>
        <v>38.793397956395509</v>
      </c>
      <c r="AL20" s="20">
        <f t="shared" si="4"/>
        <v>330.46208810738881</v>
      </c>
      <c r="AM20" s="59">
        <f t="shared" si="5"/>
        <v>607.90653255183327</v>
      </c>
      <c r="AN20" s="59">
        <f ca="1">AVERAGE(OFFSET($AM$3,0,0,'Données projet'!$E$10+1,1))-AVERAGE(OFFSET($H$3,0,0,'Données projet'!$E$10+1,1))</f>
        <v>101.15586831191774</v>
      </c>
      <c r="AO20" s="59">
        <f t="shared" si="36"/>
        <v>346.96347336689064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0.28199999999999997</v>
      </c>
      <c r="AS20" s="16">
        <f>IF(ISNA(VLOOKUP(A20,'Données projet'!$A$61:$I$81,6,0)),0%,VLOOKUP(A20,'Données projet'!$A$61:$I$81,6,0)*VLOOKUP('Données projet'!$B$10,Paramètres!$A$1:$I$89,7,0))</f>
        <v>0.126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3.65</v>
      </c>
      <c r="BD20" s="12">
        <f>IF('Données projet'!$A$88&gt;35,BD19+BC20-BL19,IF(A20&lt;'Données projet'!$A$88,$BA$205^A20,IF(A20='Données projet'!$A$88,'Données projet'!$B$88,BD19+BC20-BL19)))</f>
        <v>38.355215845858055</v>
      </c>
      <c r="BE20" s="13">
        <f>BD20*VLOOKUP('Données projet'!$B$11,Paramètres!$A$1:$I$89,3,0)*VLOOKUP('Données projet'!$B$11,Paramètres!$A$1:$I$89,5,0)</f>
        <v>34.703799297332367</v>
      </c>
      <c r="BF20" s="13">
        <f t="shared" si="37"/>
        <v>10.583497277259243</v>
      </c>
      <c r="BG20" s="20">
        <f t="shared" si="7"/>
        <v>78.875374867413711</v>
      </c>
      <c r="BH20" s="59">
        <f t="shared" si="8"/>
        <v>356.31981931185817</v>
      </c>
      <c r="BI20" s="59">
        <f ca="1">AVERAGE(OFFSET($BH$3,0,0,'Données projet'!$E$11+1,1))-AVERAGE(OFFSET($H$3,0,0,'Données projet'!$E$11+1,1))</f>
        <v>352.62747127358324</v>
      </c>
      <c r="BJ20" s="59">
        <f t="shared" si="38"/>
        <v>283.16932763435011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3.65</v>
      </c>
      <c r="BY20" s="12">
        <f>IF('Données projet'!$A$114&gt;35,BY19+BX20-CG19,IF(A20&lt;'Données projet'!$A$114,$BV$205^A20,IF(A20='Données projet'!$A$114,'Données projet'!$B$114,BY19+BX20-CG19)))</f>
        <v>38.355215845858055</v>
      </c>
      <c r="BZ20" s="13">
        <f>BY20*VLOOKUP('Données projet'!$B$12,Paramètres!$A$1:$I$89,3,0)*VLOOKUP('Données projet'!$B$12,Paramètres!$A$1:$I$89,5,0)</f>
        <v>40.08887160209084</v>
      </c>
      <c r="CA20" s="13">
        <f t="shared" si="39"/>
        <v>12.022199291227453</v>
      </c>
      <c r="CB20" s="20">
        <f t="shared" si="10"/>
        <v>90.760115139196031</v>
      </c>
      <c r="CC20" s="59">
        <f t="shared" si="11"/>
        <v>368.2045595836405</v>
      </c>
      <c r="CD20" s="59">
        <f ca="1">AVERAGE(OFFSET($CC$3,0,0,'Données projet'!$E$12+1,1))-AVERAGE(OFFSET($H$3,0,0,'Données projet'!$E$12+1,1))</f>
        <v>423.49657671419374</v>
      </c>
      <c r="CE20" s="59">
        <f t="shared" si="40"/>
        <v>329.6783569381081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3.65</v>
      </c>
      <c r="CT20" s="12">
        <f>IF('Données projet'!$A$140&gt;35,CT19+CS20-DB19,IF(A20&lt;'Données projet'!$A$140,$CQ$205^A20,IF(A20='Données projet'!$A$140,'Données projet'!$B$140,CT19+CS20-DB19)))</f>
        <v>38.355215845858055</v>
      </c>
      <c r="CU20" s="17">
        <f>CT20*VLOOKUP('Données projet'!$B$13,Paramètres!$A$1:$I$89,3,0)*VLOOKUP('Données projet'!$B$13,Paramètres!$A$1:$I$89,5,0)</f>
        <v>38.892188867700071</v>
      </c>
      <c r="CV20" s="13">
        <f t="shared" si="41"/>
        <v>11.704543208803392</v>
      </c>
      <c r="CW20" s="20">
        <f t="shared" si="13"/>
        <v>88.122641699910204</v>
      </c>
      <c r="CX20" s="59">
        <f t="shared" si="14"/>
        <v>365.56708614435468</v>
      </c>
      <c r="CY20" s="59">
        <f ca="1">AVERAGE(OFFSET($CX$3,0,0,'Données projet'!$E$13+1,1))-AVERAGE(OFFSET($H$3,0,0,'Données projet'!$E$13+1,1))</f>
        <v>407.76560346703042</v>
      </c>
      <c r="CZ20" s="59">
        <f t="shared" si="42"/>
        <v>319.35531375725202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0</v>
      </c>
      <c r="DG20" s="21">
        <f>EXP(-LN(2)/25)*DG19+(1-EXP(-LN(2)/25))/(LN(2)/25)*Calculateur!DB20*Calculateur!DD20*VLOOKUP('Données projet'!$B$13,Paramètres!$A$1:$I$89,3,0)*0.475*44/12</f>
        <v>0</v>
      </c>
      <c r="DH20" s="21">
        <f>EXP(-LN(2)/2)*DH19+(1-EXP(-LN(2)/2))/(LN(2)/2)*DB20*DE20*VLOOKUP('Données projet'!$B$13,Paramètres!$A$1:$I$89,3,0)*0.475*44/12</f>
        <v>0</v>
      </c>
      <c r="DI20" s="22">
        <f t="shared" si="15"/>
        <v>0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2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16.005600000000005</v>
      </c>
      <c r="D21" s="11">
        <f t="shared" si="32"/>
        <v>5.3412974993444182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164.78306841599206</v>
      </c>
      <c r="H21" s="67">
        <f t="shared" si="1"/>
        <v>293.8458464780249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>
        <f>VLOOKUP(A21,'Données projet'!$A$35:$I$55,2,0)</f>
        <v>324</v>
      </c>
      <c r="L21" s="12">
        <f>VLOOKUP(A21,'Données projet'!$A$35:$I$55,9,0)</f>
        <v>29</v>
      </c>
      <c r="M21" s="12">
        <f t="array" ref="M21">INDEX(L:L,MIN(IF(ISNUMBER(L21:L217),ROW(L21:L217),"")))</f>
        <v>29</v>
      </c>
      <c r="N21" s="13">
        <f>IF('Données projet'!$A$36&gt;35,N20+M21-V20,IF(A21&lt;'Données projet'!$A$36,$K$205^A21,IF(A21='Données projet'!$A$36,'Données projet'!$B$36,N20+M21-V20)))</f>
        <v>324</v>
      </c>
      <c r="O21" s="13">
        <f>N21*VLOOKUP('Données projet'!$B$9,Paramètres!$A$1:$I$89,3,0)*VLOOKUP('Données projet'!$B$9,Paramètres!$A$1:$I$89,5,0)</f>
        <v>165.78432000000001</v>
      </c>
      <c r="P21" s="13">
        <f t="shared" si="33"/>
        <v>42.14447608320507</v>
      </c>
      <c r="Q21" s="20">
        <f t="shared" si="2"/>
        <v>362.14265317824885</v>
      </c>
      <c r="R21" s="59">
        <f t="shared" si="0"/>
        <v>640.80931984491554</v>
      </c>
      <c r="S21" s="59">
        <f ca="1">AVERAGE(OFFSET($R$3,0,0,'Données projet'!$E$9+1,1))-AVERAGE(OFFSET($H$3,0,0,'Données projet'!$E$9+1,1))</f>
        <v>101.15586831191774</v>
      </c>
      <c r="T21" s="59">
        <f t="shared" si="34"/>
        <v>346.96347336689064</v>
      </c>
      <c r="U21" s="15">
        <f>IF(ISNA(VLOOKUP(A21,'Données projet'!$A$35:$I$55,3,0)),0,VLOOKUP(A21,'Données projet'!$A$35:$I$55,3,0))</f>
        <v>1</v>
      </c>
      <c r="V21" s="15">
        <f>IF(ISNA(VLOOKUP(A21,'Données projet'!$A$35:$I$55,4,0)),0,VLOOKUP(A21,'Données projet'!$A$35:$I$55,4,0))</f>
        <v>324</v>
      </c>
      <c r="W21" s="16">
        <f>IF(ISNA(VLOOKUP(A21,'Données projet'!$A$35:$I$55,5,0)),0%,VLOOKUP(A21,'Données projet'!$A$35:$I$55,5,0)*VLOOKUP('Données projet'!$B$9,Paramètres!$A$1:$I$89,7,0))</f>
        <v>0.28199999999999997</v>
      </c>
      <c r="X21" s="16">
        <f>IF(ISNA(VLOOKUP(A21,'Données projet'!$A$35:$I$55,6,0)),0%,VLOOKUP(A21,'Données projet'!$A$35:$I$55,6,0)*VLOOKUP('Données projet'!$B$9,Paramètres!$A$1:$I$89,7,0))</f>
        <v>0.126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51.682042752585396</v>
      </c>
      <c r="AA21" s="21">
        <f>EXP(-LN(2)/25)*AA20+(1-EXP(-LN(2)/25))/(LN(2)/25)*Calculateur!V21*Calculateur!X21*VLOOKUP('Données projet'!$B$9,Paramètres!$A$1:$I$89,3,0)*0.475*44/12</f>
        <v>23.001054638621124</v>
      </c>
      <c r="AB21" s="21">
        <f>EXP(-LN(2)/2)*AB20+(1-EXP(-LN(2)/2))/(LN(2)/2)*V21*Y21*VLOOKUP('Données projet'!$B$9,Paramètres!$A$1:$I$89,3,0)*0.475*44/12</f>
        <v>0</v>
      </c>
      <c r="AC21" s="22">
        <f t="shared" si="3"/>
        <v>74.683097391206516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>
        <f>VLOOKUP(A21,'Données projet'!$A$61:$I$81,2,0)</f>
        <v>324</v>
      </c>
      <c r="AG21" s="12">
        <f>VLOOKUP(A21,'Données projet'!$A$61:$I$81,9,0)</f>
        <v>29</v>
      </c>
      <c r="AH21" s="12">
        <f t="array" ref="AH21">INDEX(AG:AG,MIN(IF(ISNUMBER(AG21:AG217),ROW(AG21:AG217),"")))</f>
        <v>29</v>
      </c>
      <c r="AI21" s="13">
        <f>IF('Données projet'!$A$62&gt;35,AI20+AH21-AQ20,IF(A21&lt;'Données projet'!$A$62,$AF$205^A21,IF(A21='Données projet'!$A$62,'Données projet'!$B$62,AI20+AH21-AQ20)))</f>
        <v>324</v>
      </c>
      <c r="AJ21" s="13">
        <f>AI21*VLOOKUP('Données projet'!$B$10,Paramètres!$A$1:$I$89,3,0)*VLOOKUP('Données projet'!$B$10,Paramètres!$A$1:$I$89,5,0)</f>
        <v>165.78432000000001</v>
      </c>
      <c r="AK21" s="13">
        <f t="shared" si="35"/>
        <v>42.14447608320507</v>
      </c>
      <c r="AL21" s="20">
        <f t="shared" si="4"/>
        <v>362.14265317824885</v>
      </c>
      <c r="AM21" s="59">
        <f t="shared" si="5"/>
        <v>640.80931984491554</v>
      </c>
      <c r="AN21" s="59">
        <f ca="1">AVERAGE(OFFSET($AM$3,0,0,'Données projet'!$E$10+1,1))-AVERAGE(OFFSET($H$3,0,0,'Données projet'!$E$10+1,1))</f>
        <v>101.15586831191774</v>
      </c>
      <c r="AO21" s="59">
        <f t="shared" si="36"/>
        <v>346.96347336689064</v>
      </c>
      <c r="AP21" s="15">
        <f>IF(ISNA(VLOOKUP(A21,'Données projet'!$A$61:$I$81,3,0)),0,VLOOKUP(A21,'Données projet'!$A$61:$I$81,3,0))</f>
        <v>1</v>
      </c>
      <c r="AQ21" s="15">
        <f>IF(ISNA(VLOOKUP(A21,'Données projet'!$A$61:$I$81,4,0)),0,VLOOKUP(A21,'Données projet'!$A$61:$I$81,4,0))</f>
        <v>324</v>
      </c>
      <c r="AR21" s="16">
        <f>IF(ISNA(VLOOKUP(A21,'Données projet'!$A$61:$I$81,5,0)),0%,VLOOKUP(A21,'Données projet'!$A$61:$I$81,5,0)*VLOOKUP('Données projet'!$B$10,Paramètres!$A$1:$I$89,7,0))</f>
        <v>0.28199999999999997</v>
      </c>
      <c r="AS21" s="16">
        <f>IF(ISNA(VLOOKUP(A21,'Données projet'!$A$61:$I$81,6,0)),0%,VLOOKUP(A21,'Données projet'!$A$61:$I$81,6,0)*VLOOKUP('Données projet'!$B$10,Paramètres!$A$1:$I$89,7,0))</f>
        <v>0.126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51.682042752585396</v>
      </c>
      <c r="AV21" s="21">
        <f>EXP(-LN(2)/25)*AV20+(1-EXP(-LN(2)/25))/(LN(2)/25)*Calculateur!AQ21*Calculateur!AS21*VLOOKUP('Données projet'!$B$10,Paramètres!$A$1:$I$89,3,0)*0.475*44/12</f>
        <v>23.001054638621124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74.683097391206516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3.65</v>
      </c>
      <c r="BD21" s="12">
        <f>IF('Données projet'!$A$88&gt;35,BD20+BC21-BL20,IF(A21&lt;'Données projet'!$A$88,$BA$205^A21,IF(A21='Données projet'!$A$88,'Données projet'!$B$88,BD20+BC21-BL20)))</f>
        <v>47.532490941824946</v>
      </c>
      <c r="BE21" s="13">
        <f>BD21*VLOOKUP('Données projet'!$B$11,Paramètres!$A$1:$I$89,3,0)*VLOOKUP('Données projet'!$B$11,Paramètres!$A$1:$I$89,5,0)</f>
        <v>43.007397804163212</v>
      </c>
      <c r="BF21" s="13">
        <f t="shared" si="37"/>
        <v>12.792363936215189</v>
      </c>
      <c r="BG21" s="20">
        <f t="shared" si="7"/>
        <v>97.184585031159045</v>
      </c>
      <c r="BH21" s="59">
        <f t="shared" si="8"/>
        <v>375.85125169782572</v>
      </c>
      <c r="BI21" s="59">
        <f ca="1">AVERAGE(OFFSET($BH$3,0,0,'Données projet'!$E$11+1,1))-AVERAGE(OFFSET($H$3,0,0,'Données projet'!$E$11+1,1))</f>
        <v>352.62747127358324</v>
      </c>
      <c r="BJ21" s="59">
        <f t="shared" si="38"/>
        <v>283.16932763435011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3.65</v>
      </c>
      <c r="BY21" s="12">
        <f>IF('Données projet'!$A$114&gt;35,BY20+BX21-CG20,IF(A21&lt;'Données projet'!$A$114,$BV$205^A21,IF(A21='Données projet'!$A$114,'Données projet'!$B$114,BY20+BX21-CG20)))</f>
        <v>47.532490941824946</v>
      </c>
      <c r="BZ21" s="13">
        <f>BY21*VLOOKUP('Données projet'!$B$12,Paramètres!$A$1:$I$89,3,0)*VLOOKUP('Données projet'!$B$12,Paramètres!$A$1:$I$89,5,0)</f>
        <v>49.680959532395441</v>
      </c>
      <c r="CA21" s="13">
        <f t="shared" si="39"/>
        <v>14.53133540059045</v>
      </c>
      <c r="CB21" s="20">
        <f t="shared" si="10"/>
        <v>111.83641367495041</v>
      </c>
      <c r="CC21" s="59">
        <f t="shared" si="11"/>
        <v>390.50308034161708</v>
      </c>
      <c r="CD21" s="59">
        <f ca="1">AVERAGE(OFFSET($CC$3,0,0,'Données projet'!$E$12+1,1))-AVERAGE(OFFSET($H$3,0,0,'Données projet'!$E$12+1,1))</f>
        <v>423.49657671419374</v>
      </c>
      <c r="CE21" s="59">
        <f t="shared" si="40"/>
        <v>329.6783569381081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3.65</v>
      </c>
      <c r="CT21" s="12">
        <f>IF('Données projet'!$A$140&gt;35,CT20+CS21-DB20,IF(A21&lt;'Données projet'!$A$140,$CQ$205^A21,IF(A21='Données projet'!$A$140,'Données projet'!$B$140,CT20+CS21-DB20)))</f>
        <v>47.532490941824946</v>
      </c>
      <c r="CU21" s="17">
        <f>CT21*VLOOKUP('Données projet'!$B$13,Paramètres!$A$1:$I$89,3,0)*VLOOKUP('Données projet'!$B$13,Paramètres!$A$1:$I$89,5,0)</f>
        <v>48.197945815010499</v>
      </c>
      <c r="CV21" s="13">
        <f t="shared" si="41"/>
        <v>14.147381769152156</v>
      </c>
      <c r="CW21" s="20">
        <f t="shared" si="13"/>
        <v>108.58477887574996</v>
      </c>
      <c r="CX21" s="59">
        <f t="shared" si="14"/>
        <v>387.25144554241666</v>
      </c>
      <c r="CY21" s="59">
        <f ca="1">AVERAGE(OFFSET($CX$3,0,0,'Données projet'!$E$13+1,1))-AVERAGE(OFFSET($H$3,0,0,'Données projet'!$E$13+1,1))</f>
        <v>407.76560346703042</v>
      </c>
      <c r="CZ21" s="59">
        <f t="shared" si="42"/>
        <v>319.35531375725202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projet'!$B$13,Paramètres!$A$1:$I$89,3,0)*0.475*44/12</f>
        <v>0</v>
      </c>
      <c r="DG21" s="21">
        <f>EXP(-LN(2)/25)*DG20+(1-EXP(-LN(2)/25))/(LN(2)/25)*Calculateur!DB21*Calculateur!DD21*VLOOKUP('Données projet'!$B$13,Paramètres!$A$1:$I$89,3,0)*0.475*44/12</f>
        <v>0</v>
      </c>
      <c r="DH21" s="21">
        <f>EXP(-LN(2)/2)*DH20+(1-EXP(-LN(2)/2))/(LN(2)/2)*DB21*DE21*VLOOKUP('Données projet'!$B$13,Paramètres!$A$1:$I$89,3,0)*0.475*44/12</f>
        <v>0</v>
      </c>
      <c r="DI21" s="22">
        <f t="shared" si="15"/>
        <v>0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2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16.894800000000004</v>
      </c>
      <c r="D22" s="11">
        <f t="shared" si="32"/>
        <v>5.6026651130643481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173.66464297804058</v>
      </c>
      <c r="H22" s="67">
        <f t="shared" si="1"/>
        <v>295.84975173858709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0</v>
      </c>
      <c r="N22" s="13">
        <f>IF('Données projet'!$A$36&gt;35,N21+M22-V21,IF(A22&lt;'Données projet'!$A$36,$K$205^A22,IF(A22='Données projet'!$A$36,'Données projet'!$B$36,N21+M22-V21)))</f>
        <v>0</v>
      </c>
      <c r="O22" s="13">
        <f>N22*VLOOKUP('Données projet'!$B$9,Paramètres!$A$1:$I$89,3,0)*VLOOKUP('Données projet'!$B$9,Paramètres!$A$1:$I$89,5,0)</f>
        <v>0</v>
      </c>
      <c r="P22" s="13" t="e">
        <f t="shared" si="33"/>
        <v>#NUM!</v>
      </c>
      <c r="Q22" s="20" t="e">
        <f t="shared" si="2"/>
        <v>#NUM!</v>
      </c>
      <c r="R22" s="59" t="e">
        <f t="shared" si="0"/>
        <v>#NUM!</v>
      </c>
      <c r="S22" s="59">
        <f ca="1">AVERAGE(OFFSET($R$3,0,0,'Données projet'!$E$9+1,1))-AVERAGE(OFFSET($H$3,0,0,'Données projet'!$E$9+1,1))</f>
        <v>101.15586831191774</v>
      </c>
      <c r="T22" s="59">
        <f t="shared" si="34"/>
        <v>346.96347336689064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50.668589417140645</v>
      </c>
      <c r="AA22" s="21">
        <f>EXP(-LN(2)/25)*AA21+(1-EXP(-LN(2)/25))/(LN(2)/25)*Calculateur!V22*Calculateur!X22*VLOOKUP('Données projet'!$B$9,Paramètres!$A$1:$I$89,3,0)*0.475*44/12</f>
        <v>22.372089589955134</v>
      </c>
      <c r="AB22" s="21">
        <f>EXP(-LN(2)/2)*AB21+(1-EXP(-LN(2)/2))/(LN(2)/2)*V22*Y22*VLOOKUP('Données projet'!$B$9,Paramètres!$A$1:$I$89,3,0)*0.475*44/12</f>
        <v>0</v>
      </c>
      <c r="AC22" s="22">
        <f t="shared" si="3"/>
        <v>73.040679007095775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0</v>
      </c>
      <c r="AI22" s="13">
        <f>IF('Données projet'!$A$62&gt;35,AI21+AH22-AQ21,IF(A22&lt;'Données projet'!$A$62,$AF$205^A22,IF(A22='Données projet'!$A$62,'Données projet'!$B$62,AI21+AH22-AQ21)))</f>
        <v>0</v>
      </c>
      <c r="AJ22" s="13">
        <f>AI22*VLOOKUP('Données projet'!$B$10,Paramètres!$A$1:$I$89,3,0)*VLOOKUP('Données projet'!$B$10,Paramètres!$A$1:$I$89,5,0)</f>
        <v>0</v>
      </c>
      <c r="AK22" s="13" t="e">
        <f t="shared" si="35"/>
        <v>#NUM!</v>
      </c>
      <c r="AL22" s="20" t="e">
        <f t="shared" si="4"/>
        <v>#NUM!</v>
      </c>
      <c r="AM22" s="59" t="e">
        <f t="shared" si="5"/>
        <v>#NUM!</v>
      </c>
      <c r="AN22" s="59">
        <f ca="1">AVERAGE(OFFSET($AM$3,0,0,'Données projet'!$E$10+1,1))-AVERAGE(OFFSET($H$3,0,0,'Données projet'!$E$10+1,1))</f>
        <v>101.15586831191774</v>
      </c>
      <c r="AO22" s="59">
        <f t="shared" si="36"/>
        <v>346.96347336689064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50.668589417140645</v>
      </c>
      <c r="AV22" s="21">
        <f>EXP(-LN(2)/25)*AV21+(1-EXP(-LN(2)/25))/(LN(2)/25)*Calculateur!AQ22*Calculateur!AS22*VLOOKUP('Données projet'!$B$10,Paramètres!$A$1:$I$89,3,0)*0.475*44/12</f>
        <v>22.372089589955134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73.040679007095775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3.65</v>
      </c>
      <c r="BD22" s="12">
        <f>IF('Données projet'!$A$88&gt;35,BD21+BC22-BL21,IF(A22&lt;'Données projet'!$A$88,$BA$205^A22,IF(A22='Données projet'!$A$88,'Données projet'!$B$88,BD21+BC22-BL21)))</f>
        <v>58.90561805764559</v>
      </c>
      <c r="BE22" s="13">
        <f>BD22*VLOOKUP('Données projet'!$B$11,Paramètres!$A$1:$I$89,3,0)*VLOOKUP('Données projet'!$B$11,Paramètres!$A$1:$I$89,5,0)</f>
        <v>53.297803218557732</v>
      </c>
      <c r="BF22" s="13">
        <f t="shared" si="37"/>
        <v>15.462240012873817</v>
      </c>
      <c r="BG22" s="20">
        <f t="shared" si="7"/>
        <v>119.75707529474329</v>
      </c>
      <c r="BH22" s="59">
        <f t="shared" si="8"/>
        <v>399.64596418363215</v>
      </c>
      <c r="BI22" s="59">
        <f ca="1">AVERAGE(OFFSET($BH$3,0,0,'Données projet'!$E$11+1,1))-AVERAGE(OFFSET($H$3,0,0,'Données projet'!$E$11+1,1))</f>
        <v>352.62747127358324</v>
      </c>
      <c r="BJ22" s="59">
        <f t="shared" si="38"/>
        <v>283.16932763435011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3.65</v>
      </c>
      <c r="BY22" s="12">
        <f>IF('Données projet'!$A$114&gt;35,BY21+BX22-CG21,IF(A22&lt;'Données projet'!$A$114,$BV$205^A22,IF(A22='Données projet'!$A$114,'Données projet'!$B$114,BY21+BX22-CG21)))</f>
        <v>58.90561805764559</v>
      </c>
      <c r="BZ22" s="13">
        <f>BY22*VLOOKUP('Données projet'!$B$12,Paramètres!$A$1:$I$89,3,0)*VLOOKUP('Données projet'!$B$12,Paramètres!$A$1:$I$89,5,0)</f>
        <v>61.568151993851174</v>
      </c>
      <c r="CA22" s="13">
        <f t="shared" si="39"/>
        <v>17.564149737439095</v>
      </c>
      <c r="CB22" s="20">
        <f t="shared" si="10"/>
        <v>137.82209218199722</v>
      </c>
      <c r="CC22" s="59">
        <f t="shared" si="11"/>
        <v>417.71098107088608</v>
      </c>
      <c r="CD22" s="59">
        <f ca="1">AVERAGE(OFFSET($CC$3,0,0,'Données projet'!$E$12+1,1))-AVERAGE(OFFSET($H$3,0,0,'Données projet'!$E$12+1,1))</f>
        <v>423.49657671419374</v>
      </c>
      <c r="CE22" s="59">
        <f t="shared" si="40"/>
        <v>329.6783569381081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3.65</v>
      </c>
      <c r="CT22" s="12">
        <f>IF('Données projet'!$A$140&gt;35,CT21+CS22-DB21,IF(A22&lt;'Données projet'!$A$140,$CQ$205^A22,IF(A22='Données projet'!$A$140,'Données projet'!$B$140,CT21+CS22-DB21)))</f>
        <v>58.90561805764559</v>
      </c>
      <c r="CU22" s="17">
        <f>CT22*VLOOKUP('Données projet'!$B$13,Paramètres!$A$1:$I$89,3,0)*VLOOKUP('Données projet'!$B$13,Paramètres!$A$1:$I$89,5,0)</f>
        <v>59.730296710452635</v>
      </c>
      <c r="CV22" s="13">
        <f t="shared" si="41"/>
        <v>17.100061689857345</v>
      </c>
      <c r="CW22" s="20">
        <f t="shared" si="13"/>
        <v>133.81287421387319</v>
      </c>
      <c r="CX22" s="59">
        <f t="shared" si="14"/>
        <v>413.70176310276202</v>
      </c>
      <c r="CY22" s="59">
        <f ca="1">AVERAGE(OFFSET($CX$3,0,0,'Données projet'!$E$13+1,1))-AVERAGE(OFFSET($H$3,0,0,'Données projet'!$E$13+1,1))</f>
        <v>407.76560346703042</v>
      </c>
      <c r="CZ22" s="59">
        <f t="shared" si="42"/>
        <v>319.35531375725202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0</v>
      </c>
      <c r="DG22" s="21">
        <f>EXP(-LN(2)/25)*DG21+(1-EXP(-LN(2)/25))/(LN(2)/25)*Calculateur!DB22*Calculateur!DD22*VLOOKUP('Données projet'!$B$13,Paramètres!$A$1:$I$89,3,0)*0.475*44/12</f>
        <v>0</v>
      </c>
      <c r="DH22" s="21">
        <f>EXP(-LN(2)/2)*DH21+(1-EXP(-LN(2)/2))/(LN(2)/2)*DB22*DE22*VLOOKUP('Données projet'!$B$13,Paramètres!$A$1:$I$89,3,0)*0.475*44/12</f>
        <v>0</v>
      </c>
      <c r="DI22" s="22">
        <f t="shared" si="15"/>
        <v>0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2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17.784000000000002</v>
      </c>
      <c r="D23" s="11">
        <f t="shared" si="32"/>
        <v>5.862435622634961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182.5338890168313</v>
      </c>
      <c r="H23" s="67">
        <f t="shared" si="1"/>
        <v>297.85087537608922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0</v>
      </c>
      <c r="N23" s="13">
        <f>IF('Données projet'!$A$36&gt;35,N22+M23-V22,IF(A23&lt;'Données projet'!$A$36,$K$205^A23,IF(A23='Données projet'!$A$36,'Données projet'!$B$36,N22+M23-V22)))</f>
        <v>0</v>
      </c>
      <c r="O23" s="13">
        <f>N23*VLOOKUP('Données projet'!$B$9,Paramètres!$A$1:$I$89,3,0)*VLOOKUP('Données projet'!$B$9,Paramètres!$A$1:$I$89,5,0)</f>
        <v>0</v>
      </c>
      <c r="P23" s="13" t="e">
        <f t="shared" si="33"/>
        <v>#NUM!</v>
      </c>
      <c r="Q23" s="20" t="e">
        <f t="shared" si="2"/>
        <v>#NUM!</v>
      </c>
      <c r="R23" s="59" t="e">
        <f t="shared" si="0"/>
        <v>#NUM!</v>
      </c>
      <c r="S23" s="59">
        <f ca="1">AVERAGE(OFFSET($R$3,0,0,'Données projet'!$E$9+1,1))-AVERAGE(OFFSET($H$3,0,0,'Données projet'!$E$9+1,1))</f>
        <v>101.15586831191774</v>
      </c>
      <c r="T23" s="59">
        <f t="shared" si="34"/>
        <v>346.96347336689064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49.675009283458465</v>
      </c>
      <c r="AA23" s="21">
        <f>EXP(-LN(2)/25)*AA22+(1-EXP(-LN(2)/25))/(LN(2)/25)*Calculateur!V23*Calculateur!X23*VLOOKUP('Données projet'!$B$9,Paramètres!$A$1:$I$89,3,0)*0.475*44/12</f>
        <v>21.760323623620753</v>
      </c>
      <c r="AB23" s="21">
        <f>EXP(-LN(2)/2)*AB22+(1-EXP(-LN(2)/2))/(LN(2)/2)*V23*Y23*VLOOKUP('Données projet'!$B$9,Paramètres!$A$1:$I$89,3,0)*0.475*44/12</f>
        <v>0</v>
      </c>
      <c r="AC23" s="22">
        <f t="shared" si="3"/>
        <v>71.435332907079214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0</v>
      </c>
      <c r="AI23" s="13">
        <f>IF('Données projet'!$A$62&gt;35,AI22+AH23-AQ22,IF(A23&lt;'Données projet'!$A$62,$AF$205^A23,IF(A23='Données projet'!$A$62,'Données projet'!$B$62,AI22+AH23-AQ22)))</f>
        <v>0</v>
      </c>
      <c r="AJ23" s="13">
        <f>AI23*VLOOKUP('Données projet'!$B$10,Paramètres!$A$1:$I$89,3,0)*VLOOKUP('Données projet'!$B$10,Paramètres!$A$1:$I$89,5,0)</f>
        <v>0</v>
      </c>
      <c r="AK23" s="13" t="e">
        <f t="shared" si="35"/>
        <v>#NUM!</v>
      </c>
      <c r="AL23" s="20" t="e">
        <f t="shared" si="4"/>
        <v>#NUM!</v>
      </c>
      <c r="AM23" s="59" t="e">
        <f t="shared" si="5"/>
        <v>#NUM!</v>
      </c>
      <c r="AN23" s="59">
        <f ca="1">AVERAGE(OFFSET($AM$3,0,0,'Données projet'!$E$10+1,1))-AVERAGE(OFFSET($H$3,0,0,'Données projet'!$E$10+1,1))</f>
        <v>101.15586831191774</v>
      </c>
      <c r="AO23" s="59">
        <f t="shared" si="36"/>
        <v>346.96347336689064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49.675009283458465</v>
      </c>
      <c r="AV23" s="21">
        <f>EXP(-LN(2)/25)*AV22+(1-EXP(-LN(2)/25))/(LN(2)/25)*Calculateur!AQ23*Calculateur!AS23*VLOOKUP('Données projet'!$B$10,Paramètres!$A$1:$I$89,3,0)*0.475*44/12</f>
        <v>21.760323623620753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71.435332907079214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>
        <f>VLOOKUP(A23,'Données projet'!$A$87:$I$107,2,0)</f>
        <v>73</v>
      </c>
      <c r="BB23" s="12">
        <f>VLOOKUP(A23,'Données projet'!$A$87:$I$107,9,0)</f>
        <v>3.65</v>
      </c>
      <c r="BC23" s="12">
        <f t="array" ref="BC23">INDEX(BB:BB,MIN(IF(ISNUMBER(BB23:BB219),ROW(BB23:BB219),"")))</f>
        <v>3.65</v>
      </c>
      <c r="BD23" s="12">
        <f>IF('Données projet'!$A$88&gt;35,BD22+BC23-BL22,IF(A23&lt;'Données projet'!$A$88,$BA$205^A23,IF(A23='Données projet'!$A$88,'Données projet'!$B$88,BD22+BC23-BL22)))</f>
        <v>73</v>
      </c>
      <c r="BE23" s="13">
        <f>BD23*VLOOKUP('Données projet'!$B$11,Paramètres!$A$1:$I$89,3,0)*VLOOKUP('Données projet'!$B$11,Paramètres!$A$1:$I$89,5,0)</f>
        <v>66.050399999999996</v>
      </c>
      <c r="BF23" s="13">
        <f t="shared" si="37"/>
        <v>18.689342126897891</v>
      </c>
      <c r="BG23" s="20">
        <f t="shared" si="7"/>
        <v>147.58838420434714</v>
      </c>
      <c r="BH23" s="59">
        <f t="shared" si="8"/>
        <v>428.69949531545831</v>
      </c>
      <c r="BI23" s="59">
        <f ca="1">AVERAGE(OFFSET($BH$3,0,0,'Données projet'!$E$11+1,1))-AVERAGE(OFFSET($H$3,0,0,'Données projet'!$E$11+1,1))</f>
        <v>352.62747127358324</v>
      </c>
      <c r="BJ23" s="59">
        <f t="shared" si="38"/>
        <v>283.16932763435011</v>
      </c>
      <c r="BK23" s="15">
        <f>IF(ISNA(VLOOKUP(A23,'Données projet'!$A$87:$I$107,3,0)),0,VLOOKUP(A23,'Données projet'!$A$87:$I$107,3,0))</f>
        <v>1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>
        <f>VLOOKUP(A23,'Données projet'!$A$113:$I$133,2,0)</f>
        <v>73</v>
      </c>
      <c r="BW23" s="12">
        <f>VLOOKUP(A23,'Données projet'!$A$113:$I$133,9,0)</f>
        <v>3.65</v>
      </c>
      <c r="BX23" s="12">
        <f t="array" ref="BX23">INDEX(BW:BW,MIN(IF(ISNUMBER(BW23:BW219),ROW(BW23:BW219),"")))</f>
        <v>3.65</v>
      </c>
      <c r="BY23" s="12">
        <f>IF('Données projet'!$A$114&gt;35,BY22+BX23-CG22,IF(A23&lt;'Données projet'!$A$114,$BV$205^A23,IF(A23='Données projet'!$A$114,'Données projet'!$B$114,BY22+BX23-CG22)))</f>
        <v>73</v>
      </c>
      <c r="BZ23" s="13">
        <f>BY23*VLOOKUP('Données projet'!$B$12,Paramètres!$A$1:$I$89,3,0)*VLOOKUP('Données projet'!$B$12,Paramètres!$A$1:$I$89,5,0)</f>
        <v>76.299600000000012</v>
      </c>
      <c r="CA23" s="13">
        <f t="shared" si="39"/>
        <v>21.229938439563291</v>
      </c>
      <c r="CB23" s="20">
        <f t="shared" si="10"/>
        <v>169.86394611557276</v>
      </c>
      <c r="CC23" s="59">
        <f t="shared" si="11"/>
        <v>450.97505722668393</v>
      </c>
      <c r="CD23" s="59">
        <f ca="1">AVERAGE(OFFSET($CC$3,0,0,'Données projet'!$E$12+1,1))-AVERAGE(OFFSET($H$3,0,0,'Données projet'!$E$12+1,1))</f>
        <v>423.49657671419374</v>
      </c>
      <c r="CE23" s="59">
        <f t="shared" si="40"/>
        <v>329.6783569381081</v>
      </c>
      <c r="CF23" s="15">
        <f>IF(ISNA(VLOOKUP(A23,'Données projet'!$A$113:$I$133,3,0)),0,VLOOKUP(A23,'Données projet'!$A$113:$I$133,3,0))</f>
        <v>1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0</v>
      </c>
      <c r="CM23" s="21">
        <f>EXP(-LN(2)/2)*CM22+(1-EXP(-LN(2)/2))/(LN(2)/2)*CG23*CJ23*VLOOKUP('Données projet'!$B$12,Paramètres!$A$1:$I$89,3,0)*0.475*44/12</f>
        <v>0</v>
      </c>
      <c r="CN23" s="22">
        <f t="shared" si="12"/>
        <v>0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>
        <f>VLOOKUP(A23,'Données projet'!$A$139:$I$159,2,0)</f>
        <v>73</v>
      </c>
      <c r="CR23" s="12">
        <f>VLOOKUP(A23,'Données projet'!$A$139:$I$159,9,0)</f>
        <v>3.65</v>
      </c>
      <c r="CS23" s="12">
        <f t="array" ref="CS23">INDEX(CR:CR,MIN(IF(ISNUMBER(CR23:CR219),ROW(CR23:CR219),"")))</f>
        <v>3.65</v>
      </c>
      <c r="CT23" s="12">
        <f>IF('Données projet'!$A$140&gt;35,CT22+CS23-DB22,IF(A23&lt;'Données projet'!$A$140,$CQ$205^A23,IF(A23='Données projet'!$A$140,'Données projet'!$B$140,CT22+CS23-DB22)))</f>
        <v>73</v>
      </c>
      <c r="CU23" s="17">
        <f>CT23*VLOOKUP('Données projet'!$B$13,Paramètres!$A$1:$I$89,3,0)*VLOOKUP('Données projet'!$B$13,Paramètres!$A$1:$I$89,5,0)</f>
        <v>74.022000000000006</v>
      </c>
      <c r="CV23" s="13">
        <f t="shared" si="41"/>
        <v>20.668991235856851</v>
      </c>
      <c r="CW23" s="20">
        <f t="shared" si="13"/>
        <v>164.92014306911736</v>
      </c>
      <c r="CX23" s="59">
        <f t="shared" si="14"/>
        <v>446.03125418022853</v>
      </c>
      <c r="CY23" s="59">
        <f ca="1">AVERAGE(OFFSET($CX$3,0,0,'Données projet'!$E$13+1,1))-AVERAGE(OFFSET($H$3,0,0,'Données projet'!$E$13+1,1))</f>
        <v>407.76560346703042</v>
      </c>
      <c r="CZ23" s="59">
        <f t="shared" si="42"/>
        <v>319.35531375725202</v>
      </c>
      <c r="DA23" s="15">
        <f>IF(ISNA(VLOOKUP(A23,'Données projet'!$A$139:$I$159,3,0)),0,VLOOKUP(A23,'Données projet'!$A$139:$I$159,3,0))</f>
        <v>1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>
        <f>EXP(-LN(2)/35)*DF22+(1-EXP(-LN(2)/35))/(LN(2)/35)*DB23*DC23*VLOOKUP('Données projet'!$B$13,Paramètres!$A$1:$I$89,3,0)*0.475*44/12</f>
        <v>0</v>
      </c>
      <c r="DG23" s="21">
        <f>EXP(-LN(2)/25)*DG22+(1-EXP(-LN(2)/25))/(LN(2)/25)*Calculateur!DB23*Calculateur!DD23*VLOOKUP('Données projet'!$B$13,Paramètres!$A$1:$I$89,3,0)*0.475*44/12</f>
        <v>0</v>
      </c>
      <c r="DH23" s="21">
        <f>EXP(-LN(2)/2)*DH22+(1-EXP(-LN(2)/2))/(LN(2)/2)*DB23*DE23*VLOOKUP('Données projet'!$B$13,Paramètres!$A$1:$I$89,3,0)*0.475*44/12</f>
        <v>0</v>
      </c>
      <c r="DI23" s="22">
        <f t="shared" si="15"/>
        <v>0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2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18.673200000000001</v>
      </c>
      <c r="D24" s="11">
        <f t="shared" si="32"/>
        <v>6.1206979954107776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191.3914932979078</v>
      </c>
      <c r="H24" s="67">
        <f t="shared" si="1"/>
        <v>299.84937234200714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0</v>
      </c>
      <c r="N24" s="13">
        <f>IF('Données projet'!$A$36&gt;35,N23+M24-V23,IF(A24&lt;'Données projet'!$A$36,$K$205^A24,IF(A24='Données projet'!$A$36,'Données projet'!$B$36,N23+M24-V23)))</f>
        <v>0</v>
      </c>
      <c r="O24" s="13">
        <f>N24*VLOOKUP('Données projet'!$B$9,Paramètres!$A$1:$I$89,3,0)*VLOOKUP('Données projet'!$B$9,Paramètres!$A$1:$I$89,5,0)</f>
        <v>0</v>
      </c>
      <c r="P24" s="13" t="e">
        <f t="shared" si="33"/>
        <v>#NUM!</v>
      </c>
      <c r="Q24" s="20" t="e">
        <f t="shared" si="2"/>
        <v>#NUM!</v>
      </c>
      <c r="R24" s="59" t="e">
        <f t="shared" si="0"/>
        <v>#NUM!</v>
      </c>
      <c r="S24" s="59">
        <f ca="1">AVERAGE(OFFSET($R$3,0,0,'Données projet'!$E$9+1,1))-AVERAGE(OFFSET($H$3,0,0,'Données projet'!$E$9+1,1))</f>
        <v>101.15586831191774</v>
      </c>
      <c r="T24" s="59">
        <f t="shared" si="34"/>
        <v>346.96347336689064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48.700912650173755</v>
      </c>
      <c r="AA24" s="21">
        <f>EXP(-LN(2)/25)*AA23+(1-EXP(-LN(2)/25))/(LN(2)/25)*Calculateur!V24*Calculateur!X24*VLOOKUP('Données projet'!$B$9,Paramètres!$A$1:$I$89,3,0)*0.475*44/12</f>
        <v>21.165286429807157</v>
      </c>
      <c r="AB24" s="21">
        <f>EXP(-LN(2)/2)*AB23+(1-EXP(-LN(2)/2))/(LN(2)/2)*V24*Y24*VLOOKUP('Données projet'!$B$9,Paramètres!$A$1:$I$89,3,0)*0.475*44/12</f>
        <v>0</v>
      </c>
      <c r="AC24" s="22">
        <f t="shared" si="3"/>
        <v>69.866199079980916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0</v>
      </c>
      <c r="AI24" s="13">
        <f>IF('Données projet'!$A$62&gt;35,AI23+AH24-AQ23,IF(A24&lt;'Données projet'!$A$62,$AF$205^A24,IF(A24='Données projet'!$A$62,'Données projet'!$B$62,AI23+AH24-AQ23)))</f>
        <v>0</v>
      </c>
      <c r="AJ24" s="13">
        <f>AI24*VLOOKUP('Données projet'!$B$10,Paramètres!$A$1:$I$89,3,0)*VLOOKUP('Données projet'!$B$10,Paramètres!$A$1:$I$89,5,0)</f>
        <v>0</v>
      </c>
      <c r="AK24" s="13" t="e">
        <f t="shared" si="35"/>
        <v>#NUM!</v>
      </c>
      <c r="AL24" s="20" t="e">
        <f t="shared" si="4"/>
        <v>#NUM!</v>
      </c>
      <c r="AM24" s="59" t="e">
        <f t="shared" si="5"/>
        <v>#NUM!</v>
      </c>
      <c r="AN24" s="59">
        <f ca="1">AVERAGE(OFFSET($AM$3,0,0,'Données projet'!$E$10+1,1))-AVERAGE(OFFSET($H$3,0,0,'Données projet'!$E$10+1,1))</f>
        <v>101.15586831191774</v>
      </c>
      <c r="AO24" s="59">
        <f t="shared" si="36"/>
        <v>346.96347336689064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48.700912650173755</v>
      </c>
      <c r="AV24" s="21">
        <f>EXP(-LN(2)/25)*AV23+(1-EXP(-LN(2)/25))/(LN(2)/25)*Calculateur!AQ24*Calculateur!AS24*VLOOKUP('Données projet'!$B$10,Paramètres!$A$1:$I$89,3,0)*0.475*44/12</f>
        <v>21.165286429807157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69.866199079980916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7.2</v>
      </c>
      <c r="BD24" s="12">
        <f>IF('Données projet'!$A$88&gt;35,BD23+BC24-BL23,IF(A24&lt;'Données projet'!$A$88,$BA$205^A24,IF(A24='Données projet'!$A$88,'Données projet'!$B$88,BD23+BC24-BL23)))</f>
        <v>80.2</v>
      </c>
      <c r="BE24" s="13">
        <f>BD24*VLOOKUP('Données projet'!$B$11,Paramètres!$A$1:$I$89,3,0)*VLOOKUP('Données projet'!$B$11,Paramètres!$A$1:$I$89,5,0)</f>
        <v>72.564959999999999</v>
      </c>
      <c r="BF24" s="13">
        <f t="shared" si="37"/>
        <v>20.30908732150932</v>
      </c>
      <c r="BG24" s="20">
        <f t="shared" si="7"/>
        <v>161.75563241829539</v>
      </c>
      <c r="BH24" s="59">
        <f t="shared" si="8"/>
        <v>444.08896575162873</v>
      </c>
      <c r="BI24" s="59">
        <f ca="1">AVERAGE(OFFSET($BH$3,0,0,'Données projet'!$E$11+1,1))-AVERAGE(OFFSET($H$3,0,0,'Données projet'!$E$11+1,1))</f>
        <v>352.62747127358324</v>
      </c>
      <c r="BJ24" s="59">
        <f t="shared" si="38"/>
        <v>283.16932763435011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7.2</v>
      </c>
      <c r="BY24" s="12">
        <f>IF('Données projet'!$A$114&gt;35,BY23+BX24-CG23,IF(A24&lt;'Données projet'!$A$114,$BV$205^A24,IF(A24='Données projet'!$A$114,'Données projet'!$B$114,BY23+BX24-CG23)))</f>
        <v>80.2</v>
      </c>
      <c r="BZ24" s="13">
        <f>BY24*VLOOKUP('Données projet'!$B$12,Paramètres!$A$1:$I$89,3,0)*VLOOKUP('Données projet'!$B$12,Paramètres!$A$1:$I$89,5,0)</f>
        <v>83.825040000000001</v>
      </c>
      <c r="CA24" s="13">
        <f t="shared" si="39"/>
        <v>23.069868948400639</v>
      </c>
      <c r="CB24" s="20">
        <f t="shared" si="10"/>
        <v>186.17529975179778</v>
      </c>
      <c r="CC24" s="59">
        <f t="shared" si="11"/>
        <v>468.50863308513112</v>
      </c>
      <c r="CD24" s="59">
        <f ca="1">AVERAGE(OFFSET($CC$3,0,0,'Données projet'!$E$12+1,1))-AVERAGE(OFFSET($H$3,0,0,'Données projet'!$E$12+1,1))</f>
        <v>423.49657671419374</v>
      </c>
      <c r="CE24" s="59">
        <f t="shared" si="40"/>
        <v>329.6783569381081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0</v>
      </c>
      <c r="CM24" s="21">
        <f>EXP(-LN(2)/2)*CM23+(1-EXP(-LN(2)/2))/(LN(2)/2)*CG24*CJ24*VLOOKUP('Données projet'!$B$12,Paramètres!$A$1:$I$89,3,0)*0.475*44/12</f>
        <v>0</v>
      </c>
      <c r="CN24" s="22">
        <f t="shared" si="12"/>
        <v>0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7.2</v>
      </c>
      <c r="CT24" s="12">
        <f>IF('Données projet'!$A$140&gt;35,CT23+CS24-DB23,IF(A24&lt;'Données projet'!$A$140,$CQ$205^A24,IF(A24='Données projet'!$A$140,'Données projet'!$B$140,CT23+CS24-DB23)))</f>
        <v>80.2</v>
      </c>
      <c r="CU24" s="17">
        <f>CT24*VLOOKUP('Données projet'!$B$13,Paramètres!$A$1:$I$89,3,0)*VLOOKUP('Données projet'!$B$13,Paramètres!$A$1:$I$89,5,0)</f>
        <v>81.322800000000001</v>
      </c>
      <c r="CV24" s="13">
        <f t="shared" si="41"/>
        <v>22.460306254032997</v>
      </c>
      <c r="CW24" s="20">
        <f t="shared" si="13"/>
        <v>180.75557672577415</v>
      </c>
      <c r="CX24" s="59">
        <f t="shared" si="14"/>
        <v>463.08891005910743</v>
      </c>
      <c r="CY24" s="59">
        <f ca="1">AVERAGE(OFFSET($CX$3,0,0,'Données projet'!$E$13+1,1))-AVERAGE(OFFSET($H$3,0,0,'Données projet'!$E$13+1,1))</f>
        <v>407.76560346703042</v>
      </c>
      <c r="CZ24" s="59">
        <f t="shared" si="42"/>
        <v>319.35531375725202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projet'!$B$13,Paramètres!$A$1:$I$89,3,0)*0.475*44/12</f>
        <v>0</v>
      </c>
      <c r="DG24" s="21">
        <f>EXP(-LN(2)/25)*DG23+(1-EXP(-LN(2)/25))/(LN(2)/25)*Calculateur!DB24*Calculateur!DD24*VLOOKUP('Données projet'!$B$13,Paramètres!$A$1:$I$89,3,0)*0.475*44/12</f>
        <v>0</v>
      </c>
      <c r="DH24" s="21">
        <f>EXP(-LN(2)/2)*DH23+(1-EXP(-LN(2)/2))/(LN(2)/2)*DB24*DE24*VLOOKUP('Données projet'!$B$13,Paramètres!$A$1:$I$89,3,0)*0.475*44/12</f>
        <v>0</v>
      </c>
      <c r="DI24" s="22">
        <f t="shared" si="15"/>
        <v>0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2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19.5624</v>
      </c>
      <c r="D25" s="11">
        <f t="shared" si="32"/>
        <v>6.3775322468881095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200.23807348475032</v>
      </c>
      <c r="H25" s="67">
        <f t="shared" si="1"/>
        <v>301.84538199666349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0</v>
      </c>
      <c r="N25" s="13">
        <f>IF('Données projet'!$A$36&gt;35,N24+M25-V24,IF(A25&lt;'Données projet'!$A$36,$K$205^A25,IF(A25='Données projet'!$A$36,'Données projet'!$B$36,N24+M25-V24)))</f>
        <v>0</v>
      </c>
      <c r="O25" s="13">
        <f>N25*VLOOKUP('Données projet'!$B$9,Paramètres!$A$1:$I$89,3,0)*VLOOKUP('Données projet'!$B$9,Paramètres!$A$1:$I$89,5,0)</f>
        <v>0</v>
      </c>
      <c r="P25" s="13" t="e">
        <f t="shared" si="33"/>
        <v>#NUM!</v>
      </c>
      <c r="Q25" s="20" t="e">
        <f t="shared" si="2"/>
        <v>#NUM!</v>
      </c>
      <c r="R25" s="59" t="e">
        <f t="shared" si="0"/>
        <v>#NUM!</v>
      </c>
      <c r="S25" s="59">
        <f ca="1">AVERAGE(OFFSET($R$3,0,0,'Données projet'!$E$9+1,1))-AVERAGE(OFFSET($H$3,0,0,'Données projet'!$E$9+1,1))</f>
        <v>101.15586831191774</v>
      </c>
      <c r="T25" s="59">
        <f t="shared" si="34"/>
        <v>346.96347336689064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47.745917457727479</v>
      </c>
      <c r="AA25" s="21">
        <f>EXP(-LN(2)/25)*AA24+(1-EXP(-LN(2)/25))/(LN(2)/25)*Calculateur!V25*Calculateur!X25*VLOOKUP('Données projet'!$B$9,Paramètres!$A$1:$I$89,3,0)*0.475*44/12</f>
        <v>20.586520559350042</v>
      </c>
      <c r="AB25" s="21">
        <f>EXP(-LN(2)/2)*AB24+(1-EXP(-LN(2)/2))/(LN(2)/2)*V25*Y25*VLOOKUP('Données projet'!$B$9,Paramètres!$A$1:$I$89,3,0)*0.475*44/12</f>
        <v>0</v>
      </c>
      <c r="AC25" s="22">
        <f t="shared" si="3"/>
        <v>68.332438017077521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0</v>
      </c>
      <c r="AI25" s="13">
        <f>IF('Données projet'!$A$62&gt;35,AI24+AH25-AQ24,IF(A25&lt;'Données projet'!$A$62,$AF$205^A25,IF(A25='Données projet'!$A$62,'Données projet'!$B$62,AI24+AH25-AQ24)))</f>
        <v>0</v>
      </c>
      <c r="AJ25" s="13">
        <f>AI25*VLOOKUP('Données projet'!$B$10,Paramètres!$A$1:$I$89,3,0)*VLOOKUP('Données projet'!$B$10,Paramètres!$A$1:$I$89,5,0)</f>
        <v>0</v>
      </c>
      <c r="AK25" s="13" t="e">
        <f t="shared" si="35"/>
        <v>#NUM!</v>
      </c>
      <c r="AL25" s="20" t="e">
        <f t="shared" si="4"/>
        <v>#NUM!</v>
      </c>
      <c r="AM25" s="59" t="e">
        <f t="shared" si="5"/>
        <v>#NUM!</v>
      </c>
      <c r="AN25" s="59">
        <f ca="1">AVERAGE(OFFSET($AM$3,0,0,'Données projet'!$E$10+1,1))-AVERAGE(OFFSET($H$3,0,0,'Données projet'!$E$10+1,1))</f>
        <v>101.15586831191774</v>
      </c>
      <c r="AO25" s="59">
        <f t="shared" si="36"/>
        <v>346.96347336689064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47.745917457727479</v>
      </c>
      <c r="AV25" s="21">
        <f>EXP(-LN(2)/25)*AV24+(1-EXP(-LN(2)/25))/(LN(2)/25)*Calculateur!AQ25*Calculateur!AS25*VLOOKUP('Données projet'!$B$10,Paramètres!$A$1:$I$89,3,0)*0.475*44/12</f>
        <v>20.586520559350042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68.332438017077521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7.2</v>
      </c>
      <c r="BD25" s="12">
        <f>IF('Données projet'!$A$88&gt;35,BD24+BC25-BL24,IF(A25&lt;'Données projet'!$A$88,$BA$205^A25,IF(A25='Données projet'!$A$88,'Données projet'!$B$88,BD24+BC25-BL24)))</f>
        <v>87.4</v>
      </c>
      <c r="BE25" s="13">
        <f>BD25*VLOOKUP('Données projet'!$B$11,Paramètres!$A$1:$I$89,3,0)*VLOOKUP('Données projet'!$B$11,Paramètres!$A$1:$I$89,5,0)</f>
        <v>79.079520000000002</v>
      </c>
      <c r="BF25" s="13">
        <f t="shared" si="37"/>
        <v>21.911970621402002</v>
      </c>
      <c r="BG25" s="20">
        <f t="shared" si="7"/>
        <v>175.89351283227515</v>
      </c>
      <c r="BH25" s="59">
        <f t="shared" si="8"/>
        <v>459.44906838783072</v>
      </c>
      <c r="BI25" s="59">
        <f ca="1">AVERAGE(OFFSET($BH$3,0,0,'Données projet'!$E$11+1,1))-AVERAGE(OFFSET($H$3,0,0,'Données projet'!$E$11+1,1))</f>
        <v>352.62747127358324</v>
      </c>
      <c r="BJ25" s="59">
        <f t="shared" si="38"/>
        <v>283.16932763435011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7.2</v>
      </c>
      <c r="BY25" s="12">
        <f>IF('Données projet'!$A$114&gt;35,BY24+BX25-CG24,IF(A25&lt;'Données projet'!$A$114,$BV$205^A25,IF(A25='Données projet'!$A$114,'Données projet'!$B$114,BY24+BX25-CG24)))</f>
        <v>87.4</v>
      </c>
      <c r="BZ25" s="13">
        <f>BY25*VLOOKUP('Données projet'!$B$12,Paramètres!$A$1:$I$89,3,0)*VLOOKUP('Données projet'!$B$12,Paramètres!$A$1:$I$89,5,0)</f>
        <v>91.350480000000019</v>
      </c>
      <c r="CA25" s="13">
        <f t="shared" si="39"/>
        <v>24.890645386194606</v>
      </c>
      <c r="CB25" s="20">
        <f t="shared" si="10"/>
        <v>202.45329338095564</v>
      </c>
      <c r="CC25" s="59">
        <f t="shared" si="11"/>
        <v>486.00884893651119</v>
      </c>
      <c r="CD25" s="59">
        <f ca="1">AVERAGE(OFFSET($CC$3,0,0,'Données projet'!$E$12+1,1))-AVERAGE(OFFSET($H$3,0,0,'Données projet'!$E$12+1,1))</f>
        <v>423.49657671419374</v>
      </c>
      <c r="CE25" s="59">
        <f t="shared" si="40"/>
        <v>329.6783569381081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0</v>
      </c>
      <c r="CM25" s="21">
        <f>EXP(-LN(2)/2)*CM24+(1-EXP(-LN(2)/2))/(LN(2)/2)*CG25*CJ25*VLOOKUP('Données projet'!$B$12,Paramètres!$A$1:$I$89,3,0)*0.475*44/12</f>
        <v>0</v>
      </c>
      <c r="CN25" s="22">
        <f t="shared" si="12"/>
        <v>0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7.2</v>
      </c>
      <c r="CT25" s="12">
        <f>IF('Données projet'!$A$140&gt;35,CT24+CS25-DB24,IF(A25&lt;'Données projet'!$A$140,$CQ$205^A25,IF(A25='Données projet'!$A$140,'Données projet'!$B$140,CT24+CS25-DB24)))</f>
        <v>87.4</v>
      </c>
      <c r="CU25" s="17">
        <f>CT25*VLOOKUP('Données projet'!$B$13,Paramètres!$A$1:$I$89,3,0)*VLOOKUP('Données projet'!$B$13,Paramètres!$A$1:$I$89,5,0)</f>
        <v>88.62360000000001</v>
      </c>
      <c r="CV25" s="13">
        <f t="shared" si="41"/>
        <v>24.232973298845781</v>
      </c>
      <c r="CW25" s="20">
        <f t="shared" si="13"/>
        <v>196.55853182882308</v>
      </c>
      <c r="CX25" s="59">
        <f t="shared" si="14"/>
        <v>480.11408738437865</v>
      </c>
      <c r="CY25" s="59">
        <f ca="1">AVERAGE(OFFSET($CX$3,0,0,'Données projet'!$E$13+1,1))-AVERAGE(OFFSET($H$3,0,0,'Données projet'!$E$13+1,1))</f>
        <v>407.76560346703042</v>
      </c>
      <c r="CZ25" s="59">
        <f t="shared" si="42"/>
        <v>319.35531375725202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>
        <f>EXP(-LN(2)/35)*DF24+(1-EXP(-LN(2)/35))/(LN(2)/35)*DB25*DC25*VLOOKUP('Données projet'!$B$13,Paramètres!$A$1:$I$89,3,0)*0.475*44/12</f>
        <v>0</v>
      </c>
      <c r="DG25" s="21">
        <f>EXP(-LN(2)/25)*DG24+(1-EXP(-LN(2)/25))/(LN(2)/25)*Calculateur!DB25*Calculateur!DD25*VLOOKUP('Données projet'!$B$13,Paramètres!$A$1:$I$89,3,0)*0.475*44/12</f>
        <v>0</v>
      </c>
      <c r="DH25" s="21">
        <f>EXP(-LN(2)/2)*DH24+(1-EXP(-LN(2)/2))/(LN(2)/2)*DB25*DE25*VLOOKUP('Données projet'!$B$13,Paramètres!$A$1:$I$89,3,0)*0.475*44/12</f>
        <v>0</v>
      </c>
      <c r="DI25" s="22">
        <f t="shared" si="15"/>
        <v>0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2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20.451599999999999</v>
      </c>
      <c r="D26" s="11">
        <f t="shared" si="32"/>
        <v>6.6330107072474558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209.07418791559442</v>
      </c>
      <c r="H26" s="67">
        <f t="shared" si="1"/>
        <v>303.83903031512267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0</v>
      </c>
      <c r="N26" s="13">
        <f>IF('Données projet'!$A$36&gt;35,N25+M26-V25,IF(A26&lt;'Données projet'!$A$36,$K$205^A26,IF(A26='Données projet'!$A$36,'Données projet'!$B$36,N25+M26-V25)))</f>
        <v>0</v>
      </c>
      <c r="O26" s="13">
        <f>N26*VLOOKUP('Données projet'!$B$9,Paramètres!$A$1:$I$89,3,0)*VLOOKUP('Données projet'!$B$9,Paramètres!$A$1:$I$89,5,0)</f>
        <v>0</v>
      </c>
      <c r="P26" s="13" t="e">
        <f t="shared" si="33"/>
        <v>#NUM!</v>
      </c>
      <c r="Q26" s="20" t="e">
        <f t="shared" si="2"/>
        <v>#NUM!</v>
      </c>
      <c r="R26" s="59" t="e">
        <f t="shared" si="0"/>
        <v>#NUM!</v>
      </c>
      <c r="S26" s="59">
        <f ca="1">AVERAGE(OFFSET($R$3,0,0,'Données projet'!$E$9+1,1))-AVERAGE(OFFSET($H$3,0,0,'Données projet'!$E$9+1,1))</f>
        <v>101.15586831191774</v>
      </c>
      <c r="T26" s="59">
        <f t="shared" si="34"/>
        <v>346.96347336689064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46.809649138515518</v>
      </c>
      <c r="AA26" s="21">
        <f>EXP(-LN(2)/25)*AA25+(1-EXP(-LN(2)/25))/(LN(2)/25)*Calculateur!V26*Calculateur!X26*VLOOKUP('Données projet'!$B$9,Paramètres!$A$1:$I$89,3,0)*0.475*44/12</f>
        <v>20.023581072056551</v>
      </c>
      <c r="AB26" s="21">
        <f>EXP(-LN(2)/2)*AB25+(1-EXP(-LN(2)/2))/(LN(2)/2)*V26*Y26*VLOOKUP('Données projet'!$B$9,Paramètres!$A$1:$I$89,3,0)*0.475*44/12</f>
        <v>0</v>
      </c>
      <c r="AC26" s="22">
        <f t="shared" si="3"/>
        <v>66.833230210572069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0</v>
      </c>
      <c r="AI26" s="13">
        <f>IF('Données projet'!$A$62&gt;35,AI25+AH26-AQ25,IF(A26&lt;'Données projet'!$A$62,$AF$205^A26,IF(A26='Données projet'!$A$62,'Données projet'!$B$62,AI25+AH26-AQ25)))</f>
        <v>0</v>
      </c>
      <c r="AJ26" s="13">
        <f>AI26*VLOOKUP('Données projet'!$B$10,Paramètres!$A$1:$I$89,3,0)*VLOOKUP('Données projet'!$B$10,Paramètres!$A$1:$I$89,5,0)</f>
        <v>0</v>
      </c>
      <c r="AK26" s="13" t="e">
        <f t="shared" si="35"/>
        <v>#NUM!</v>
      </c>
      <c r="AL26" s="20" t="e">
        <f t="shared" si="4"/>
        <v>#NUM!</v>
      </c>
      <c r="AM26" s="59" t="e">
        <f t="shared" si="5"/>
        <v>#NUM!</v>
      </c>
      <c r="AN26" s="59">
        <f ca="1">AVERAGE(OFFSET($AM$3,0,0,'Données projet'!$E$10+1,1))-AVERAGE(OFFSET($H$3,0,0,'Données projet'!$E$10+1,1))</f>
        <v>101.15586831191774</v>
      </c>
      <c r="AO26" s="59">
        <f t="shared" si="36"/>
        <v>346.96347336689064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46.809649138515518</v>
      </c>
      <c r="AV26" s="21">
        <f>EXP(-LN(2)/25)*AV25+(1-EXP(-LN(2)/25))/(LN(2)/25)*Calculateur!AQ26*Calculateur!AS26*VLOOKUP('Données projet'!$B$10,Paramètres!$A$1:$I$89,3,0)*0.475*44/12</f>
        <v>20.023581072056551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66.833230210572069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7.2</v>
      </c>
      <c r="BD26" s="12">
        <f>IF('Données projet'!$A$88&gt;35,BD25+BC26-BL25,IF(A26&lt;'Données projet'!$A$88,$BA$205^A26,IF(A26='Données projet'!$A$88,'Données projet'!$B$88,BD25+BC26-BL25)))</f>
        <v>94.600000000000009</v>
      </c>
      <c r="BE26" s="13">
        <f>BD26*VLOOKUP('Données projet'!$B$11,Paramètres!$A$1:$I$89,3,0)*VLOOKUP('Données projet'!$B$11,Paramètres!$A$1:$I$89,5,0)</f>
        <v>85.594080000000005</v>
      </c>
      <c r="BF26" s="13">
        <f t="shared" si="37"/>
        <v>23.499539031833248</v>
      </c>
      <c r="BG26" s="20">
        <f t="shared" si="7"/>
        <v>190.00471981377623</v>
      </c>
      <c r="BH26" s="59">
        <f t="shared" si="8"/>
        <v>474.78249759155403</v>
      </c>
      <c r="BI26" s="59">
        <f ca="1">AVERAGE(OFFSET($BH$3,0,0,'Données projet'!$E$11+1,1))-AVERAGE(OFFSET($H$3,0,0,'Données projet'!$E$11+1,1))</f>
        <v>352.62747127358324</v>
      </c>
      <c r="BJ26" s="59">
        <f t="shared" si="38"/>
        <v>283.16932763435011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7.2</v>
      </c>
      <c r="BY26" s="12">
        <f>IF('Données projet'!$A$114&gt;35,BY25+BX26-CG25,IF(A26&lt;'Données projet'!$A$114,$BV$205^A26,IF(A26='Données projet'!$A$114,'Données projet'!$B$114,BY25+BX26-CG25)))</f>
        <v>94.600000000000009</v>
      </c>
      <c r="BZ26" s="13">
        <f>BY26*VLOOKUP('Données projet'!$B$12,Paramètres!$A$1:$I$89,3,0)*VLOOKUP('Données projet'!$B$12,Paramètres!$A$1:$I$89,5,0)</f>
        <v>98.875920000000022</v>
      </c>
      <c r="CA26" s="13">
        <f t="shared" si="39"/>
        <v>26.69402505537747</v>
      </c>
      <c r="CB26" s="20">
        <f t="shared" si="10"/>
        <v>218.70098763811578</v>
      </c>
      <c r="CC26" s="59">
        <f t="shared" si="11"/>
        <v>503.47876541589358</v>
      </c>
      <c r="CD26" s="59">
        <f ca="1">AVERAGE(OFFSET($CC$3,0,0,'Données projet'!$E$12+1,1))-AVERAGE(OFFSET($H$3,0,0,'Données projet'!$E$12+1,1))</f>
        <v>423.49657671419374</v>
      </c>
      <c r="CE26" s="59">
        <f t="shared" si="40"/>
        <v>329.6783569381081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0</v>
      </c>
      <c r="CM26" s="21">
        <f>EXP(-LN(2)/2)*CM25+(1-EXP(-LN(2)/2))/(LN(2)/2)*CG26*CJ26*VLOOKUP('Données projet'!$B$12,Paramètres!$A$1:$I$89,3,0)*0.475*44/12</f>
        <v>0</v>
      </c>
      <c r="CN26" s="22">
        <f t="shared" si="12"/>
        <v>0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7.2</v>
      </c>
      <c r="CT26" s="12">
        <f>IF('Données projet'!$A$140&gt;35,CT25+CS26-DB25,IF(A26&lt;'Données projet'!$A$140,$CQ$205^A26,IF(A26='Données projet'!$A$140,'Données projet'!$B$140,CT25+CS26-DB25)))</f>
        <v>94.600000000000009</v>
      </c>
      <c r="CU26" s="17">
        <f>CT26*VLOOKUP('Données projet'!$B$13,Paramètres!$A$1:$I$89,3,0)*VLOOKUP('Données projet'!$B$13,Paramètres!$A$1:$I$89,5,0)</f>
        <v>95.92440000000002</v>
      </c>
      <c r="CV26" s="13">
        <f t="shared" si="41"/>
        <v>25.988703240473907</v>
      </c>
      <c r="CW26" s="20">
        <f t="shared" si="13"/>
        <v>212.33198814382544</v>
      </c>
      <c r="CX26" s="59">
        <f t="shared" si="14"/>
        <v>497.10976592160318</v>
      </c>
      <c r="CY26" s="59">
        <f ca="1">AVERAGE(OFFSET($CX$3,0,0,'Données projet'!$E$13+1,1))-AVERAGE(OFFSET($H$3,0,0,'Données projet'!$E$13+1,1))</f>
        <v>407.76560346703042</v>
      </c>
      <c r="CZ26" s="59">
        <f t="shared" si="42"/>
        <v>319.35531375725202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0</v>
      </c>
      <c r="DG26" s="21">
        <f>EXP(-LN(2)/25)*DG25+(1-EXP(-LN(2)/25))/(LN(2)/25)*Calculateur!DB26*Calculateur!DD26*VLOOKUP('Données projet'!$B$13,Paramètres!$A$1:$I$89,3,0)*0.475*44/12</f>
        <v>0</v>
      </c>
      <c r="DH26" s="21">
        <f>EXP(-LN(2)/2)*DH25+(1-EXP(-LN(2)/2))/(LN(2)/2)*DB26*DE26*VLOOKUP('Données projet'!$B$13,Paramètres!$A$1:$I$89,3,0)*0.475*44/12</f>
        <v>0</v>
      </c>
      <c r="DI26" s="22">
        <f t="shared" si="15"/>
        <v>0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2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21.340799999999998</v>
      </c>
      <c r="D27" s="11">
        <f t="shared" si="32"/>
        <v>6.8871990614123195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217.90034363195477</v>
      </c>
      <c r="H27" s="67">
        <f t="shared" si="1"/>
        <v>305.83043169862646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0</v>
      </c>
      <c r="N27" s="13">
        <f>IF('Données projet'!$A$36&gt;35,N26+M27-V26,IF(A27&lt;'Données projet'!$A$36,$K$205^A27,IF(A27='Données projet'!$A$36,'Données projet'!$B$36,N26+M27-V26)))</f>
        <v>0</v>
      </c>
      <c r="O27" s="13">
        <f>N27*VLOOKUP('Données projet'!$B$9,Paramètres!$A$1:$I$89,3,0)*VLOOKUP('Données projet'!$B$9,Paramètres!$A$1:$I$89,5,0)</f>
        <v>0</v>
      </c>
      <c r="P27" s="13" t="e">
        <f t="shared" si="33"/>
        <v>#NUM!</v>
      </c>
      <c r="Q27" s="20" t="e">
        <f t="shared" si="2"/>
        <v>#NUM!</v>
      </c>
      <c r="R27" s="59" t="e">
        <f t="shared" si="0"/>
        <v>#NUM!</v>
      </c>
      <c r="S27" s="59">
        <f ca="1">AVERAGE(OFFSET($R$3,0,0,'Données projet'!$E$9+1,1))-AVERAGE(OFFSET($H$3,0,0,'Données projet'!$E$9+1,1))</f>
        <v>101.15586831191774</v>
      </c>
      <c r="T27" s="59">
        <f t="shared" si="34"/>
        <v>346.96347336689064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45.891740469976021</v>
      </c>
      <c r="AA27" s="21">
        <f>EXP(-LN(2)/25)*AA26+(1-EXP(-LN(2)/25))/(LN(2)/25)*Calculateur!V27*Calculateur!X27*VLOOKUP('Données projet'!$B$9,Paramètres!$A$1:$I$89,3,0)*0.475*44/12</f>
        <v>19.476035194646801</v>
      </c>
      <c r="AB27" s="21">
        <f>EXP(-LN(2)/2)*AB26+(1-EXP(-LN(2)/2))/(LN(2)/2)*V27*Y27*VLOOKUP('Données projet'!$B$9,Paramètres!$A$1:$I$89,3,0)*0.475*44/12</f>
        <v>0</v>
      </c>
      <c r="AC27" s="22">
        <f t="shared" si="3"/>
        <v>65.367775664622826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0</v>
      </c>
      <c r="AI27" s="13">
        <f>IF('Données projet'!$A$62&gt;35,AI26+AH27-AQ26,IF(A27&lt;'Données projet'!$A$62,$AF$205^A27,IF(A27='Données projet'!$A$62,'Données projet'!$B$62,AI26+AH27-AQ26)))</f>
        <v>0</v>
      </c>
      <c r="AJ27" s="13">
        <f>AI27*VLOOKUP('Données projet'!$B$10,Paramètres!$A$1:$I$89,3,0)*VLOOKUP('Données projet'!$B$10,Paramètres!$A$1:$I$89,5,0)</f>
        <v>0</v>
      </c>
      <c r="AK27" s="13" t="e">
        <f t="shared" si="35"/>
        <v>#NUM!</v>
      </c>
      <c r="AL27" s="20" t="e">
        <f t="shared" si="4"/>
        <v>#NUM!</v>
      </c>
      <c r="AM27" s="59" t="e">
        <f t="shared" si="5"/>
        <v>#NUM!</v>
      </c>
      <c r="AN27" s="59">
        <f ca="1">AVERAGE(OFFSET($AM$3,0,0,'Données projet'!$E$10+1,1))-AVERAGE(OFFSET($H$3,0,0,'Données projet'!$E$10+1,1))</f>
        <v>101.15586831191774</v>
      </c>
      <c r="AO27" s="59">
        <f t="shared" si="36"/>
        <v>346.96347336689064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45.891740469976021</v>
      </c>
      <c r="AV27" s="21">
        <f>EXP(-LN(2)/25)*AV26+(1-EXP(-LN(2)/25))/(LN(2)/25)*Calculateur!AQ27*Calculateur!AS27*VLOOKUP('Données projet'!$B$10,Paramètres!$A$1:$I$89,3,0)*0.475*44/12</f>
        <v>19.476035194646801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65.367775664622826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7.2</v>
      </c>
      <c r="BD27" s="12">
        <f>IF('Données projet'!$A$88&gt;35,BD26+BC27-BL26,IF(A27&lt;'Données projet'!$A$88,$BA$205^A27,IF(A27='Données projet'!$A$88,'Données projet'!$B$88,BD26+BC27-BL26)))</f>
        <v>101.80000000000001</v>
      </c>
      <c r="BE27" s="13">
        <f>BD27*VLOOKUP('Données projet'!$B$11,Paramètres!$A$1:$I$89,3,0)*VLOOKUP('Données projet'!$B$11,Paramètres!$A$1:$I$89,5,0)</f>
        <v>92.108640000000008</v>
      </c>
      <c r="BF27" s="13">
        <f t="shared" si="37"/>
        <v>25.073090701604293</v>
      </c>
      <c r="BG27" s="20">
        <f t="shared" si="7"/>
        <v>204.09151430529414</v>
      </c>
      <c r="BH27" s="59">
        <f t="shared" si="8"/>
        <v>490.09151430529414</v>
      </c>
      <c r="BI27" s="59">
        <f ca="1">AVERAGE(OFFSET($BH$3,0,0,'Données projet'!$E$11+1,1))-AVERAGE(OFFSET($H$3,0,0,'Données projet'!$E$11+1,1))</f>
        <v>352.62747127358324</v>
      </c>
      <c r="BJ27" s="59">
        <f t="shared" si="38"/>
        <v>283.16932763435011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7.2</v>
      </c>
      <c r="BY27" s="12">
        <f>IF('Données projet'!$A$114&gt;35,BY26+BX27-CG26,IF(A27&lt;'Données projet'!$A$114,$BV$205^A27,IF(A27='Données projet'!$A$114,'Données projet'!$B$114,BY26+BX27-CG26)))</f>
        <v>101.80000000000001</v>
      </c>
      <c r="BZ27" s="13">
        <f>BY27*VLOOKUP('Données projet'!$B$12,Paramètres!$A$1:$I$89,3,0)*VLOOKUP('Données projet'!$B$12,Paramètres!$A$1:$I$89,5,0)</f>
        <v>106.40136000000003</v>
      </c>
      <c r="CA27" s="13">
        <f t="shared" si="39"/>
        <v>28.481482572816386</v>
      </c>
      <c r="CB27" s="20">
        <f t="shared" si="10"/>
        <v>234.92095081432191</v>
      </c>
      <c r="CC27" s="59">
        <f t="shared" si="11"/>
        <v>520.92095081432194</v>
      </c>
      <c r="CD27" s="59">
        <f ca="1">AVERAGE(OFFSET($CC$3,0,0,'Données projet'!$E$12+1,1))-AVERAGE(OFFSET($H$3,0,0,'Données projet'!$E$12+1,1))</f>
        <v>423.49657671419374</v>
      </c>
      <c r="CE27" s="59">
        <f t="shared" si="40"/>
        <v>329.6783569381081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0</v>
      </c>
      <c r="CM27" s="21">
        <f>EXP(-LN(2)/2)*CM26+(1-EXP(-LN(2)/2))/(LN(2)/2)*CG27*CJ27*VLOOKUP('Données projet'!$B$12,Paramètres!$A$1:$I$89,3,0)*0.475*44/12</f>
        <v>0</v>
      </c>
      <c r="CN27" s="22">
        <f t="shared" si="12"/>
        <v>0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7.2</v>
      </c>
      <c r="CT27" s="12">
        <f>IF('Données projet'!$A$140&gt;35,CT26+CS27-DB26,IF(A27&lt;'Données projet'!$A$140,$CQ$205^A27,IF(A27='Données projet'!$A$140,'Données projet'!$B$140,CT26+CS27-DB26)))</f>
        <v>101.80000000000001</v>
      </c>
      <c r="CU27" s="17">
        <f>CT27*VLOOKUP('Données projet'!$B$13,Paramètres!$A$1:$I$89,3,0)*VLOOKUP('Données projet'!$B$13,Paramètres!$A$1:$I$89,5,0)</f>
        <v>103.22520000000003</v>
      </c>
      <c r="CV27" s="13">
        <f t="shared" si="41"/>
        <v>27.728931732779014</v>
      </c>
      <c r="CW27" s="20">
        <f t="shared" si="13"/>
        <v>228.07844610125684</v>
      </c>
      <c r="CX27" s="59">
        <f t="shared" si="14"/>
        <v>514.07844610125687</v>
      </c>
      <c r="CY27" s="59">
        <f ca="1">AVERAGE(OFFSET($CX$3,0,0,'Données projet'!$E$13+1,1))-AVERAGE(OFFSET($H$3,0,0,'Données projet'!$E$13+1,1))</f>
        <v>407.76560346703042</v>
      </c>
      <c r="CZ27" s="59">
        <f t="shared" si="42"/>
        <v>319.35531375725202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>
        <f>EXP(-LN(2)/35)*DF26+(1-EXP(-LN(2)/35))/(LN(2)/35)*DB27*DC27*VLOOKUP('Données projet'!$B$13,Paramètres!$A$1:$I$89,3,0)*0.475*44/12</f>
        <v>0</v>
      </c>
      <c r="DG27" s="21">
        <f>EXP(-LN(2)/25)*DG26+(1-EXP(-LN(2)/25))/(LN(2)/25)*Calculateur!DB27*Calculateur!DD27*VLOOKUP('Données projet'!$B$13,Paramètres!$A$1:$I$89,3,0)*0.475*44/12</f>
        <v>0</v>
      </c>
      <c r="DH27" s="21">
        <f>EXP(-LN(2)/2)*DH26+(1-EXP(-LN(2)/2))/(LN(2)/2)*DB27*DE27*VLOOKUP('Données projet'!$B$13,Paramètres!$A$1:$I$89,3,0)*0.475*44/12</f>
        <v>0</v>
      </c>
      <c r="DI27" s="22">
        <f t="shared" si="15"/>
        <v>0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2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22.229999999999997</v>
      </c>
      <c r="D28" s="11">
        <f t="shared" si="32"/>
        <v>7.140157210880437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226.71700303135776</v>
      </c>
      <c r="H28" s="67">
        <f t="shared" si="1"/>
        <v>307.81969047561677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0</v>
      </c>
      <c r="N28" s="13">
        <f>IF('Données projet'!$A$36&gt;35,N27+M28-V27,IF(A28&lt;'Données projet'!$A$36,$K$205^A28,IF(A28='Données projet'!$A$36,'Données projet'!$B$36,N27+M28-V27)))</f>
        <v>0</v>
      </c>
      <c r="O28" s="13">
        <f>N28*VLOOKUP('Données projet'!$B$9,Paramètres!$A$1:$I$89,3,0)*VLOOKUP('Données projet'!$B$9,Paramètres!$A$1:$I$89,5,0)</f>
        <v>0</v>
      </c>
      <c r="P28" s="13" t="e">
        <f t="shared" si="33"/>
        <v>#NUM!</v>
      </c>
      <c r="Q28" s="20" t="e">
        <f t="shared" si="2"/>
        <v>#NUM!</v>
      </c>
      <c r="R28" s="59" t="e">
        <f t="shared" si="0"/>
        <v>#NUM!</v>
      </c>
      <c r="S28" s="59">
        <f ca="1">AVERAGE(OFFSET($R$3,0,0,'Données projet'!$E$9+1,1))-AVERAGE(OFFSET($H$3,0,0,'Données projet'!$E$9+1,1))</f>
        <v>101.15586831191774</v>
      </c>
      <c r="T28" s="59">
        <f t="shared" si="34"/>
        <v>346.96347336689064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44.991831430557575</v>
      </c>
      <c r="AA28" s="21">
        <f>EXP(-LN(2)/25)*AA27+(1-EXP(-LN(2)/25))/(LN(2)/25)*Calculateur!V28*Calculateur!X28*VLOOKUP('Données projet'!$B$9,Paramètres!$A$1:$I$89,3,0)*0.475*44/12</f>
        <v>18.943461988049005</v>
      </c>
      <c r="AB28" s="21">
        <f>EXP(-LN(2)/2)*AB27+(1-EXP(-LN(2)/2))/(LN(2)/2)*V28*Y28*VLOOKUP('Données projet'!$B$9,Paramètres!$A$1:$I$89,3,0)*0.475*44/12</f>
        <v>0</v>
      </c>
      <c r="AC28" s="22">
        <f t="shared" si="3"/>
        <v>63.935293418606577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0</v>
      </c>
      <c r="AI28" s="13">
        <f>IF('Données projet'!$A$62&gt;35,AI27+AH28-AQ27,IF(A28&lt;'Données projet'!$A$62,$AF$205^A28,IF(A28='Données projet'!$A$62,'Données projet'!$B$62,AI27+AH28-AQ27)))</f>
        <v>0</v>
      </c>
      <c r="AJ28" s="13">
        <f>AI28*VLOOKUP('Données projet'!$B$10,Paramètres!$A$1:$I$89,3,0)*VLOOKUP('Données projet'!$B$10,Paramètres!$A$1:$I$89,5,0)</f>
        <v>0</v>
      </c>
      <c r="AK28" s="13" t="e">
        <f t="shared" si="35"/>
        <v>#NUM!</v>
      </c>
      <c r="AL28" s="20" t="e">
        <f t="shared" si="4"/>
        <v>#NUM!</v>
      </c>
      <c r="AM28" s="59" t="e">
        <f t="shared" si="5"/>
        <v>#NUM!</v>
      </c>
      <c r="AN28" s="59">
        <f ca="1">AVERAGE(OFFSET($AM$3,0,0,'Données projet'!$E$10+1,1))-AVERAGE(OFFSET($H$3,0,0,'Données projet'!$E$10+1,1))</f>
        <v>101.15586831191774</v>
      </c>
      <c r="AO28" s="59">
        <f t="shared" si="36"/>
        <v>346.96347336689064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44.991831430557575</v>
      </c>
      <c r="AV28" s="21">
        <f>EXP(-LN(2)/25)*AV27+(1-EXP(-LN(2)/25))/(LN(2)/25)*Calculateur!AQ28*Calculateur!AS28*VLOOKUP('Données projet'!$B$10,Paramètres!$A$1:$I$89,3,0)*0.475*44/12</f>
        <v>18.943461988049005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63.935293418606577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>
        <f>VLOOKUP(A28,'Données projet'!$A$87:$I$107,2,0)</f>
        <v>109</v>
      </c>
      <c r="BB28" s="12">
        <f>VLOOKUP(A28,'Données projet'!$A$87:$I$107,9,0)</f>
        <v>7.2</v>
      </c>
      <c r="BC28" s="12">
        <f t="array" ref="BC28">INDEX(BB:BB,MIN(IF(ISNUMBER(BB28:BB224),ROW(BB28:BB224),"")))</f>
        <v>7.2</v>
      </c>
      <c r="BD28" s="12">
        <f>IF('Données projet'!$A$88&gt;35,BD27+BC28-BL27,IF(A28&lt;'Données projet'!$A$88,$BA$205^A28,IF(A28='Données projet'!$A$88,'Données projet'!$B$88,BD27+BC28-BL27)))</f>
        <v>109.00000000000001</v>
      </c>
      <c r="BE28" s="13">
        <f>BD28*VLOOKUP('Données projet'!$B$11,Paramètres!$A$1:$I$89,3,0)*VLOOKUP('Données projet'!$B$11,Paramètres!$A$1:$I$89,5,0)</f>
        <v>98.623200000000011</v>
      </c>
      <c r="BF28" s="13">
        <f t="shared" si="37"/>
        <v>26.633729748944933</v>
      </c>
      <c r="BG28" s="20">
        <f t="shared" si="7"/>
        <v>218.15581931274576</v>
      </c>
      <c r="BH28" s="59">
        <f t="shared" si="8"/>
        <v>505.37804153496802</v>
      </c>
      <c r="BI28" s="59">
        <f ca="1">AVERAGE(OFFSET($BH$3,0,0,'Données projet'!$E$11+1,1))-AVERAGE(OFFSET($H$3,0,0,'Données projet'!$E$11+1,1))</f>
        <v>352.62747127358324</v>
      </c>
      <c r="BJ28" s="59">
        <f t="shared" si="38"/>
        <v>283.16932763435011</v>
      </c>
      <c r="BK28" s="15">
        <f>IF(ISNA(VLOOKUP(A28,'Données projet'!$A$87:$I$107,3,0)),0,VLOOKUP(A28,'Données projet'!$A$87:$I$107,3,0))</f>
        <v>2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0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>
        <f>VLOOKUP(A28,'Données projet'!$A$113:$I$133,2,0)</f>
        <v>109</v>
      </c>
      <c r="BW28" s="12">
        <f>VLOOKUP(A28,'Données projet'!$A$113:$I$133,9,0)</f>
        <v>7.2</v>
      </c>
      <c r="BX28" s="12">
        <f t="array" ref="BX28">INDEX(BW:BW,MIN(IF(ISNUMBER(BW28:BW224),ROW(BW28:BW224),"")))</f>
        <v>7.2</v>
      </c>
      <c r="BY28" s="12">
        <f>IF('Données projet'!$A$114&gt;35,BY27+BX28-CG27,IF(A28&lt;'Données projet'!$A$114,$BV$205^A28,IF(A28='Données projet'!$A$114,'Données projet'!$B$114,BY27+BX28-CG27)))</f>
        <v>109.00000000000001</v>
      </c>
      <c r="BZ28" s="13">
        <f>BY28*VLOOKUP('Données projet'!$B$12,Paramètres!$A$1:$I$89,3,0)*VLOOKUP('Données projet'!$B$12,Paramètres!$A$1:$I$89,5,0)</f>
        <v>113.92680000000003</v>
      </c>
      <c r="CA28" s="13">
        <f t="shared" si="39"/>
        <v>30.254272148632214</v>
      </c>
      <c r="CB28" s="20">
        <f t="shared" si="10"/>
        <v>251.11536732553444</v>
      </c>
      <c r="CC28" s="59">
        <f t="shared" si="11"/>
        <v>538.33758954775669</v>
      </c>
      <c r="CD28" s="59">
        <f ca="1">AVERAGE(OFFSET($CC$3,0,0,'Données projet'!$E$12+1,1))-AVERAGE(OFFSET($H$3,0,0,'Données projet'!$E$12+1,1))</f>
        <v>423.49657671419374</v>
      </c>
      <c r="CE28" s="59">
        <f t="shared" si="40"/>
        <v>329.6783569381081</v>
      </c>
      <c r="CF28" s="15">
        <f>IF(ISNA(VLOOKUP(A28,'Données projet'!$A$113:$I$133,3,0)),0,VLOOKUP(A28,'Données projet'!$A$113:$I$133,3,0))</f>
        <v>2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0</v>
      </c>
      <c r="CM28" s="21">
        <f>EXP(-LN(2)/2)*CM27+(1-EXP(-LN(2)/2))/(LN(2)/2)*CG28*CJ28*VLOOKUP('Données projet'!$B$12,Paramètres!$A$1:$I$89,3,0)*0.475*44/12</f>
        <v>0</v>
      </c>
      <c r="CN28" s="22">
        <f t="shared" si="12"/>
        <v>0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>
        <f>VLOOKUP(A28,'Données projet'!$A$139:$I$159,2,0)</f>
        <v>109</v>
      </c>
      <c r="CR28" s="12">
        <f>VLOOKUP(A28,'Données projet'!$A$139:$I$159,9,0)</f>
        <v>7.2</v>
      </c>
      <c r="CS28" s="12">
        <f t="array" ref="CS28">INDEX(CR:CR,MIN(IF(ISNUMBER(CR28:CR224),ROW(CR28:CR224),"")))</f>
        <v>7.2</v>
      </c>
      <c r="CT28" s="12">
        <f>IF('Données projet'!$A$140&gt;35,CT27+CS28-DB27,IF(A28&lt;'Données projet'!$A$140,$CQ$205^A28,IF(A28='Données projet'!$A$140,'Données projet'!$B$140,CT27+CS28-DB27)))</f>
        <v>109.00000000000001</v>
      </c>
      <c r="CU28" s="17">
        <f>CT28*VLOOKUP('Données projet'!$B$13,Paramètres!$A$1:$I$89,3,0)*VLOOKUP('Données projet'!$B$13,Paramètres!$A$1:$I$89,5,0)</f>
        <v>110.52600000000001</v>
      </c>
      <c r="CV28" s="13">
        <f t="shared" si="41"/>
        <v>29.454879846564946</v>
      </c>
      <c r="CW28" s="20">
        <f t="shared" si="13"/>
        <v>243.80003239943395</v>
      </c>
      <c r="CX28" s="59">
        <f t="shared" si="14"/>
        <v>531.0222546216562</v>
      </c>
      <c r="CY28" s="59">
        <f ca="1">AVERAGE(OFFSET($CX$3,0,0,'Données projet'!$E$13+1,1))-AVERAGE(OFFSET($H$3,0,0,'Données projet'!$E$13+1,1))</f>
        <v>407.76560346703042</v>
      </c>
      <c r="CZ28" s="59">
        <f t="shared" si="42"/>
        <v>319.35531375725202</v>
      </c>
      <c r="DA28" s="15">
        <f>IF(ISNA(VLOOKUP(A28,'Données projet'!$A$139:$I$159,3,0)),0,VLOOKUP(A28,'Données projet'!$A$139:$I$159,3,0))</f>
        <v>2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>
        <f>EXP(-LN(2)/35)*DF27+(1-EXP(-LN(2)/35))/(LN(2)/35)*DB28*DC28*VLOOKUP('Données projet'!$B$13,Paramètres!$A$1:$I$89,3,0)*0.475*44/12</f>
        <v>0</v>
      </c>
      <c r="DG28" s="21">
        <f>EXP(-LN(2)/25)*DG27+(1-EXP(-LN(2)/25))/(LN(2)/25)*Calculateur!DB28*Calculateur!DD28*VLOOKUP('Données projet'!$B$13,Paramètres!$A$1:$I$89,3,0)*0.475*44/12</f>
        <v>0</v>
      </c>
      <c r="DH28" s="21">
        <f>EXP(-LN(2)/2)*DH27+(1-EXP(-LN(2)/2))/(LN(2)/2)*DB28*DE28*VLOOKUP('Données projet'!$B$13,Paramètres!$A$1:$I$89,3,0)*0.475*44/12</f>
        <v>0</v>
      </c>
      <c r="DI28" s="22">
        <f t="shared" si="15"/>
        <v>0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2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23.119199999999996</v>
      </c>
      <c r="D29" s="11">
        <f t="shared" si="32"/>
        <v>7.3919399937804329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235.5245894256735</v>
      </c>
      <c r="H29" s="67">
        <f t="shared" si="1"/>
        <v>309.80690215583428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0</v>
      </c>
      <c r="N29" s="13">
        <f>IF('Données projet'!$A$36&gt;35,N28+M29-V28,IF(A29&lt;'Données projet'!$A$36,$K$205^A29,IF(A29='Données projet'!$A$36,'Données projet'!$B$36,N28+M29-V28)))</f>
        <v>0</v>
      </c>
      <c r="O29" s="13">
        <f>N29*VLOOKUP('Données projet'!$B$9,Paramètres!$A$1:$I$89,3,0)*VLOOKUP('Données projet'!$B$9,Paramètres!$A$1:$I$89,5,0)</f>
        <v>0</v>
      </c>
      <c r="P29" s="13" t="e">
        <f t="shared" si="33"/>
        <v>#NUM!</v>
      </c>
      <c r="Q29" s="20" t="e">
        <f t="shared" si="2"/>
        <v>#NUM!</v>
      </c>
      <c r="R29" s="59" t="e">
        <f t="shared" si="0"/>
        <v>#NUM!</v>
      </c>
      <c r="S29" s="59">
        <f ca="1">AVERAGE(OFFSET($R$3,0,0,'Données projet'!$E$9+1,1))-AVERAGE(OFFSET($H$3,0,0,'Données projet'!$E$9+1,1))</f>
        <v>101.15586831191774</v>
      </c>
      <c r="T29" s="59">
        <f t="shared" si="34"/>
        <v>346.96347336689064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44.109569058511809</v>
      </c>
      <c r="AA29" s="21">
        <f>EXP(-LN(2)/25)*AA28+(1-EXP(-LN(2)/25))/(LN(2)/25)*Calculateur!V29*Calculateur!X29*VLOOKUP('Données projet'!$B$9,Paramètres!$A$1:$I$89,3,0)*0.475*44/12</f>
        <v>18.425452023792435</v>
      </c>
      <c r="AB29" s="21">
        <f>EXP(-LN(2)/2)*AB28+(1-EXP(-LN(2)/2))/(LN(2)/2)*V29*Y29*VLOOKUP('Données projet'!$B$9,Paramètres!$A$1:$I$89,3,0)*0.475*44/12</f>
        <v>0</v>
      </c>
      <c r="AC29" s="22">
        <f t="shared" si="3"/>
        <v>62.53502108230424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0</v>
      </c>
      <c r="AI29" s="13">
        <f>IF('Données projet'!$A$62&gt;35,AI28+AH29-AQ28,IF(A29&lt;'Données projet'!$A$62,$AF$205^A29,IF(A29='Données projet'!$A$62,'Données projet'!$B$62,AI28+AH29-AQ28)))</f>
        <v>0</v>
      </c>
      <c r="AJ29" s="13">
        <f>AI29*VLOOKUP('Données projet'!$B$10,Paramètres!$A$1:$I$89,3,0)*VLOOKUP('Données projet'!$B$10,Paramètres!$A$1:$I$89,5,0)</f>
        <v>0</v>
      </c>
      <c r="AK29" s="13" t="e">
        <f t="shared" si="35"/>
        <v>#NUM!</v>
      </c>
      <c r="AL29" s="20" t="e">
        <f t="shared" si="4"/>
        <v>#NUM!</v>
      </c>
      <c r="AM29" s="59" t="e">
        <f t="shared" si="5"/>
        <v>#NUM!</v>
      </c>
      <c r="AN29" s="59">
        <f ca="1">AVERAGE(OFFSET($AM$3,0,0,'Données projet'!$E$10+1,1))-AVERAGE(OFFSET($H$3,0,0,'Données projet'!$E$10+1,1))</f>
        <v>101.15586831191774</v>
      </c>
      <c r="AO29" s="59">
        <f t="shared" si="36"/>
        <v>346.96347336689064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44.109569058511809</v>
      </c>
      <c r="AV29" s="21">
        <f>EXP(-LN(2)/25)*AV28+(1-EXP(-LN(2)/25))/(LN(2)/25)*Calculateur!AQ29*Calculateur!AS29*VLOOKUP('Données projet'!$B$10,Paramètres!$A$1:$I$89,3,0)*0.475*44/12</f>
        <v>18.425452023792435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62.53502108230424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9.1999999999999993</v>
      </c>
      <c r="BD29" s="12">
        <f>IF('Données projet'!$A$88&gt;35,BD28+BC29-BL28,IF(A29&lt;'Données projet'!$A$88,$BA$205^A29,IF(A29='Données projet'!$A$88,'Données projet'!$B$88,BD28+BC29-BL28)))</f>
        <v>118.20000000000002</v>
      </c>
      <c r="BE29" s="13">
        <f>BD29*VLOOKUP('Données projet'!$B$11,Paramètres!$A$1:$I$89,3,0)*VLOOKUP('Données projet'!$B$11,Paramètres!$A$1:$I$89,5,0)</f>
        <v>106.94736000000002</v>
      </c>
      <c r="BF29" s="13">
        <f t="shared" si="37"/>
        <v>28.61058496425451</v>
      </c>
      <c r="BG29" s="20">
        <f t="shared" si="7"/>
        <v>236.09675414607662</v>
      </c>
      <c r="BH29" s="59">
        <f t="shared" si="8"/>
        <v>524.54119859052105</v>
      </c>
      <c r="BI29" s="59">
        <f ca="1">AVERAGE(OFFSET($BH$3,0,0,'Données projet'!$E$11+1,1))-AVERAGE(OFFSET($H$3,0,0,'Données projet'!$E$11+1,1))</f>
        <v>352.62747127358324</v>
      </c>
      <c r="BJ29" s="59">
        <f t="shared" si="38"/>
        <v>283.16932763435011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0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0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9.1999999999999993</v>
      </c>
      <c r="BY29" s="12">
        <f>IF('Données projet'!$A$114&gt;35,BY28+BX29-CG28,IF(A29&lt;'Données projet'!$A$114,$BV$205^A29,IF(A29='Données projet'!$A$114,'Données projet'!$B$114,BY28+BX29-CG28)))</f>
        <v>118.20000000000002</v>
      </c>
      <c r="BZ29" s="13">
        <f>BY29*VLOOKUP('Données projet'!$B$12,Paramètres!$A$1:$I$89,3,0)*VLOOKUP('Données projet'!$B$12,Paramètres!$A$1:$I$89,5,0)</f>
        <v>123.54264000000003</v>
      </c>
      <c r="CA29" s="13">
        <f t="shared" si="39"/>
        <v>32.499857586578202</v>
      </c>
      <c r="CB29" s="20">
        <f t="shared" si="10"/>
        <v>271.77401662995709</v>
      </c>
      <c r="CC29" s="59">
        <f t="shared" si="11"/>
        <v>560.2184610744016</v>
      </c>
      <c r="CD29" s="59">
        <f ca="1">AVERAGE(OFFSET($CC$3,0,0,'Données projet'!$E$12+1,1))-AVERAGE(OFFSET($H$3,0,0,'Données projet'!$E$12+1,1))</f>
        <v>423.49657671419374</v>
      </c>
      <c r="CE29" s="59">
        <f t="shared" si="40"/>
        <v>329.6783569381081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0</v>
      </c>
      <c r="CM29" s="21">
        <f>EXP(-LN(2)/2)*CM28+(1-EXP(-LN(2)/2))/(LN(2)/2)*CG29*CJ29*VLOOKUP('Données projet'!$B$12,Paramètres!$A$1:$I$89,3,0)*0.475*44/12</f>
        <v>0</v>
      </c>
      <c r="CN29" s="22">
        <f t="shared" si="12"/>
        <v>0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9.1999999999999993</v>
      </c>
      <c r="CT29" s="12">
        <f>IF('Données projet'!$A$140&gt;35,CT28+CS29-DB28,IF(A29&lt;'Données projet'!$A$140,$CQ$205^A29,IF(A29='Données projet'!$A$140,'Données projet'!$B$140,CT28+CS29-DB28)))</f>
        <v>118.20000000000002</v>
      </c>
      <c r="CU29" s="17">
        <f>CT29*VLOOKUP('Données projet'!$B$13,Paramètres!$A$1:$I$89,3,0)*VLOOKUP('Données projet'!$B$13,Paramètres!$A$1:$I$89,5,0)</f>
        <v>119.85480000000003</v>
      </c>
      <c r="CV29" s="13">
        <f t="shared" si="41"/>
        <v>31.641131392625841</v>
      </c>
      <c r="CW29" s="20">
        <f t="shared" si="13"/>
        <v>263.85541384215668</v>
      </c>
      <c r="CX29" s="59">
        <f t="shared" si="14"/>
        <v>552.29985828660119</v>
      </c>
      <c r="CY29" s="59">
        <f ca="1">AVERAGE(OFFSET($CX$3,0,0,'Données projet'!$E$13+1,1))-AVERAGE(OFFSET($H$3,0,0,'Données projet'!$E$13+1,1))</f>
        <v>407.76560346703042</v>
      </c>
      <c r="CZ29" s="59">
        <f t="shared" si="42"/>
        <v>319.35531375725202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0</v>
      </c>
      <c r="DG29" s="21">
        <f>EXP(-LN(2)/25)*DG28+(1-EXP(-LN(2)/25))/(LN(2)/25)*Calculateur!DB29*Calculateur!DD29*VLOOKUP('Données projet'!$B$13,Paramètres!$A$1:$I$89,3,0)*0.475*44/12</f>
        <v>0</v>
      </c>
      <c r="DH29" s="21">
        <f>EXP(-LN(2)/2)*DH28+(1-EXP(-LN(2)/2))/(LN(2)/2)*DB29*DE29*VLOOKUP('Données projet'!$B$13,Paramètres!$A$1:$I$89,3,0)*0.475*44/12</f>
        <v>0</v>
      </c>
      <c r="DI29" s="22">
        <f t="shared" si="15"/>
        <v>0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2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24.008399999999995</v>
      </c>
      <c r="D30" s="11">
        <f t="shared" si="32"/>
        <v>7.6425977910346958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244.32349172026781</v>
      </c>
      <c r="H30" s="67">
        <f t="shared" si="1"/>
        <v>311.79215448605208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0</v>
      </c>
      <c r="N30" s="13">
        <f>IF('Données projet'!$A$36&gt;35,N29+M30-V29,IF(A30&lt;'Données projet'!$A$36,$K$205^A30,IF(A30='Données projet'!$A$36,'Données projet'!$B$36,N29+M30-V29)))</f>
        <v>0</v>
      </c>
      <c r="O30" s="13">
        <f>N30*VLOOKUP('Données projet'!$B$9,Paramètres!$A$1:$I$89,3,0)*VLOOKUP('Données projet'!$B$9,Paramètres!$A$1:$I$89,5,0)</f>
        <v>0</v>
      </c>
      <c r="P30" s="13" t="e">
        <f t="shared" si="33"/>
        <v>#NUM!</v>
      </c>
      <c r="Q30" s="20" t="e">
        <f t="shared" si="2"/>
        <v>#NUM!</v>
      </c>
      <c r="R30" s="59" t="e">
        <f t="shared" si="0"/>
        <v>#NUM!</v>
      </c>
      <c r="S30" s="59">
        <f ca="1">AVERAGE(OFFSET($R$3,0,0,'Données projet'!$E$9+1,1))-AVERAGE(OFFSET($H$3,0,0,'Données projet'!$E$9+1,1))</f>
        <v>101.15586831191774</v>
      </c>
      <c r="T30" s="59">
        <f t="shared" si="34"/>
        <v>346.96347336689064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43.244607313454949</v>
      </c>
      <c r="AA30" s="21">
        <f>EXP(-LN(2)/25)*AA29+(1-EXP(-LN(2)/25))/(LN(2)/25)*Calculateur!V30*Calculateur!X30*VLOOKUP('Données projet'!$B$9,Paramètres!$A$1:$I$89,3,0)*0.475*44/12</f>
        <v>17.921607069249422</v>
      </c>
      <c r="AB30" s="21">
        <f>EXP(-LN(2)/2)*AB29+(1-EXP(-LN(2)/2))/(LN(2)/2)*V30*Y30*VLOOKUP('Données projet'!$B$9,Paramètres!$A$1:$I$89,3,0)*0.475*44/12</f>
        <v>0</v>
      </c>
      <c r="AC30" s="22">
        <f t="shared" si="3"/>
        <v>61.166214382704368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0</v>
      </c>
      <c r="AI30" s="13">
        <f>IF('Données projet'!$A$62&gt;35,AI29+AH30-AQ29,IF(A30&lt;'Données projet'!$A$62,$AF$205^A30,IF(A30='Données projet'!$A$62,'Données projet'!$B$62,AI29+AH30-AQ29)))</f>
        <v>0</v>
      </c>
      <c r="AJ30" s="13">
        <f>AI30*VLOOKUP('Données projet'!$B$10,Paramètres!$A$1:$I$89,3,0)*VLOOKUP('Données projet'!$B$10,Paramètres!$A$1:$I$89,5,0)</f>
        <v>0</v>
      </c>
      <c r="AK30" s="13" t="e">
        <f t="shared" si="35"/>
        <v>#NUM!</v>
      </c>
      <c r="AL30" s="20" t="e">
        <f t="shared" si="4"/>
        <v>#NUM!</v>
      </c>
      <c r="AM30" s="59" t="e">
        <f t="shared" si="5"/>
        <v>#NUM!</v>
      </c>
      <c r="AN30" s="59">
        <f ca="1">AVERAGE(OFFSET($AM$3,0,0,'Données projet'!$E$10+1,1))-AVERAGE(OFFSET($H$3,0,0,'Données projet'!$E$10+1,1))</f>
        <v>101.15586831191774</v>
      </c>
      <c r="AO30" s="59">
        <f t="shared" si="36"/>
        <v>346.96347336689064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43.244607313454949</v>
      </c>
      <c r="AV30" s="21">
        <f>EXP(-LN(2)/25)*AV29+(1-EXP(-LN(2)/25))/(LN(2)/25)*Calculateur!AQ30*Calculateur!AS30*VLOOKUP('Données projet'!$B$10,Paramètres!$A$1:$I$89,3,0)*0.475*44/12</f>
        <v>17.921607069249422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61.166214382704368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9.1999999999999993</v>
      </c>
      <c r="BD30" s="12">
        <f>IF('Données projet'!$A$88&gt;35,BD29+BC30-BL29,IF(A30&lt;'Données projet'!$A$88,$BA$205^A30,IF(A30='Données projet'!$A$88,'Données projet'!$B$88,BD29+BC30-BL29)))</f>
        <v>127.40000000000002</v>
      </c>
      <c r="BE30" s="13">
        <f>BD30*VLOOKUP('Données projet'!$B$11,Paramètres!$A$1:$I$89,3,0)*VLOOKUP('Données projet'!$B$11,Paramètres!$A$1:$I$89,5,0)</f>
        <v>115.27152000000002</v>
      </c>
      <c r="BF30" s="13">
        <f t="shared" si="37"/>
        <v>30.569591947650281</v>
      </c>
      <c r="BG30" s="20">
        <f t="shared" si="7"/>
        <v>254.00660330882422</v>
      </c>
      <c r="BH30" s="59">
        <f t="shared" si="8"/>
        <v>543.67326997549094</v>
      </c>
      <c r="BI30" s="59">
        <f ca="1">AVERAGE(OFFSET($BH$3,0,0,'Données projet'!$E$11+1,1))-AVERAGE(OFFSET($H$3,0,0,'Données projet'!$E$11+1,1))</f>
        <v>352.62747127358324</v>
      </c>
      <c r="BJ30" s="59">
        <f t="shared" si="38"/>
        <v>283.16932763435011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0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0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9.1999999999999993</v>
      </c>
      <c r="BY30" s="12">
        <f>IF('Données projet'!$A$114&gt;35,BY29+BX30-CG29,IF(A30&lt;'Données projet'!$A$114,$BV$205^A30,IF(A30='Données projet'!$A$114,'Données projet'!$B$114,BY29+BX30-CG29)))</f>
        <v>127.40000000000002</v>
      </c>
      <c r="BZ30" s="13">
        <f>BY30*VLOOKUP('Données projet'!$B$12,Paramètres!$A$1:$I$89,3,0)*VLOOKUP('Données projet'!$B$12,Paramètres!$A$1:$I$89,5,0)</f>
        <v>133.15848000000003</v>
      </c>
      <c r="CA30" s="13">
        <f t="shared" si="39"/>
        <v>34.725168535341354</v>
      </c>
      <c r="CB30" s="20">
        <f t="shared" si="10"/>
        <v>292.39735453238615</v>
      </c>
      <c r="CC30" s="59">
        <f t="shared" si="11"/>
        <v>582.06402119905283</v>
      </c>
      <c r="CD30" s="59">
        <f ca="1">AVERAGE(OFFSET($CC$3,0,0,'Données projet'!$E$12+1,1))-AVERAGE(OFFSET($H$3,0,0,'Données projet'!$E$12+1,1))</f>
        <v>423.49657671419374</v>
      </c>
      <c r="CE30" s="59">
        <f t="shared" si="40"/>
        <v>329.6783569381081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0</v>
      </c>
      <c r="CM30" s="21">
        <f>EXP(-LN(2)/2)*CM29+(1-EXP(-LN(2)/2))/(LN(2)/2)*CG30*CJ30*VLOOKUP('Données projet'!$B$12,Paramètres!$A$1:$I$89,3,0)*0.475*44/12</f>
        <v>0</v>
      </c>
      <c r="CN30" s="22">
        <f t="shared" si="12"/>
        <v>0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9.1999999999999993</v>
      </c>
      <c r="CT30" s="12">
        <f>IF('Données projet'!$A$140&gt;35,CT29+CS30-DB29,IF(A30&lt;'Données projet'!$A$140,$CQ$205^A30,IF(A30='Données projet'!$A$140,'Données projet'!$B$140,CT29+CS30-DB29)))</f>
        <v>127.40000000000002</v>
      </c>
      <c r="CU30" s="17">
        <f>CT30*VLOOKUP('Données projet'!$B$13,Paramètres!$A$1:$I$89,3,0)*VLOOKUP('Données projet'!$B$13,Paramètres!$A$1:$I$89,5,0)</f>
        <v>129.18360000000004</v>
      </c>
      <c r="CV30" s="13">
        <f t="shared" si="41"/>
        <v>33.807644151387684</v>
      </c>
      <c r="CW30" s="20">
        <f t="shared" si="13"/>
        <v>283.87641689700024</v>
      </c>
      <c r="CX30" s="59">
        <f t="shared" si="14"/>
        <v>573.54308356366687</v>
      </c>
      <c r="CY30" s="59">
        <f ca="1">AVERAGE(OFFSET($CX$3,0,0,'Données projet'!$E$13+1,1))-AVERAGE(OFFSET($H$3,0,0,'Données projet'!$E$13+1,1))</f>
        <v>407.76560346703042</v>
      </c>
      <c r="CZ30" s="59">
        <f t="shared" si="42"/>
        <v>319.35531375725202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projet'!$B$13,Paramètres!$A$1:$I$89,3,0)*0.475*44/12</f>
        <v>0</v>
      </c>
      <c r="DG30" s="21">
        <f>EXP(-LN(2)/25)*DG29+(1-EXP(-LN(2)/25))/(LN(2)/25)*Calculateur!DB30*Calculateur!DD30*VLOOKUP('Données projet'!$B$13,Paramètres!$A$1:$I$89,3,0)*0.475*44/12</f>
        <v>0</v>
      </c>
      <c r="DH30" s="21">
        <f>EXP(-LN(2)/2)*DH29+(1-EXP(-LN(2)/2))/(LN(2)/2)*DB30*DE30*VLOOKUP('Données projet'!$B$13,Paramètres!$A$1:$I$89,3,0)*0.475*44/12</f>
        <v>0</v>
      </c>
      <c r="DI30" s="22">
        <f t="shared" si="15"/>
        <v>0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2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24.897599999999994</v>
      </c>
      <c r="D31" s="11">
        <f t="shared" si="32"/>
        <v>7.8921770401958202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253.11406838045892</v>
      </c>
      <c r="H31" s="67">
        <f t="shared" si="1"/>
        <v>313.77552834500773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0</v>
      </c>
      <c r="N31" s="13">
        <f>IF('Données projet'!$A$36&gt;35,N30+M31-V30,IF(A31&lt;'Données projet'!$A$36,$K$205^A31,IF(A31='Données projet'!$A$36,'Données projet'!$B$36,N30+M31-V30)))</f>
        <v>0</v>
      </c>
      <c r="O31" s="13">
        <f>N31*VLOOKUP('Données projet'!$B$9,Paramètres!$A$1:$I$89,3,0)*VLOOKUP('Données projet'!$B$9,Paramètres!$A$1:$I$89,5,0)</f>
        <v>0</v>
      </c>
      <c r="P31" s="13" t="e">
        <f t="shared" si="33"/>
        <v>#NUM!</v>
      </c>
      <c r="Q31" s="20" t="e">
        <f t="shared" si="2"/>
        <v>#NUM!</v>
      </c>
      <c r="R31" s="59" t="e">
        <f t="shared" si="0"/>
        <v>#NUM!</v>
      </c>
      <c r="S31" s="59">
        <f ca="1">AVERAGE(OFFSET($R$3,0,0,'Données projet'!$E$9+1,1))-AVERAGE(OFFSET($H$3,0,0,'Données projet'!$E$9+1,1))</f>
        <v>101.15586831191774</v>
      </c>
      <c r="T31" s="59">
        <f t="shared" si="34"/>
        <v>346.96347336689064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42.396606940644084</v>
      </c>
      <c r="AA31" s="21">
        <f>EXP(-LN(2)/25)*AA30+(1-EXP(-LN(2)/25))/(LN(2)/25)*Calculateur!V31*Calculateur!X31*VLOOKUP('Données projet'!$B$9,Paramètres!$A$1:$I$89,3,0)*0.475*44/12</f>
        <v>17.431539781484442</v>
      </c>
      <c r="AB31" s="21">
        <f>EXP(-LN(2)/2)*AB30+(1-EXP(-LN(2)/2))/(LN(2)/2)*V31*Y31*VLOOKUP('Données projet'!$B$9,Paramètres!$A$1:$I$89,3,0)*0.475*44/12</f>
        <v>0</v>
      </c>
      <c r="AC31" s="22">
        <f t="shared" si="3"/>
        <v>59.828146722128523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0</v>
      </c>
      <c r="AI31" s="13">
        <f>IF('Données projet'!$A$62&gt;35,AI30+AH31-AQ30,IF(A31&lt;'Données projet'!$A$62,$AF$205^A31,IF(A31='Données projet'!$A$62,'Données projet'!$B$62,AI30+AH31-AQ30)))</f>
        <v>0</v>
      </c>
      <c r="AJ31" s="13">
        <f>AI31*VLOOKUP('Données projet'!$B$10,Paramètres!$A$1:$I$89,3,0)*VLOOKUP('Données projet'!$B$10,Paramètres!$A$1:$I$89,5,0)</f>
        <v>0</v>
      </c>
      <c r="AK31" s="13" t="e">
        <f t="shared" si="35"/>
        <v>#NUM!</v>
      </c>
      <c r="AL31" s="20" t="e">
        <f t="shared" si="4"/>
        <v>#NUM!</v>
      </c>
      <c r="AM31" s="59" t="e">
        <f t="shared" si="5"/>
        <v>#NUM!</v>
      </c>
      <c r="AN31" s="59">
        <f ca="1">AVERAGE(OFFSET($AM$3,0,0,'Données projet'!$E$10+1,1))-AVERAGE(OFFSET($H$3,0,0,'Données projet'!$E$10+1,1))</f>
        <v>101.15586831191774</v>
      </c>
      <c r="AO31" s="59">
        <f t="shared" si="36"/>
        <v>346.96347336689064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42.396606940644084</v>
      </c>
      <c r="AV31" s="21">
        <f>EXP(-LN(2)/25)*AV30+(1-EXP(-LN(2)/25))/(LN(2)/25)*Calculateur!AQ31*Calculateur!AS31*VLOOKUP('Données projet'!$B$10,Paramètres!$A$1:$I$89,3,0)*0.475*44/12</f>
        <v>17.431539781484442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59.828146722128523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9.1999999999999993</v>
      </c>
      <c r="BD31" s="12">
        <f>IF('Données projet'!$A$88&gt;35,BD30+BC31-BL30,IF(A31&lt;'Données projet'!$A$88,$BA$205^A31,IF(A31='Données projet'!$A$88,'Données projet'!$B$88,BD30+BC31-BL30)))</f>
        <v>136.60000000000002</v>
      </c>
      <c r="BE31" s="13">
        <f>BD31*VLOOKUP('Données projet'!$B$11,Paramètres!$A$1:$I$89,3,0)*VLOOKUP('Données projet'!$B$11,Paramètres!$A$1:$I$89,5,0)</f>
        <v>123.59568000000002</v>
      </c>
      <c r="BF31" s="13">
        <f t="shared" si="37"/>
        <v>32.512186163604952</v>
      </c>
      <c r="BG31" s="20">
        <f t="shared" si="7"/>
        <v>271.88786690161197</v>
      </c>
      <c r="BH31" s="59">
        <f t="shared" si="8"/>
        <v>562.77675579050083</v>
      </c>
      <c r="BI31" s="59">
        <f ca="1">AVERAGE(OFFSET($BH$3,0,0,'Données projet'!$E$11+1,1))-AVERAGE(OFFSET($H$3,0,0,'Données projet'!$E$11+1,1))</f>
        <v>352.62747127358324</v>
      </c>
      <c r="BJ31" s="59">
        <f t="shared" si="38"/>
        <v>283.16932763435011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0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0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9.1999999999999993</v>
      </c>
      <c r="BY31" s="12">
        <f>IF('Données projet'!$A$114&gt;35,BY30+BX31-CG30,IF(A31&lt;'Données projet'!$A$114,$BV$205^A31,IF(A31='Données projet'!$A$114,'Données projet'!$B$114,BY30+BX31-CG30)))</f>
        <v>136.60000000000002</v>
      </c>
      <c r="BZ31" s="13">
        <f>BY31*VLOOKUP('Données projet'!$B$12,Paramètres!$A$1:$I$89,3,0)*VLOOKUP('Données projet'!$B$12,Paramètres!$A$1:$I$89,5,0)</f>
        <v>142.77432000000005</v>
      </c>
      <c r="CA31" s="13">
        <f t="shared" si="39"/>
        <v>36.931835593911373</v>
      </c>
      <c r="CB31" s="20">
        <f t="shared" si="10"/>
        <v>312.98822099272905</v>
      </c>
      <c r="CC31" s="59">
        <f t="shared" si="11"/>
        <v>603.87710988161791</v>
      </c>
      <c r="CD31" s="59">
        <f ca="1">AVERAGE(OFFSET($CC$3,0,0,'Données projet'!$E$12+1,1))-AVERAGE(OFFSET($H$3,0,0,'Données projet'!$E$12+1,1))</f>
        <v>423.49657671419374</v>
      </c>
      <c r="CE31" s="59">
        <f t="shared" si="40"/>
        <v>329.6783569381081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0</v>
      </c>
      <c r="CM31" s="21">
        <f>EXP(-LN(2)/2)*CM30+(1-EXP(-LN(2)/2))/(LN(2)/2)*CG31*CJ31*VLOOKUP('Données projet'!$B$12,Paramètres!$A$1:$I$89,3,0)*0.475*44/12</f>
        <v>0</v>
      </c>
      <c r="CN31" s="22">
        <f t="shared" si="12"/>
        <v>0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9.1999999999999993</v>
      </c>
      <c r="CT31" s="12">
        <f>IF('Données projet'!$A$140&gt;35,CT30+CS31-DB30,IF(A31&lt;'Données projet'!$A$140,$CQ$205^A31,IF(A31='Données projet'!$A$140,'Données projet'!$B$140,CT30+CS31-DB30)))</f>
        <v>136.60000000000002</v>
      </c>
      <c r="CU31" s="17">
        <f>CT31*VLOOKUP('Données projet'!$B$13,Paramètres!$A$1:$I$89,3,0)*VLOOKUP('Données projet'!$B$13,Paramètres!$A$1:$I$89,5,0)</f>
        <v>138.51240000000004</v>
      </c>
      <c r="CV31" s="13">
        <f t="shared" si="41"/>
        <v>35.956005637403152</v>
      </c>
      <c r="CW31" s="20">
        <f t="shared" si="13"/>
        <v>303.86580648514382</v>
      </c>
      <c r="CX31" s="59">
        <f t="shared" si="14"/>
        <v>594.75469537403274</v>
      </c>
      <c r="CY31" s="59">
        <f ca="1">AVERAGE(OFFSET($CX$3,0,0,'Données projet'!$E$13+1,1))-AVERAGE(OFFSET($H$3,0,0,'Données projet'!$E$13+1,1))</f>
        <v>407.76560346703042</v>
      </c>
      <c r="CZ31" s="59">
        <f t="shared" si="42"/>
        <v>319.35531375725202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>
        <f>EXP(-LN(2)/35)*DF30+(1-EXP(-LN(2)/35))/(LN(2)/35)*DB31*DC31*VLOOKUP('Données projet'!$B$13,Paramètres!$A$1:$I$89,3,0)*0.475*44/12</f>
        <v>0</v>
      </c>
      <c r="DG31" s="21">
        <f>EXP(-LN(2)/25)*DG30+(1-EXP(-LN(2)/25))/(LN(2)/25)*Calculateur!DB31*Calculateur!DD31*VLOOKUP('Données projet'!$B$13,Paramètres!$A$1:$I$89,3,0)*0.475*44/12</f>
        <v>0</v>
      </c>
      <c r="DH31" s="21">
        <f>EXP(-LN(2)/2)*DH30+(1-EXP(-LN(2)/2))/(LN(2)/2)*DB31*DE31*VLOOKUP('Données projet'!$B$13,Paramètres!$A$1:$I$89,3,0)*0.475*44/12</f>
        <v>0</v>
      </c>
      <c r="DI31" s="22">
        <f t="shared" si="15"/>
        <v>0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2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25.786799999999992</v>
      </c>
      <c r="D32" s="11">
        <f t="shared" si="32"/>
        <v>8.1407206738151334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261.89665081541494</v>
      </c>
      <c r="H32" s="67">
        <f t="shared" si="1"/>
        <v>315.75709850689469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0</v>
      </c>
      <c r="N32" s="13">
        <f>IF('Données projet'!$A$36&gt;35,N31+M32-V31,IF(A32&lt;'Données projet'!$A$36,$K$205^A32,IF(A32='Données projet'!$A$36,'Données projet'!$B$36,N31+M32-V31)))</f>
        <v>0</v>
      </c>
      <c r="O32" s="13">
        <f>N32*VLOOKUP('Données projet'!$B$9,Paramètres!$A$1:$I$89,3,0)*VLOOKUP('Données projet'!$B$9,Paramètres!$A$1:$I$89,5,0)</f>
        <v>0</v>
      </c>
      <c r="P32" s="13" t="e">
        <f t="shared" si="33"/>
        <v>#NUM!</v>
      </c>
      <c r="Q32" s="20" t="e">
        <f t="shared" si="2"/>
        <v>#NUM!</v>
      </c>
      <c r="R32" s="59" t="e">
        <f t="shared" si="0"/>
        <v>#NUM!</v>
      </c>
      <c r="S32" s="59">
        <f ca="1">AVERAGE(OFFSET($R$3,0,0,'Données projet'!$E$9+1,1))-AVERAGE(OFFSET($H$3,0,0,'Données projet'!$E$9+1,1))</f>
        <v>101.15586831191774</v>
      </c>
      <c r="T32" s="59">
        <f t="shared" si="34"/>
        <v>346.96347336689064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41.565235337914885</v>
      </c>
      <c r="AA32" s="21">
        <f>EXP(-LN(2)/25)*AA31+(1-EXP(-LN(2)/25))/(LN(2)/25)*Calculateur!V32*Calculateur!X32*VLOOKUP('Données projet'!$B$9,Paramètres!$A$1:$I$89,3,0)*0.475*44/12</f>
        <v>16.954873409474914</v>
      </c>
      <c r="AB32" s="21">
        <f>EXP(-LN(2)/2)*AB31+(1-EXP(-LN(2)/2))/(LN(2)/2)*V32*Y32*VLOOKUP('Données projet'!$B$9,Paramètres!$A$1:$I$89,3,0)*0.475*44/12</f>
        <v>0</v>
      </c>
      <c r="AC32" s="22">
        <f t="shared" si="3"/>
        <v>58.520108747389799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0</v>
      </c>
      <c r="AI32" s="13">
        <f>IF('Données projet'!$A$62&gt;35,AI31+AH32-AQ31,IF(A32&lt;'Données projet'!$A$62,$AF$205^A32,IF(A32='Données projet'!$A$62,'Données projet'!$B$62,AI31+AH32-AQ31)))</f>
        <v>0</v>
      </c>
      <c r="AJ32" s="13">
        <f>AI32*VLOOKUP('Données projet'!$B$10,Paramètres!$A$1:$I$89,3,0)*VLOOKUP('Données projet'!$B$10,Paramètres!$A$1:$I$89,5,0)</f>
        <v>0</v>
      </c>
      <c r="AK32" s="13" t="e">
        <f t="shared" si="35"/>
        <v>#NUM!</v>
      </c>
      <c r="AL32" s="20" t="e">
        <f t="shared" si="4"/>
        <v>#NUM!</v>
      </c>
      <c r="AM32" s="59" t="e">
        <f t="shared" si="5"/>
        <v>#NUM!</v>
      </c>
      <c r="AN32" s="59">
        <f ca="1">AVERAGE(OFFSET($AM$3,0,0,'Données projet'!$E$10+1,1))-AVERAGE(OFFSET($H$3,0,0,'Données projet'!$E$10+1,1))</f>
        <v>101.15586831191774</v>
      </c>
      <c r="AO32" s="59">
        <f t="shared" si="36"/>
        <v>346.96347336689064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41.565235337914885</v>
      </c>
      <c r="AV32" s="21">
        <f>EXP(-LN(2)/25)*AV31+(1-EXP(-LN(2)/25))/(LN(2)/25)*Calculateur!AQ32*Calculateur!AS32*VLOOKUP('Données projet'!$B$10,Paramètres!$A$1:$I$89,3,0)*0.475*44/12</f>
        <v>16.954873409474914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58.520108747389799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9.1999999999999993</v>
      </c>
      <c r="BD32" s="12">
        <f>IF('Données projet'!$A$88&gt;35,BD31+BC32-BL31,IF(A32&lt;'Données projet'!$A$88,$BA$205^A32,IF(A32='Données projet'!$A$88,'Données projet'!$B$88,BD31+BC32-BL31)))</f>
        <v>145.80000000000001</v>
      </c>
      <c r="BE32" s="13">
        <f>BD32*VLOOKUP('Données projet'!$B$11,Paramètres!$A$1:$I$89,3,0)*VLOOKUP('Données projet'!$B$11,Paramètres!$A$1:$I$89,5,0)</f>
        <v>131.91984000000002</v>
      </c>
      <c r="BF32" s="13">
        <f t="shared" si="37"/>
        <v>34.439598778503417</v>
      </c>
      <c r="BG32" s="20">
        <f t="shared" si="7"/>
        <v>289.74268920589344</v>
      </c>
      <c r="BH32" s="59">
        <f t="shared" si="8"/>
        <v>581.85380031700458</v>
      </c>
      <c r="BI32" s="59">
        <f ca="1">AVERAGE(OFFSET($BH$3,0,0,'Données projet'!$E$11+1,1))-AVERAGE(OFFSET($H$3,0,0,'Données projet'!$E$11+1,1))</f>
        <v>352.62747127358324</v>
      </c>
      <c r="BJ32" s="59">
        <f t="shared" si="38"/>
        <v>283.16932763435011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0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0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9.1999999999999993</v>
      </c>
      <c r="BY32" s="12">
        <f>IF('Données projet'!$A$114&gt;35,BY31+BX32-CG31,IF(A32&lt;'Données projet'!$A$114,$BV$205^A32,IF(A32='Données projet'!$A$114,'Données projet'!$B$114,BY31+BX32-CG31)))</f>
        <v>145.80000000000001</v>
      </c>
      <c r="BZ32" s="13">
        <f>BY32*VLOOKUP('Données projet'!$B$12,Paramètres!$A$1:$I$89,3,0)*VLOOKUP('Données projet'!$B$12,Paramètres!$A$1:$I$89,5,0)</f>
        <v>152.39016000000001</v>
      </c>
      <c r="CA32" s="13">
        <f t="shared" si="39"/>
        <v>39.121257291266929</v>
      </c>
      <c r="CB32" s="20">
        <f t="shared" si="10"/>
        <v>333.54905178228984</v>
      </c>
      <c r="CC32" s="59">
        <f t="shared" si="11"/>
        <v>625.66016289340098</v>
      </c>
      <c r="CD32" s="59">
        <f ca="1">AVERAGE(OFFSET($CC$3,0,0,'Données projet'!$E$12+1,1))-AVERAGE(OFFSET($H$3,0,0,'Données projet'!$E$12+1,1))</f>
        <v>423.49657671419374</v>
      </c>
      <c r="CE32" s="59">
        <f t="shared" si="40"/>
        <v>329.6783569381081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0</v>
      </c>
      <c r="CM32" s="21">
        <f>EXP(-LN(2)/2)*CM31+(1-EXP(-LN(2)/2))/(LN(2)/2)*CG32*CJ32*VLOOKUP('Données projet'!$B$12,Paramètres!$A$1:$I$89,3,0)*0.475*44/12</f>
        <v>0</v>
      </c>
      <c r="CN32" s="22">
        <f t="shared" si="12"/>
        <v>0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9.1999999999999993</v>
      </c>
      <c r="CT32" s="12">
        <f>IF('Données projet'!$A$140&gt;35,CT31+CS32-DB31,IF(A32&lt;'Données projet'!$A$140,$CQ$205^A32,IF(A32='Données projet'!$A$140,'Données projet'!$B$140,CT31+CS32-DB31)))</f>
        <v>145.80000000000001</v>
      </c>
      <c r="CU32" s="17">
        <f>CT32*VLOOKUP('Données projet'!$B$13,Paramètres!$A$1:$I$89,3,0)*VLOOKUP('Données projet'!$B$13,Paramètres!$A$1:$I$89,5,0)</f>
        <v>147.84120000000001</v>
      </c>
      <c r="CV32" s="13">
        <f t="shared" si="41"/>
        <v>38.087577427074699</v>
      </c>
      <c r="CW32" s="20">
        <f t="shared" si="13"/>
        <v>323.82595401882173</v>
      </c>
      <c r="CX32" s="59">
        <f t="shared" si="14"/>
        <v>615.93706512993288</v>
      </c>
      <c r="CY32" s="59">
        <f ca="1">AVERAGE(OFFSET($CX$3,0,0,'Données projet'!$E$13+1,1))-AVERAGE(OFFSET($H$3,0,0,'Données projet'!$E$13+1,1))</f>
        <v>407.76560346703042</v>
      </c>
      <c r="CZ32" s="59">
        <f t="shared" si="42"/>
        <v>319.35531375725202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projet'!$B$13,Paramètres!$A$1:$I$89,3,0)*0.475*44/12</f>
        <v>0</v>
      </c>
      <c r="DG32" s="21">
        <f>EXP(-LN(2)/25)*DG31+(1-EXP(-LN(2)/25))/(LN(2)/25)*Calculateur!DB32*Calculateur!DD32*VLOOKUP('Données projet'!$B$13,Paramètres!$A$1:$I$89,3,0)*0.475*44/12</f>
        <v>0</v>
      </c>
      <c r="DH32" s="21">
        <f>EXP(-LN(2)/2)*DH31+(1-EXP(-LN(2)/2))/(LN(2)/2)*DB32*DE32*VLOOKUP('Données projet'!$B$13,Paramètres!$A$1:$I$89,3,0)*0.475*44/12</f>
        <v>0</v>
      </c>
      <c r="DI32" s="22">
        <f t="shared" si="15"/>
        <v>0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2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26.675999999999991</v>
      </c>
      <c r="D33" s="11">
        <f t="shared" si="32"/>
        <v>8.388268495647786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270.67154628219339</v>
      </c>
      <c r="H33" s="67">
        <f t="shared" si="1"/>
        <v>317.73693429658658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0</v>
      </c>
      <c r="N33" s="13">
        <f>IF('Données projet'!$A$36&gt;35,N32+M33-V32,IF(A33&lt;'Données projet'!$A$36,$K$205^A33,IF(A33='Données projet'!$A$36,'Données projet'!$B$36,N32+M33-V32)))</f>
        <v>0</v>
      </c>
      <c r="O33" s="13">
        <f>N33*VLOOKUP('Données projet'!$B$9,Paramètres!$A$1:$I$89,3,0)*VLOOKUP('Données projet'!$B$9,Paramètres!$A$1:$I$89,5,0)</f>
        <v>0</v>
      </c>
      <c r="P33" s="13" t="e">
        <f t="shared" si="33"/>
        <v>#NUM!</v>
      </c>
      <c r="Q33" s="20" t="e">
        <f t="shared" si="2"/>
        <v>#NUM!</v>
      </c>
      <c r="R33" s="59" t="e">
        <f t="shared" si="0"/>
        <v>#NUM!</v>
      </c>
      <c r="S33" s="59">
        <f ca="1">AVERAGE(OFFSET($R$3,0,0,'Données projet'!$E$9+1,1))-AVERAGE(OFFSET($H$3,0,0,'Données projet'!$E$9+1,1))</f>
        <v>101.15586831191774</v>
      </c>
      <c r="T33" s="59">
        <f t="shared" si="34"/>
        <v>346.96347336689064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40.750166425228599</v>
      </c>
      <c r="AA33" s="21">
        <f>EXP(-LN(2)/25)*AA32+(1-EXP(-LN(2)/25))/(LN(2)/25)*Calculateur!V33*Calculateur!X33*VLOOKUP('Données projet'!$B$9,Paramètres!$A$1:$I$89,3,0)*0.475*44/12</f>
        <v>16.491241504474779</v>
      </c>
      <c r="AB33" s="21">
        <f>EXP(-LN(2)/2)*AB32+(1-EXP(-LN(2)/2))/(LN(2)/2)*V33*Y33*VLOOKUP('Données projet'!$B$9,Paramètres!$A$1:$I$89,3,0)*0.475*44/12</f>
        <v>0</v>
      </c>
      <c r="AC33" s="22">
        <f t="shared" si="3"/>
        <v>57.241407929703378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0</v>
      </c>
      <c r="AI33" s="13">
        <f>IF('Données projet'!$A$62&gt;35,AI32+AH33-AQ32,IF(A33&lt;'Données projet'!$A$62,$AF$205^A33,IF(A33='Données projet'!$A$62,'Données projet'!$B$62,AI32+AH33-AQ32)))</f>
        <v>0</v>
      </c>
      <c r="AJ33" s="13">
        <f>AI33*VLOOKUP('Données projet'!$B$10,Paramètres!$A$1:$I$89,3,0)*VLOOKUP('Données projet'!$B$10,Paramètres!$A$1:$I$89,5,0)</f>
        <v>0</v>
      </c>
      <c r="AK33" s="13" t="e">
        <f t="shared" si="35"/>
        <v>#NUM!</v>
      </c>
      <c r="AL33" s="20" t="e">
        <f t="shared" si="4"/>
        <v>#NUM!</v>
      </c>
      <c r="AM33" s="59" t="e">
        <f t="shared" si="5"/>
        <v>#NUM!</v>
      </c>
      <c r="AN33" s="59">
        <f ca="1">AVERAGE(OFFSET($AM$3,0,0,'Données projet'!$E$10+1,1))-AVERAGE(OFFSET($H$3,0,0,'Données projet'!$E$10+1,1))</f>
        <v>101.15586831191774</v>
      </c>
      <c r="AO33" s="59">
        <f t="shared" si="36"/>
        <v>346.96347336689064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40.750166425228599</v>
      </c>
      <c r="AV33" s="21">
        <f>EXP(-LN(2)/25)*AV32+(1-EXP(-LN(2)/25))/(LN(2)/25)*Calculateur!AQ33*Calculateur!AS33*VLOOKUP('Données projet'!$B$10,Paramètres!$A$1:$I$89,3,0)*0.475*44/12</f>
        <v>16.491241504474779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57.241407929703378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155</v>
      </c>
      <c r="BB33" s="12">
        <f>VLOOKUP(A33,'Données projet'!$A$87:$I$107,9,0)</f>
        <v>9.1999999999999993</v>
      </c>
      <c r="BC33" s="12">
        <f t="array" ref="BC33">INDEX(BB:BB,MIN(IF(ISNUMBER(BB33:BB229),ROW(BB33:BB229),"")))</f>
        <v>9.1999999999999993</v>
      </c>
      <c r="BD33" s="12">
        <f>IF('Données projet'!$A$88&gt;35,BD32+BC33-BL32,IF(A33&lt;'Données projet'!$A$88,$BA$205^A33,IF(A33='Données projet'!$A$88,'Données projet'!$B$88,BD32+BC33-BL32)))</f>
        <v>155</v>
      </c>
      <c r="BE33" s="13">
        <f>BD33*VLOOKUP('Données projet'!$B$11,Paramètres!$A$1:$I$89,3,0)*VLOOKUP('Données projet'!$B$11,Paramètres!$A$1:$I$89,5,0)</f>
        <v>140.244</v>
      </c>
      <c r="BF33" s="13">
        <f t="shared" si="37"/>
        <v>36.352896802451752</v>
      </c>
      <c r="BG33" s="20">
        <f t="shared" si="7"/>
        <v>307.57292859760338</v>
      </c>
      <c r="BH33" s="59">
        <f t="shared" si="8"/>
        <v>600.90626193093669</v>
      </c>
      <c r="BI33" s="59">
        <f ca="1">AVERAGE(OFFSET($BH$3,0,0,'Données projet'!$E$11+1,1))-AVERAGE(OFFSET($H$3,0,0,'Données projet'!$E$11+1,1))</f>
        <v>352.62747127358324</v>
      </c>
      <c r="BJ33" s="59">
        <f t="shared" si="38"/>
        <v>283.16932763435011</v>
      </c>
      <c r="BK33" s="15">
        <f>IF(ISNA(VLOOKUP(A33,'Données projet'!$A$87:$I$107,3,0)),0,VLOOKUP(A33,'Données projet'!$A$87:$I$107,3,0))</f>
        <v>3</v>
      </c>
      <c r="BL33" s="15">
        <f>IF(ISNA(VLOOKUP(A33,'Données projet'!$A$87:$I$107,4,0)),0,VLOOKUP(A33,'Données projet'!$A$87:$I$107,4,0))</f>
        <v>62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0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0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155</v>
      </c>
      <c r="BW33" s="12">
        <f>VLOOKUP(A33,'Données projet'!$A$113:$I$133,9,0)</f>
        <v>9.1999999999999993</v>
      </c>
      <c r="BX33" s="12">
        <f t="array" ref="BX33">INDEX(BW:BW,MIN(IF(ISNUMBER(BW33:BW229),ROW(BW33:BW229),"")))</f>
        <v>9.1999999999999993</v>
      </c>
      <c r="BY33" s="12">
        <f>IF('Données projet'!$A$114&gt;35,BY32+BX33-CG32,IF(A33&lt;'Données projet'!$A$114,$BV$205^A33,IF(A33='Données projet'!$A$114,'Données projet'!$B$114,BY32+BX33-CG32)))</f>
        <v>155</v>
      </c>
      <c r="BZ33" s="13">
        <f>BY33*VLOOKUP('Données projet'!$B$12,Paramètres!$A$1:$I$89,3,0)*VLOOKUP('Données projet'!$B$12,Paramètres!$A$1:$I$89,5,0)</f>
        <v>162.00600000000003</v>
      </c>
      <c r="CA33" s="13">
        <f t="shared" si="39"/>
        <v>41.294645684992197</v>
      </c>
      <c r="CB33" s="20">
        <f t="shared" si="10"/>
        <v>354.08195790136142</v>
      </c>
      <c r="CC33" s="59">
        <f t="shared" si="11"/>
        <v>647.41529123469468</v>
      </c>
      <c r="CD33" s="59">
        <f ca="1">AVERAGE(OFFSET($CC$3,0,0,'Données projet'!$E$12+1,1))-AVERAGE(OFFSET($H$3,0,0,'Données projet'!$E$12+1,1))</f>
        <v>423.49657671419374</v>
      </c>
      <c r="CE33" s="59">
        <f t="shared" si="40"/>
        <v>329.6783569381081</v>
      </c>
      <c r="CF33" s="15">
        <f>IF(ISNA(VLOOKUP(A33,'Données projet'!$A$113:$I$133,3,0)),0,VLOOKUP(A33,'Données projet'!$A$113:$I$133,3,0))</f>
        <v>3</v>
      </c>
      <c r="CG33" s="15">
        <f>IF(ISNA(VLOOKUP(A33,'Données projet'!$A$113:$I$133,4,0)),0,VLOOKUP(A33,'Données projet'!$A$113:$I$133,4,0))</f>
        <v>62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>
        <f>EXP(-LN(2)/35)*CK32+(1-EXP(-LN(2)/35))/(LN(2)/35)*CG33*CH33*VLOOKUP('Données projet'!$B$12,Paramètres!$A$1:$I$89,3,0)*0.475*44/12</f>
        <v>0</v>
      </c>
      <c r="CL33" s="21">
        <f>EXP(-LN(2)/25)*CL32+(1-EXP(-LN(2)/25))/(LN(2)/25)*Calculateur!CG33*Calculateur!CI33*VLOOKUP('Données projet'!$B$12,Paramètres!$A$1:$I$89,3,0)*0.475*44/12</f>
        <v>0</v>
      </c>
      <c r="CM33" s="21">
        <f>EXP(-LN(2)/2)*CM32+(1-EXP(-LN(2)/2))/(LN(2)/2)*CG33*CJ33*VLOOKUP('Données projet'!$B$12,Paramètres!$A$1:$I$89,3,0)*0.475*44/12</f>
        <v>0</v>
      </c>
      <c r="CN33" s="22">
        <f t="shared" si="12"/>
        <v>0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>
        <f>VLOOKUP(A33,'Données projet'!$A$139:$I$159,2,0)</f>
        <v>155</v>
      </c>
      <c r="CR33" s="12">
        <f>VLOOKUP(A33,'Données projet'!$A$139:$I$159,9,0)</f>
        <v>9.1999999999999993</v>
      </c>
      <c r="CS33" s="12">
        <f t="array" ref="CS33">INDEX(CR:CR,MIN(IF(ISNUMBER(CR33:CR229),ROW(CR33:CR229),"")))</f>
        <v>9.1999999999999993</v>
      </c>
      <c r="CT33" s="12">
        <f>IF('Données projet'!$A$140&gt;35,CT32+CS33-DB32,IF(A33&lt;'Données projet'!$A$140,$CQ$205^A33,IF(A33='Données projet'!$A$140,'Données projet'!$B$140,CT32+CS33-DB32)))</f>
        <v>155</v>
      </c>
      <c r="CU33" s="17">
        <f>CT33*VLOOKUP('Données projet'!$B$13,Paramètres!$A$1:$I$89,3,0)*VLOOKUP('Données projet'!$B$13,Paramètres!$A$1:$I$89,5,0)</f>
        <v>157.17000000000002</v>
      </c>
      <c r="CV33" s="13">
        <f t="shared" si="41"/>
        <v>40.203539552443232</v>
      </c>
      <c r="CW33" s="20">
        <f t="shared" si="13"/>
        <v>343.75891472050535</v>
      </c>
      <c r="CX33" s="59">
        <f t="shared" si="14"/>
        <v>637.0922480538386</v>
      </c>
      <c r="CY33" s="59">
        <f ca="1">AVERAGE(OFFSET($CX$3,0,0,'Données projet'!$E$13+1,1))-AVERAGE(OFFSET($H$3,0,0,'Données projet'!$E$13+1,1))</f>
        <v>407.76560346703042</v>
      </c>
      <c r="CZ33" s="59">
        <f t="shared" si="42"/>
        <v>319.35531375725202</v>
      </c>
      <c r="DA33" s="15">
        <f>IF(ISNA(VLOOKUP(A33,'Données projet'!$A$139:$I$159,3,0)),0,VLOOKUP(A33,'Données projet'!$A$139:$I$159,3,0))</f>
        <v>3</v>
      </c>
      <c r="DB33" s="15">
        <f>IF(ISNA(VLOOKUP(A33,'Données projet'!$A$139:$I$159,4,0)),0,VLOOKUP(A33,'Données projet'!$A$139:$I$159,4,0))</f>
        <v>62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>
        <f>EXP(-LN(2)/35)*DF32+(1-EXP(-LN(2)/35))/(LN(2)/35)*DB33*DC33*VLOOKUP('Données projet'!$B$13,Paramètres!$A$1:$I$89,3,0)*0.475*44/12</f>
        <v>0</v>
      </c>
      <c r="DG33" s="21">
        <f>EXP(-LN(2)/25)*DG32+(1-EXP(-LN(2)/25))/(LN(2)/25)*Calculateur!DB33*Calculateur!DD33*VLOOKUP('Données projet'!$B$13,Paramètres!$A$1:$I$89,3,0)*0.475*44/12</f>
        <v>0</v>
      </c>
      <c r="DH33" s="21">
        <f>EXP(-LN(2)/2)*DH32+(1-EXP(-LN(2)/2))/(LN(2)/2)*DB33*DE33*VLOOKUP('Données projet'!$B$13,Paramètres!$A$1:$I$89,3,0)*0.475*44/12</f>
        <v>0</v>
      </c>
      <c r="DI33" s="22">
        <f t="shared" si="15"/>
        <v>0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2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27.56519999999999</v>
      </c>
      <c r="D34" s="11">
        <f t="shared" si="32"/>
        <v>8.6348575052881742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279.43904039169814</v>
      </c>
      <c r="H34" s="67">
        <f t="shared" si="1"/>
        <v>319.71510015504356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0</v>
      </c>
      <c r="N34" s="13">
        <f>IF('Données projet'!$A$36&gt;35,N33+M34-V33,IF(A34&lt;'Données projet'!$A$36,$K$205^A34,IF(A34='Données projet'!$A$36,'Données projet'!$B$36,N33+M34-V33)))</f>
        <v>0</v>
      </c>
      <c r="O34" s="13">
        <f>N34*VLOOKUP('Données projet'!$B$9,Paramètres!$A$1:$I$89,3,0)*VLOOKUP('Données projet'!$B$9,Paramètres!$A$1:$I$89,5,0)</f>
        <v>0</v>
      </c>
      <c r="P34" s="13" t="e">
        <f t="shared" si="33"/>
        <v>#NUM!</v>
      </c>
      <c r="Q34" s="20" t="e">
        <f t="shared" si="2"/>
        <v>#NUM!</v>
      </c>
      <c r="R34" s="59" t="e">
        <f t="shared" si="0"/>
        <v>#NUM!</v>
      </c>
      <c r="S34" s="59">
        <f ca="1">AVERAGE(OFFSET($R$3,0,0,'Données projet'!$E$9+1,1))-AVERAGE(OFFSET($H$3,0,0,'Données projet'!$E$9+1,1))</f>
        <v>101.15586831191774</v>
      </c>
      <c r="T34" s="59">
        <f t="shared" si="34"/>
        <v>346.96347336689064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39.951080516777147</v>
      </c>
      <c r="AA34" s="21">
        <f>EXP(-LN(2)/25)*AA33+(1-EXP(-LN(2)/25))/(LN(2)/25)*Calculateur!V34*Calculateur!X34*VLOOKUP('Données projet'!$B$9,Paramètres!$A$1:$I$89,3,0)*0.475*44/12</f>
        <v>16.040287638298217</v>
      </c>
      <c r="AB34" s="21">
        <f>EXP(-LN(2)/2)*AB33+(1-EXP(-LN(2)/2))/(LN(2)/2)*V34*Y34*VLOOKUP('Données projet'!$B$9,Paramètres!$A$1:$I$89,3,0)*0.475*44/12</f>
        <v>0</v>
      </c>
      <c r="AC34" s="22">
        <f t="shared" si="3"/>
        <v>55.991368155075364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0</v>
      </c>
      <c r="AI34" s="13">
        <f>IF('Données projet'!$A$62&gt;35,AI33+AH34-AQ33,IF(A34&lt;'Données projet'!$A$62,$AF$205^A34,IF(A34='Données projet'!$A$62,'Données projet'!$B$62,AI33+AH34-AQ33)))</f>
        <v>0</v>
      </c>
      <c r="AJ34" s="13">
        <f>AI34*VLOOKUP('Données projet'!$B$10,Paramètres!$A$1:$I$89,3,0)*VLOOKUP('Données projet'!$B$10,Paramètres!$A$1:$I$89,5,0)</f>
        <v>0</v>
      </c>
      <c r="AK34" s="13" t="e">
        <f t="shared" si="35"/>
        <v>#NUM!</v>
      </c>
      <c r="AL34" s="20" t="e">
        <f t="shared" si="4"/>
        <v>#NUM!</v>
      </c>
      <c r="AM34" s="59" t="e">
        <f t="shared" si="5"/>
        <v>#NUM!</v>
      </c>
      <c r="AN34" s="59">
        <f ca="1">AVERAGE(OFFSET($AM$3,0,0,'Données projet'!$E$10+1,1))-AVERAGE(OFFSET($H$3,0,0,'Données projet'!$E$10+1,1))</f>
        <v>101.15586831191774</v>
      </c>
      <c r="AO34" s="59">
        <f t="shared" si="36"/>
        <v>346.96347336689064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39.951080516777147</v>
      </c>
      <c r="AV34" s="21">
        <f>EXP(-LN(2)/25)*AV33+(1-EXP(-LN(2)/25))/(LN(2)/25)*Calculateur!AQ34*Calculateur!AS34*VLOOKUP('Données projet'!$B$10,Paramètres!$A$1:$I$89,3,0)*0.475*44/12</f>
        <v>16.040287638298217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55.991368155075364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10.8</v>
      </c>
      <c r="BD34" s="12">
        <f>IF('Données projet'!$A$88&gt;35,BD33+BC34-BL33,IF(A34&lt;'Données projet'!$A$88,$BA$205^A34,IF(A34='Données projet'!$A$88,'Données projet'!$B$88,BD33+BC34-BL33)))</f>
        <v>103.80000000000001</v>
      </c>
      <c r="BE34" s="13">
        <f>BD34*VLOOKUP('Données projet'!$B$11,Paramètres!$A$1:$I$89,3,0)*VLOOKUP('Données projet'!$B$11,Paramètres!$A$1:$I$89,5,0)</f>
        <v>93.918239999999997</v>
      </c>
      <c r="BF34" s="13">
        <f t="shared" si="37"/>
        <v>25.507853654186022</v>
      </c>
      <c r="BG34" s="20">
        <f t="shared" si="7"/>
        <v>208.0004464477073</v>
      </c>
      <c r="BH34" s="59">
        <f t="shared" si="8"/>
        <v>501.33377978104062</v>
      </c>
      <c r="BI34" s="59">
        <f ca="1">AVERAGE(OFFSET($BH$3,0,0,'Données projet'!$E$11+1,1))-AVERAGE(OFFSET($H$3,0,0,'Données projet'!$E$11+1,1))</f>
        <v>352.62747127358324</v>
      </c>
      <c r="BJ34" s="59">
        <f t="shared" si="38"/>
        <v>283.16932763435011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0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0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10.8</v>
      </c>
      <c r="BY34" s="12">
        <f>IF('Données projet'!$A$114&gt;35,BY33+BX34-CG33,IF(A34&lt;'Données projet'!$A$114,$BV$205^A34,IF(A34='Données projet'!$A$114,'Données projet'!$B$114,BY33+BX34-CG33)))</f>
        <v>103.80000000000001</v>
      </c>
      <c r="BZ34" s="13">
        <f>BY34*VLOOKUP('Données projet'!$B$12,Paramètres!$A$1:$I$89,3,0)*VLOOKUP('Données projet'!$B$12,Paramètres!$A$1:$I$89,5,0)</f>
        <v>108.49176000000001</v>
      </c>
      <c r="CA34" s="13">
        <f t="shared" si="39"/>
        <v>28.9753464368541</v>
      </c>
      <c r="CB34" s="20">
        <f t="shared" si="10"/>
        <v>239.42187704418757</v>
      </c>
      <c r="CC34" s="59">
        <f t="shared" si="11"/>
        <v>532.75521037752083</v>
      </c>
      <c r="CD34" s="59">
        <f ca="1">AVERAGE(OFFSET($CC$3,0,0,'Données projet'!$E$12+1,1))-AVERAGE(OFFSET($H$3,0,0,'Données projet'!$E$12+1,1))</f>
        <v>423.49657671419374</v>
      </c>
      <c r="CE34" s="59">
        <f t="shared" si="40"/>
        <v>329.6783569381081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0</v>
      </c>
      <c r="CL34" s="21">
        <f>EXP(-LN(2)/25)*CL33+(1-EXP(-LN(2)/25))/(LN(2)/25)*Calculateur!CG34*Calculateur!CI34*VLOOKUP('Données projet'!$B$12,Paramètres!$A$1:$I$89,3,0)*0.475*44/12</f>
        <v>0</v>
      </c>
      <c r="CM34" s="21">
        <f>EXP(-LN(2)/2)*CM33+(1-EXP(-LN(2)/2))/(LN(2)/2)*CG34*CJ34*VLOOKUP('Données projet'!$B$12,Paramètres!$A$1:$I$89,3,0)*0.475*44/12</f>
        <v>0</v>
      </c>
      <c r="CN34" s="22">
        <f t="shared" si="12"/>
        <v>0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10.8</v>
      </c>
      <c r="CT34" s="12">
        <f>IF('Données projet'!$A$140&gt;35,CT33+CS34-DB33,IF(A34&lt;'Données projet'!$A$140,$CQ$205^A34,IF(A34='Données projet'!$A$140,'Données projet'!$B$140,CT33+CS34-DB33)))</f>
        <v>103.80000000000001</v>
      </c>
      <c r="CU34" s="17">
        <f>CT34*VLOOKUP('Données projet'!$B$13,Paramètres!$A$1:$I$89,3,0)*VLOOKUP('Données projet'!$B$13,Paramètres!$A$1:$I$89,5,0)</f>
        <v>105.25320000000002</v>
      </c>
      <c r="CV34" s="13">
        <f t="shared" si="41"/>
        <v>28.209746498519422</v>
      </c>
      <c r="CW34" s="20">
        <f t="shared" si="13"/>
        <v>232.44796515158802</v>
      </c>
      <c r="CX34" s="59">
        <f t="shared" si="14"/>
        <v>525.78129848492131</v>
      </c>
      <c r="CY34" s="59">
        <f ca="1">AVERAGE(OFFSET($CX$3,0,0,'Données projet'!$E$13+1,1))-AVERAGE(OFFSET($H$3,0,0,'Données projet'!$E$13+1,1))</f>
        <v>407.76560346703042</v>
      </c>
      <c r="CZ34" s="59">
        <f t="shared" si="42"/>
        <v>319.35531375725202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0</v>
      </c>
      <c r="DG34" s="21">
        <f>EXP(-LN(2)/25)*DG33+(1-EXP(-LN(2)/25))/(LN(2)/25)*Calculateur!DB34*Calculateur!DD34*VLOOKUP('Données projet'!$B$13,Paramètres!$A$1:$I$89,3,0)*0.475*44/12</f>
        <v>0</v>
      </c>
      <c r="DH34" s="21">
        <f>EXP(-LN(2)/2)*DH33+(1-EXP(-LN(2)/2))/(LN(2)/2)*DB34*DE34*VLOOKUP('Données projet'!$B$13,Paramètres!$A$1:$I$89,3,0)*0.475*44/12</f>
        <v>0</v>
      </c>
      <c r="DI34" s="22">
        <f t="shared" si="15"/>
        <v>0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2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28.454399999999989</v>
      </c>
      <c r="D35" s="11">
        <f t="shared" si="32"/>
        <v>8.8805221797401579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288.19939928220469</v>
      </c>
      <c r="H35" s="67">
        <f t="shared" si="1"/>
        <v>321.69165612971409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0</v>
      </c>
      <c r="N35" s="13">
        <f>IF('Données projet'!$A$36&gt;35,N34+M35-V34,IF(A35&lt;'Données projet'!$A$36,$K$205^A35,IF(A35='Données projet'!$A$36,'Données projet'!$B$36,N34+M35-V34)))</f>
        <v>0</v>
      </c>
      <c r="O35" s="13">
        <f>N35*VLOOKUP('Données projet'!$B$9,Paramètres!$A$1:$I$89,3,0)*VLOOKUP('Données projet'!$B$9,Paramètres!$A$1:$I$89,5,0)</f>
        <v>0</v>
      </c>
      <c r="P35" s="13" t="e">
        <f t="shared" si="33"/>
        <v>#NUM!</v>
      </c>
      <c r="Q35" s="20" t="e">
        <f t="shared" ref="Q35:Q66" si="53">(O35+P35)*0.475*44/12</f>
        <v>#NUM!</v>
      </c>
      <c r="R35" s="59" t="e">
        <f t="shared" si="0"/>
        <v>#NUM!</v>
      </c>
      <c r="S35" s="59">
        <f ca="1">AVERAGE(OFFSET($R$3,0,0,'Données projet'!$E$9+1,1))-AVERAGE(OFFSET($H$3,0,0,'Données projet'!$E$9+1,1))</f>
        <v>101.15586831191774</v>
      </c>
      <c r="T35" s="59">
        <f t="shared" si="34"/>
        <v>346.96347336689064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39.167664195596146</v>
      </c>
      <c r="AA35" s="21">
        <f>EXP(-LN(2)/25)*AA34+(1-EXP(-LN(2)/25))/(LN(2)/25)*Calculateur!V35*Calculateur!X35*VLOOKUP('Données projet'!$B$9,Paramètres!$A$1:$I$89,3,0)*0.475*44/12</f>
        <v>15.601665129306886</v>
      </c>
      <c r="AB35" s="21">
        <f>EXP(-LN(2)/2)*AB34+(1-EXP(-LN(2)/2))/(LN(2)/2)*V35*Y35*VLOOKUP('Données projet'!$B$9,Paramètres!$A$1:$I$89,3,0)*0.475*44/12</f>
        <v>0</v>
      </c>
      <c r="AC35" s="22">
        <f t="shared" si="3"/>
        <v>54.769329324903033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0</v>
      </c>
      <c r="AI35" s="13">
        <f>IF('Données projet'!$A$62&gt;35,AI34+AH35-AQ34,IF(A35&lt;'Données projet'!$A$62,$AF$205^A35,IF(A35='Données projet'!$A$62,'Données projet'!$B$62,AI34+AH35-AQ34)))</f>
        <v>0</v>
      </c>
      <c r="AJ35" s="13">
        <f>AI35*VLOOKUP('Données projet'!$B$10,Paramètres!$A$1:$I$89,3,0)*VLOOKUP('Données projet'!$B$10,Paramètres!$A$1:$I$89,5,0)</f>
        <v>0</v>
      </c>
      <c r="AK35" s="13" t="e">
        <f t="shared" si="35"/>
        <v>#NUM!</v>
      </c>
      <c r="AL35" s="20" t="e">
        <f t="shared" si="4"/>
        <v>#NUM!</v>
      </c>
      <c r="AM35" s="59" t="e">
        <f t="shared" si="5"/>
        <v>#NUM!</v>
      </c>
      <c r="AN35" s="59">
        <f ca="1">AVERAGE(OFFSET($AM$3,0,0,'Données projet'!$E$10+1,1))-AVERAGE(OFFSET($H$3,0,0,'Données projet'!$E$10+1,1))</f>
        <v>101.15586831191774</v>
      </c>
      <c r="AO35" s="59">
        <f t="shared" si="36"/>
        <v>346.96347336689064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39.167664195596146</v>
      </c>
      <c r="AV35" s="21">
        <f>EXP(-LN(2)/25)*AV34+(1-EXP(-LN(2)/25))/(LN(2)/25)*Calculateur!AQ35*Calculateur!AS35*VLOOKUP('Données projet'!$B$10,Paramètres!$A$1:$I$89,3,0)*0.475*44/12</f>
        <v>15.601665129306886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54.769329324903033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10.8</v>
      </c>
      <c r="BD35" s="12">
        <f>IF('Données projet'!$A$88&gt;35,BD34+BC35-BL34,IF(A35&lt;'Données projet'!$A$88,$BA$205^A35,IF(A35='Données projet'!$A$88,'Données projet'!$B$88,BD34+BC35-BL34)))</f>
        <v>114.60000000000001</v>
      </c>
      <c r="BE35" s="13">
        <f>BD35*VLOOKUP('Données projet'!$B$11,Paramètres!$A$1:$I$89,3,0)*VLOOKUP('Données projet'!$B$11,Paramètres!$A$1:$I$89,5,0)</f>
        <v>103.69008000000001</v>
      </c>
      <c r="BF35" s="13">
        <f t="shared" si="37"/>
        <v>27.83924565319537</v>
      </c>
      <c r="BG35" s="20">
        <f t="shared" si="7"/>
        <v>229.08024217931526</v>
      </c>
      <c r="BH35" s="59">
        <f t="shared" si="8"/>
        <v>522.41357551264855</v>
      </c>
      <c r="BI35" s="59">
        <f ca="1">AVERAGE(OFFSET($BH$3,0,0,'Données projet'!$E$11+1,1))-AVERAGE(OFFSET($H$3,0,0,'Données projet'!$E$11+1,1))</f>
        <v>352.62747127358324</v>
      </c>
      <c r="BJ35" s="59">
        <f t="shared" si="38"/>
        <v>283.16932763435011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0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0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10.8</v>
      </c>
      <c r="BY35" s="12">
        <f>IF('Données projet'!$A$114&gt;35,BY34+BX35-CG34,IF(A35&lt;'Données projet'!$A$114,$BV$205^A35,IF(A35='Données projet'!$A$114,'Données projet'!$B$114,BY34+BX35-CG34)))</f>
        <v>114.60000000000001</v>
      </c>
      <c r="BZ35" s="13">
        <f>BY35*VLOOKUP('Données projet'!$B$12,Paramètres!$A$1:$I$89,3,0)*VLOOKUP('Données projet'!$B$12,Paramètres!$A$1:$I$89,5,0)</f>
        <v>119.77992000000002</v>
      </c>
      <c r="CA35" s="13">
        <f t="shared" si="39"/>
        <v>31.62366376559649</v>
      </c>
      <c r="CB35" s="20">
        <f t="shared" si="10"/>
        <v>263.69457505841393</v>
      </c>
      <c r="CC35" s="59">
        <f t="shared" si="11"/>
        <v>557.02790839174725</v>
      </c>
      <c r="CD35" s="59">
        <f ca="1">AVERAGE(OFFSET($CC$3,0,0,'Données projet'!$E$12+1,1))-AVERAGE(OFFSET($H$3,0,0,'Données projet'!$E$12+1,1))</f>
        <v>423.49657671419374</v>
      </c>
      <c r="CE35" s="59">
        <f t="shared" si="40"/>
        <v>329.6783569381081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0</v>
      </c>
      <c r="CL35" s="21">
        <f>EXP(-LN(2)/25)*CL34+(1-EXP(-LN(2)/25))/(LN(2)/25)*Calculateur!CG35*Calculateur!CI35*VLOOKUP('Données projet'!$B$12,Paramètres!$A$1:$I$89,3,0)*0.475*44/12</f>
        <v>0</v>
      </c>
      <c r="CM35" s="21">
        <f>EXP(-LN(2)/2)*CM34+(1-EXP(-LN(2)/2))/(LN(2)/2)*CG35*CJ35*VLOOKUP('Données projet'!$B$12,Paramètres!$A$1:$I$89,3,0)*0.475*44/12</f>
        <v>0</v>
      </c>
      <c r="CN35" s="22">
        <f t="shared" si="12"/>
        <v>0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10.8</v>
      </c>
      <c r="CT35" s="12">
        <f>IF('Données projet'!$A$140&gt;35,CT34+CS35-DB34,IF(A35&lt;'Données projet'!$A$140,$CQ$205^A35,IF(A35='Données projet'!$A$140,'Données projet'!$B$140,CT34+CS35-DB34)))</f>
        <v>114.60000000000001</v>
      </c>
      <c r="CU35" s="17">
        <f>CT35*VLOOKUP('Données projet'!$B$13,Paramètres!$A$1:$I$89,3,0)*VLOOKUP('Données projet'!$B$13,Paramètres!$A$1:$I$89,5,0)</f>
        <v>116.20440000000002</v>
      </c>
      <c r="CV35" s="13">
        <f t="shared" si="41"/>
        <v>30.788088768016376</v>
      </c>
      <c r="CW35" s="20">
        <f t="shared" si="13"/>
        <v>256.01191793762854</v>
      </c>
      <c r="CX35" s="59">
        <f t="shared" si="14"/>
        <v>549.34525127096185</v>
      </c>
      <c r="CY35" s="59">
        <f ca="1">AVERAGE(OFFSET($CX$3,0,0,'Données projet'!$E$13+1,1))-AVERAGE(OFFSET($H$3,0,0,'Données projet'!$E$13+1,1))</f>
        <v>407.76560346703042</v>
      </c>
      <c r="CZ35" s="59">
        <f t="shared" si="42"/>
        <v>319.35531375725202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0</v>
      </c>
      <c r="DG35" s="21">
        <f>EXP(-LN(2)/25)*DG34+(1-EXP(-LN(2)/25))/(LN(2)/25)*Calculateur!DB35*Calculateur!DD35*VLOOKUP('Données projet'!$B$13,Paramètres!$A$1:$I$89,3,0)*0.475*44/12</f>
        <v>0</v>
      </c>
      <c r="DH35" s="21">
        <f>EXP(-LN(2)/2)*DH34+(1-EXP(-LN(2)/2))/(LN(2)/2)*DB35*DE35*VLOOKUP('Données projet'!$B$13,Paramètres!$A$1:$I$89,3,0)*0.475*44/12</f>
        <v>0</v>
      </c>
      <c r="DI35" s="22">
        <f t="shared" si="15"/>
        <v>0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2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29.343599999999988</v>
      </c>
      <c r="D36" s="11">
        <f t="shared" si="32"/>
        <v>9.1252947188023139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296.95287151356166</v>
      </c>
      <c r="H36" s="67">
        <f t="shared" si="1"/>
        <v>323.66665830191403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0</v>
      </c>
      <c r="N36" s="13">
        <f>IF('Données projet'!$A$36&gt;35,N35+M36-V35,IF(A36&lt;'Données projet'!$A$36,$K$205^A36,IF(A36='Données projet'!$A$36,'Données projet'!$B$36,N35+M36-V35)))</f>
        <v>0</v>
      </c>
      <c r="O36" s="13">
        <f>N36*VLOOKUP('Données projet'!$B$9,Paramètres!$A$1:$I$89,3,0)*VLOOKUP('Données projet'!$B$9,Paramètres!$A$1:$I$89,5,0)</f>
        <v>0</v>
      </c>
      <c r="P36" s="13" t="e">
        <f t="shared" si="33"/>
        <v>#NUM!</v>
      </c>
      <c r="Q36" s="20" t="e">
        <f t="shared" si="53"/>
        <v>#NUM!</v>
      </c>
      <c r="R36" s="59" t="e">
        <f t="shared" si="0"/>
        <v>#NUM!</v>
      </c>
      <c r="S36" s="59">
        <f ca="1">AVERAGE(OFFSET($R$3,0,0,'Données projet'!$E$9+1,1))-AVERAGE(OFFSET($H$3,0,0,'Données projet'!$E$9+1,1))</f>
        <v>101.15586831191774</v>
      </c>
      <c r="T36" s="59">
        <f t="shared" si="34"/>
        <v>346.96347336689064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38.399610190636729</v>
      </c>
      <c r="AA36" s="21">
        <f>EXP(-LN(2)/25)*AA35+(1-EXP(-LN(2)/25))/(LN(2)/25)*Calculateur!V36*Calculateur!X36*VLOOKUP('Données projet'!$B$9,Paramètres!$A$1:$I$89,3,0)*0.475*44/12</f>
        <v>15.175036775890078</v>
      </c>
      <c r="AB36" s="21">
        <f>EXP(-LN(2)/2)*AB35+(1-EXP(-LN(2)/2))/(LN(2)/2)*V36*Y36*VLOOKUP('Données projet'!$B$9,Paramètres!$A$1:$I$89,3,0)*0.475*44/12</f>
        <v>0</v>
      </c>
      <c r="AC36" s="22">
        <f t="shared" si="3"/>
        <v>53.574646966526807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0</v>
      </c>
      <c r="AI36" s="13">
        <f>IF('Données projet'!$A$62&gt;35,AI35+AH36-AQ35,IF(A36&lt;'Données projet'!$A$62,$AF$205^A36,IF(A36='Données projet'!$A$62,'Données projet'!$B$62,AI35+AH36-AQ35)))</f>
        <v>0</v>
      </c>
      <c r="AJ36" s="13">
        <f>AI36*VLOOKUP('Données projet'!$B$10,Paramètres!$A$1:$I$89,3,0)*VLOOKUP('Données projet'!$B$10,Paramètres!$A$1:$I$89,5,0)</f>
        <v>0</v>
      </c>
      <c r="AK36" s="13" t="e">
        <f t="shared" si="35"/>
        <v>#NUM!</v>
      </c>
      <c r="AL36" s="20" t="e">
        <f t="shared" si="4"/>
        <v>#NUM!</v>
      </c>
      <c r="AM36" s="59" t="e">
        <f t="shared" si="5"/>
        <v>#NUM!</v>
      </c>
      <c r="AN36" s="59">
        <f ca="1">AVERAGE(OFFSET($AM$3,0,0,'Données projet'!$E$10+1,1))-AVERAGE(OFFSET($H$3,0,0,'Données projet'!$E$10+1,1))</f>
        <v>101.15586831191774</v>
      </c>
      <c r="AO36" s="59">
        <f t="shared" si="36"/>
        <v>346.96347336689064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38.399610190636729</v>
      </c>
      <c r="AV36" s="21">
        <f>EXP(-LN(2)/25)*AV35+(1-EXP(-LN(2)/25))/(LN(2)/25)*Calculateur!AQ36*Calculateur!AS36*VLOOKUP('Données projet'!$B$10,Paramètres!$A$1:$I$89,3,0)*0.475*44/12</f>
        <v>15.175036775890078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53.574646966526807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10.8</v>
      </c>
      <c r="BD36" s="12">
        <f>IF('Données projet'!$A$88&gt;35,BD35+BC36-BL35,IF(A36&lt;'Données projet'!$A$88,$BA$205^A36,IF(A36='Données projet'!$A$88,'Données projet'!$B$88,BD35+BC36-BL35)))</f>
        <v>125.4</v>
      </c>
      <c r="BE36" s="13">
        <f>BD36*VLOOKUP('Données projet'!$B$11,Paramètres!$A$1:$I$89,3,0)*VLOOKUP('Données projet'!$B$11,Paramètres!$A$1:$I$89,5,0)</f>
        <v>113.46192000000001</v>
      </c>
      <c r="BF36" s="13">
        <f t="shared" si="37"/>
        <v>30.145163126535493</v>
      </c>
      <c r="BG36" s="20">
        <f t="shared" si="7"/>
        <v>250.11566977871595</v>
      </c>
      <c r="BH36" s="59">
        <f t="shared" si="8"/>
        <v>543.44900311204924</v>
      </c>
      <c r="BI36" s="59">
        <f ca="1">AVERAGE(OFFSET($BH$3,0,0,'Données projet'!$E$11+1,1))-AVERAGE(OFFSET($H$3,0,0,'Données projet'!$E$11+1,1))</f>
        <v>352.62747127358324</v>
      </c>
      <c r="BJ36" s="59">
        <f t="shared" si="38"/>
        <v>283.16932763435011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0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0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10.8</v>
      </c>
      <c r="BY36" s="12">
        <f>IF('Données projet'!$A$114&gt;35,BY35+BX36-CG35,IF(A36&lt;'Données projet'!$A$114,$BV$205^A36,IF(A36='Données projet'!$A$114,'Données projet'!$B$114,BY35+BX36-CG35)))</f>
        <v>125.4</v>
      </c>
      <c r="BZ36" s="13">
        <f>BY36*VLOOKUP('Données projet'!$B$12,Paramètres!$A$1:$I$89,3,0)*VLOOKUP('Données projet'!$B$12,Paramètres!$A$1:$I$89,5,0)</f>
        <v>131.06808000000004</v>
      </c>
      <c r="CA36" s="13">
        <f t="shared" si="39"/>
        <v>34.243043606434696</v>
      </c>
      <c r="CB36" s="20">
        <f t="shared" si="10"/>
        <v>287.91687361454052</v>
      </c>
      <c r="CC36" s="59">
        <f t="shared" si="11"/>
        <v>581.25020694787383</v>
      </c>
      <c r="CD36" s="59">
        <f ca="1">AVERAGE(OFFSET($CC$3,0,0,'Données projet'!$E$12+1,1))-AVERAGE(OFFSET($H$3,0,0,'Données projet'!$E$12+1,1))</f>
        <v>423.49657671419374</v>
      </c>
      <c r="CE36" s="59">
        <f t="shared" si="40"/>
        <v>329.6783569381081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0</v>
      </c>
      <c r="CL36" s="21">
        <f>EXP(-LN(2)/25)*CL35+(1-EXP(-LN(2)/25))/(LN(2)/25)*Calculateur!CG36*Calculateur!CI36*VLOOKUP('Données projet'!$B$12,Paramètres!$A$1:$I$89,3,0)*0.475*44/12</f>
        <v>0</v>
      </c>
      <c r="CM36" s="21">
        <f>EXP(-LN(2)/2)*CM35+(1-EXP(-LN(2)/2))/(LN(2)/2)*CG36*CJ36*VLOOKUP('Données projet'!$B$12,Paramètres!$A$1:$I$89,3,0)*0.475*44/12</f>
        <v>0</v>
      </c>
      <c r="CN36" s="22">
        <f t="shared" si="12"/>
        <v>0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10.8</v>
      </c>
      <c r="CT36" s="12">
        <f>IF('Données projet'!$A$140&gt;35,CT35+CS36-DB35,IF(A36&lt;'Données projet'!$A$140,$CQ$205^A36,IF(A36='Données projet'!$A$140,'Données projet'!$B$140,CT35+CS36-DB35)))</f>
        <v>125.4</v>
      </c>
      <c r="CU36" s="17">
        <f>CT36*VLOOKUP('Données projet'!$B$13,Paramètres!$A$1:$I$89,3,0)*VLOOKUP('Données projet'!$B$13,Paramètres!$A$1:$I$89,5,0)</f>
        <v>127.15560000000001</v>
      </c>
      <c r="CV36" s="13">
        <f t="shared" si="41"/>
        <v>33.338258149231912</v>
      </c>
      <c r="CW36" s="20">
        <f t="shared" si="13"/>
        <v>279.52680294324563</v>
      </c>
      <c r="CX36" s="59">
        <f t="shared" si="14"/>
        <v>572.86013627657894</v>
      </c>
      <c r="CY36" s="59">
        <f ca="1">AVERAGE(OFFSET($CX$3,0,0,'Données projet'!$E$13+1,1))-AVERAGE(OFFSET($H$3,0,0,'Données projet'!$E$13+1,1))</f>
        <v>407.76560346703042</v>
      </c>
      <c r="CZ36" s="59">
        <f t="shared" si="42"/>
        <v>319.35531375725202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0</v>
      </c>
      <c r="DG36" s="21">
        <f>EXP(-LN(2)/25)*DG35+(1-EXP(-LN(2)/25))/(LN(2)/25)*Calculateur!DB36*Calculateur!DD36*VLOOKUP('Données projet'!$B$13,Paramètres!$A$1:$I$89,3,0)*0.475*44/12</f>
        <v>0</v>
      </c>
      <c r="DH36" s="21">
        <f>EXP(-LN(2)/2)*DH35+(1-EXP(-LN(2)/2))/(LN(2)/2)*DB36*DE36*VLOOKUP('Données projet'!$B$13,Paramètres!$A$1:$I$89,3,0)*0.475*44/12</f>
        <v>0</v>
      </c>
      <c r="DI36" s="22">
        <f t="shared" si="15"/>
        <v>0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2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30.232799999999987</v>
      </c>
      <c r="D37" s="11">
        <f t="shared" si="32"/>
        <v>9.3692052598737909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305.69968972534144</v>
      </c>
      <c r="H37" s="67">
        <f t="shared" si="1"/>
        <v>325.64015916094684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0</v>
      </c>
      <c r="N37" s="13">
        <f>IF('Données projet'!$A$36&gt;35,N36+M37-V36,IF(A37&lt;'Données projet'!$A$36,$K$205^A37,IF(A37='Données projet'!$A$36,'Données projet'!$B$36,N36+M37-V36)))</f>
        <v>0</v>
      </c>
      <c r="O37" s="13">
        <f>N37*VLOOKUP('Données projet'!$B$9,Paramètres!$A$1:$I$89,3,0)*VLOOKUP('Données projet'!$B$9,Paramètres!$A$1:$I$89,5,0)</f>
        <v>0</v>
      </c>
      <c r="P37" s="13" t="e">
        <f t="shared" si="33"/>
        <v>#NUM!</v>
      </c>
      <c r="Q37" s="20" t="e">
        <f t="shared" si="53"/>
        <v>#NUM!</v>
      </c>
      <c r="R37" s="59" t="e">
        <f t="shared" si="0"/>
        <v>#NUM!</v>
      </c>
      <c r="S37" s="59">
        <f ca="1">AVERAGE(OFFSET($R$3,0,0,'Données projet'!$E$9+1,1))-AVERAGE(OFFSET($H$3,0,0,'Données projet'!$E$9+1,1))</f>
        <v>101.15586831191774</v>
      </c>
      <c r="T37" s="59">
        <f t="shared" si="34"/>
        <v>346.96347336689064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37.646617256247886</v>
      </c>
      <c r="AA37" s="21">
        <f>EXP(-LN(2)/25)*AA36+(1-EXP(-LN(2)/25))/(LN(2)/25)*Calculateur!V37*Calculateur!X37*VLOOKUP('Données projet'!$B$9,Paramètres!$A$1:$I$89,3,0)*0.475*44/12</f>
        <v>14.760074597232864</v>
      </c>
      <c r="AB37" s="21">
        <f>EXP(-LN(2)/2)*AB36+(1-EXP(-LN(2)/2))/(LN(2)/2)*V37*Y37*VLOOKUP('Données projet'!$B$9,Paramètres!$A$1:$I$89,3,0)*0.475*44/12</f>
        <v>0</v>
      </c>
      <c r="AC37" s="22">
        <f t="shared" si="3"/>
        <v>52.406691853480751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0</v>
      </c>
      <c r="AI37" s="13">
        <f>IF('Données projet'!$A$62&gt;35,AI36+AH37-AQ36,IF(A37&lt;'Données projet'!$A$62,$AF$205^A37,IF(A37='Données projet'!$A$62,'Données projet'!$B$62,AI36+AH37-AQ36)))</f>
        <v>0</v>
      </c>
      <c r="AJ37" s="13">
        <f>AI37*VLOOKUP('Données projet'!$B$10,Paramètres!$A$1:$I$89,3,0)*VLOOKUP('Données projet'!$B$10,Paramètres!$A$1:$I$89,5,0)</f>
        <v>0</v>
      </c>
      <c r="AK37" s="13" t="e">
        <f t="shared" si="35"/>
        <v>#NUM!</v>
      </c>
      <c r="AL37" s="20" t="e">
        <f t="shared" si="4"/>
        <v>#NUM!</v>
      </c>
      <c r="AM37" s="59" t="e">
        <f t="shared" si="5"/>
        <v>#NUM!</v>
      </c>
      <c r="AN37" s="59">
        <f ca="1">AVERAGE(OFFSET($AM$3,0,0,'Données projet'!$E$10+1,1))-AVERAGE(OFFSET($H$3,0,0,'Données projet'!$E$10+1,1))</f>
        <v>101.15586831191774</v>
      </c>
      <c r="AO37" s="59">
        <f t="shared" si="36"/>
        <v>346.96347336689064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37.646617256247886</v>
      </c>
      <c r="AV37" s="21">
        <f>EXP(-LN(2)/25)*AV36+(1-EXP(-LN(2)/25))/(LN(2)/25)*Calculateur!AQ37*Calculateur!AS37*VLOOKUP('Données projet'!$B$10,Paramètres!$A$1:$I$89,3,0)*0.475*44/12</f>
        <v>14.760074597232864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52.406691853480751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10.8</v>
      </c>
      <c r="BD37" s="12">
        <f>IF('Données projet'!$A$88&gt;35,BD36+BC37-BL36,IF(A37&lt;'Données projet'!$A$88,$BA$205^A37,IF(A37='Données projet'!$A$88,'Données projet'!$B$88,BD36+BC37-BL36)))</f>
        <v>136.20000000000002</v>
      </c>
      <c r="BE37" s="13">
        <f>BD37*VLOOKUP('Données projet'!$B$11,Paramètres!$A$1:$I$89,3,0)*VLOOKUP('Données projet'!$B$11,Paramètres!$A$1:$I$89,5,0)</f>
        <v>123.23376000000002</v>
      </c>
      <c r="BF37" s="13">
        <f t="shared" si="37"/>
        <v>32.428049504876491</v>
      </c>
      <c r="BG37" s="20">
        <f t="shared" si="7"/>
        <v>271.11098488765992</v>
      </c>
      <c r="BH37" s="59">
        <f t="shared" si="8"/>
        <v>564.44431822099318</v>
      </c>
      <c r="BI37" s="59">
        <f ca="1">AVERAGE(OFFSET($BH$3,0,0,'Données projet'!$E$11+1,1))-AVERAGE(OFFSET($H$3,0,0,'Données projet'!$E$11+1,1))</f>
        <v>352.62747127358324</v>
      </c>
      <c r="BJ37" s="59">
        <f t="shared" si="38"/>
        <v>283.16932763435011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0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0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10.8</v>
      </c>
      <c r="BY37" s="12">
        <f>IF('Données projet'!$A$114&gt;35,BY36+BX37-CG36,IF(A37&lt;'Données projet'!$A$114,$BV$205^A37,IF(A37='Données projet'!$A$114,'Données projet'!$B$114,BY36+BX37-CG36)))</f>
        <v>136.20000000000002</v>
      </c>
      <c r="BZ37" s="13">
        <f>BY37*VLOOKUP('Données projet'!$B$12,Paramètres!$A$1:$I$89,3,0)*VLOOKUP('Données projet'!$B$12,Paramètres!$A$1:$I$89,5,0)</f>
        <v>142.35624000000004</v>
      </c>
      <c r="CA37" s="13">
        <f t="shared" si="39"/>
        <v>36.836261545708453</v>
      </c>
      <c r="CB37" s="20">
        <f t="shared" si="10"/>
        <v>312.09360685877562</v>
      </c>
      <c r="CC37" s="59">
        <f t="shared" si="11"/>
        <v>605.42694019210899</v>
      </c>
      <c r="CD37" s="59">
        <f ca="1">AVERAGE(OFFSET($CC$3,0,0,'Données projet'!$E$12+1,1))-AVERAGE(OFFSET($H$3,0,0,'Données projet'!$E$12+1,1))</f>
        <v>423.49657671419374</v>
      </c>
      <c r="CE37" s="59">
        <f t="shared" si="40"/>
        <v>329.6783569381081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0</v>
      </c>
      <c r="CL37" s="21">
        <f>EXP(-LN(2)/25)*CL36+(1-EXP(-LN(2)/25))/(LN(2)/25)*Calculateur!CG37*Calculateur!CI37*VLOOKUP('Données projet'!$B$12,Paramètres!$A$1:$I$89,3,0)*0.475*44/12</f>
        <v>0</v>
      </c>
      <c r="CM37" s="21">
        <f>EXP(-LN(2)/2)*CM36+(1-EXP(-LN(2)/2))/(LN(2)/2)*CG37*CJ37*VLOOKUP('Données projet'!$B$12,Paramètres!$A$1:$I$89,3,0)*0.475*44/12</f>
        <v>0</v>
      </c>
      <c r="CN37" s="22">
        <f t="shared" si="12"/>
        <v>0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10.8</v>
      </c>
      <c r="CT37" s="12">
        <f>IF('Données projet'!$A$140&gt;35,CT36+CS37-DB36,IF(A37&lt;'Données projet'!$A$140,$CQ$205^A37,IF(A37='Données projet'!$A$140,'Données projet'!$B$140,CT36+CS37-DB36)))</f>
        <v>136.20000000000002</v>
      </c>
      <c r="CU37" s="17">
        <f>CT37*VLOOKUP('Données projet'!$B$13,Paramètres!$A$1:$I$89,3,0)*VLOOKUP('Données projet'!$B$13,Paramètres!$A$1:$I$89,5,0)</f>
        <v>138.10680000000002</v>
      </c>
      <c r="CV37" s="13">
        <f t="shared" si="41"/>
        <v>35.862956890686135</v>
      </c>
      <c r="CW37" s="20">
        <f t="shared" si="13"/>
        <v>302.9973265846117</v>
      </c>
      <c r="CX37" s="59">
        <f t="shared" si="14"/>
        <v>596.33065991794501</v>
      </c>
      <c r="CY37" s="59">
        <f ca="1">AVERAGE(OFFSET($CX$3,0,0,'Données projet'!$E$13+1,1))-AVERAGE(OFFSET($H$3,0,0,'Données projet'!$E$13+1,1))</f>
        <v>407.76560346703042</v>
      </c>
      <c r="CZ37" s="59">
        <f t="shared" si="42"/>
        <v>319.35531375725202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0</v>
      </c>
      <c r="DG37" s="21">
        <f>EXP(-LN(2)/25)*DG36+(1-EXP(-LN(2)/25))/(LN(2)/25)*Calculateur!DB37*Calculateur!DD37*VLOOKUP('Données projet'!$B$13,Paramètres!$A$1:$I$89,3,0)*0.475*44/12</f>
        <v>0</v>
      </c>
      <c r="DH37" s="21">
        <f>EXP(-LN(2)/2)*DH36+(1-EXP(-LN(2)/2))/(LN(2)/2)*DB37*DE37*VLOOKUP('Données projet'!$B$13,Paramètres!$A$1:$I$89,3,0)*0.475*44/12</f>
        <v>0</v>
      </c>
      <c r="DI37" s="22">
        <f t="shared" si="15"/>
        <v>0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2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31.121999999999986</v>
      </c>
      <c r="D38" s="11">
        <f t="shared" si="32"/>
        <v>9.612282066778798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314.44007209443271</v>
      </c>
      <c r="H38" s="67">
        <f t="shared" si="1"/>
        <v>327.61220793297304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0</v>
      </c>
      <c r="N38" s="13">
        <f>IF('Données projet'!$A$36&gt;35,N37+M38-V37,IF(A38&lt;'Données projet'!$A$36,$K$205^A38,IF(A38='Données projet'!$A$36,'Données projet'!$B$36,N37+M38-V37)))</f>
        <v>0</v>
      </c>
      <c r="O38" s="13">
        <f>N38*VLOOKUP('Données projet'!$B$9,Paramètres!$A$1:$I$89,3,0)*VLOOKUP('Données projet'!$B$9,Paramètres!$A$1:$I$89,5,0)</f>
        <v>0</v>
      </c>
      <c r="P38" s="13" t="e">
        <f t="shared" si="33"/>
        <v>#NUM!</v>
      </c>
      <c r="Q38" s="20" t="e">
        <f t="shared" si="53"/>
        <v>#NUM!</v>
      </c>
      <c r="R38" s="59" t="e">
        <f t="shared" si="0"/>
        <v>#NUM!</v>
      </c>
      <c r="S38" s="59">
        <f ca="1">AVERAGE(OFFSET($R$3,0,0,'Données projet'!$E$9+1,1))-AVERAGE(OFFSET($H$3,0,0,'Données projet'!$E$9+1,1))</f>
        <v>101.15586831191774</v>
      </c>
      <c r="T38" s="59">
        <f t="shared" si="34"/>
        <v>346.96347336689064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36.908390054022064</v>
      </c>
      <c r="AA38" s="21">
        <f>EXP(-LN(2)/25)*AA37+(1-EXP(-LN(2)/25))/(LN(2)/25)*Calculateur!V38*Calculateur!X38*VLOOKUP('Données projet'!$B$9,Paramètres!$A$1:$I$89,3,0)*0.475*44/12</f>
        <v>14.356459581172942</v>
      </c>
      <c r="AB38" s="21">
        <f>EXP(-LN(2)/2)*AB37+(1-EXP(-LN(2)/2))/(LN(2)/2)*V38*Y38*VLOOKUP('Données projet'!$B$9,Paramètres!$A$1:$I$89,3,0)*0.475*44/12</f>
        <v>0</v>
      </c>
      <c r="AC38" s="22">
        <f t="shared" si="3"/>
        <v>51.264849635195006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0</v>
      </c>
      <c r="AI38" s="13">
        <f>IF('Données projet'!$A$62&gt;35,AI37+AH38-AQ37,IF(A38&lt;'Données projet'!$A$62,$AF$205^A38,IF(A38='Données projet'!$A$62,'Données projet'!$B$62,AI37+AH38-AQ37)))</f>
        <v>0</v>
      </c>
      <c r="AJ38" s="13">
        <f>AI38*VLOOKUP('Données projet'!$B$10,Paramètres!$A$1:$I$89,3,0)*VLOOKUP('Données projet'!$B$10,Paramètres!$A$1:$I$89,5,0)</f>
        <v>0</v>
      </c>
      <c r="AK38" s="13" t="e">
        <f t="shared" si="35"/>
        <v>#NUM!</v>
      </c>
      <c r="AL38" s="20" t="e">
        <f t="shared" si="4"/>
        <v>#NUM!</v>
      </c>
      <c r="AM38" s="59" t="e">
        <f t="shared" si="5"/>
        <v>#NUM!</v>
      </c>
      <c r="AN38" s="59">
        <f ca="1">AVERAGE(OFFSET($AM$3,0,0,'Données projet'!$E$10+1,1))-AVERAGE(OFFSET($H$3,0,0,'Données projet'!$E$10+1,1))</f>
        <v>101.15586831191774</v>
      </c>
      <c r="AO38" s="59">
        <f t="shared" si="36"/>
        <v>346.96347336689064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36.908390054022064</v>
      </c>
      <c r="AV38" s="21">
        <f>EXP(-LN(2)/25)*AV37+(1-EXP(-LN(2)/25))/(LN(2)/25)*Calculateur!AQ38*Calculateur!AS38*VLOOKUP('Données projet'!$B$10,Paramètres!$A$1:$I$89,3,0)*0.475*44/12</f>
        <v>14.356459581172942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51.264849635195006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>
        <f>VLOOKUP(A38,'Données projet'!$A$87:$I$107,2,0)</f>
        <v>147</v>
      </c>
      <c r="BB38" s="12">
        <f>VLOOKUP(A38,'Données projet'!$A$87:$I$107,9,0)</f>
        <v>10.8</v>
      </c>
      <c r="BC38" s="12">
        <f t="array" ref="BC38">INDEX(BB:BB,MIN(IF(ISNUMBER(BB38:BB234),ROW(BB38:BB234),"")))</f>
        <v>10.8</v>
      </c>
      <c r="BD38" s="12">
        <f>IF('Données projet'!$A$88&gt;35,BD37+BC38-BL37,IF(A38&lt;'Données projet'!$A$88,$BA$205^A38,IF(A38='Données projet'!$A$88,'Données projet'!$B$88,BD37+BC38-BL37)))</f>
        <v>147.00000000000003</v>
      </c>
      <c r="BE38" s="13">
        <f>BD38*VLOOKUP('Données projet'!$B$11,Paramètres!$A$1:$I$89,3,0)*VLOOKUP('Données projet'!$B$11,Paramètres!$A$1:$I$89,5,0)</f>
        <v>133.00560000000002</v>
      </c>
      <c r="BF38" s="13">
        <f t="shared" si="37"/>
        <v>34.689938673073549</v>
      </c>
      <c r="BG38" s="20">
        <f t="shared" si="7"/>
        <v>292.06972985560316</v>
      </c>
      <c r="BH38" s="59">
        <f t="shared" si="8"/>
        <v>585.40306318893647</v>
      </c>
      <c r="BI38" s="59">
        <f ca="1">AVERAGE(OFFSET($BH$3,0,0,'Données projet'!$E$11+1,1))-AVERAGE(OFFSET($H$3,0,0,'Données projet'!$E$11+1,1))</f>
        <v>352.62747127358324</v>
      </c>
      <c r="BJ38" s="59">
        <f t="shared" si="38"/>
        <v>283.16932763435011</v>
      </c>
      <c r="BK38" s="15">
        <f>IF(ISNA(VLOOKUP(A38,'Données projet'!$A$87:$I$107,3,0)),0,VLOOKUP(A38,'Données projet'!$A$87:$I$107,3,0))</f>
        <v>4</v>
      </c>
      <c r="BL38" s="15">
        <f>IF(ISNA(VLOOKUP(A38,'Données projet'!$A$87:$I$107,4,0)),0,VLOOKUP(A38,'Données projet'!$A$87:$I$107,4,0))</f>
        <v>28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0</v>
      </c>
      <c r="BQ38" s="21">
        <f>EXP(-LN(2)/25)*BQ37+(1-EXP(-LN(2)/25))/(LN(2)/25)*Calculateur!BL38*Calculateur!BN38*VLOOKUP('Données projet'!$B$11,Paramètres!$A$1:$I$89,3,0)*0.475*44/12</f>
        <v>0</v>
      </c>
      <c r="BR38" s="21">
        <f>EXP(-LN(2)/2)*BR37+(1-EXP(-LN(2)/2))/(LN(2)/2)*BL38*BO38*VLOOKUP('Données projet'!$B$11,Paramètres!$A$1:$I$89,3,0)*0.475*44/12</f>
        <v>0</v>
      </c>
      <c r="BS38" s="22">
        <f t="shared" si="9"/>
        <v>0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>
        <f>VLOOKUP(A38,'Données projet'!$A$113:$I$133,2,0)</f>
        <v>147</v>
      </c>
      <c r="BW38" s="12">
        <f>VLOOKUP(A38,'Données projet'!$A$113:$I$133,9,0)</f>
        <v>10.8</v>
      </c>
      <c r="BX38" s="12">
        <f t="array" ref="BX38">INDEX(BW:BW,MIN(IF(ISNUMBER(BW38:BW234),ROW(BW38:BW234),"")))</f>
        <v>10.8</v>
      </c>
      <c r="BY38" s="12">
        <f>IF('Données projet'!$A$114&gt;35,BY37+BX38-CG37,IF(A38&lt;'Données projet'!$A$114,$BV$205^A38,IF(A38='Données projet'!$A$114,'Données projet'!$B$114,BY37+BX38-CG37)))</f>
        <v>147.00000000000003</v>
      </c>
      <c r="BZ38" s="13">
        <f>BY38*VLOOKUP('Données projet'!$B$12,Paramètres!$A$1:$I$89,3,0)*VLOOKUP('Données projet'!$B$12,Paramètres!$A$1:$I$89,5,0)</f>
        <v>153.64440000000005</v>
      </c>
      <c r="CA38" s="13">
        <f t="shared" si="39"/>
        <v>39.405627951004689</v>
      </c>
      <c r="CB38" s="20">
        <f t="shared" si="10"/>
        <v>336.22879868133322</v>
      </c>
      <c r="CC38" s="59">
        <f t="shared" si="11"/>
        <v>629.56213201466653</v>
      </c>
      <c r="CD38" s="59">
        <f ca="1">AVERAGE(OFFSET($CC$3,0,0,'Données projet'!$E$12+1,1))-AVERAGE(OFFSET($H$3,0,0,'Données projet'!$E$12+1,1))</f>
        <v>423.49657671419374</v>
      </c>
      <c r="CE38" s="59">
        <f t="shared" si="40"/>
        <v>329.6783569381081</v>
      </c>
      <c r="CF38" s="15">
        <f>IF(ISNA(VLOOKUP(A38,'Données projet'!$A$113:$I$133,3,0)),0,VLOOKUP(A38,'Données projet'!$A$113:$I$133,3,0))</f>
        <v>4</v>
      </c>
      <c r="CG38" s="15">
        <f>IF(ISNA(VLOOKUP(A38,'Données projet'!$A$113:$I$133,4,0)),0,VLOOKUP(A38,'Données projet'!$A$113:$I$133,4,0))</f>
        <v>28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0</v>
      </c>
      <c r="CL38" s="21">
        <f>EXP(-LN(2)/25)*CL37+(1-EXP(-LN(2)/25))/(LN(2)/25)*Calculateur!CG38*Calculateur!CI38*VLOOKUP('Données projet'!$B$12,Paramètres!$A$1:$I$89,3,0)*0.475*44/12</f>
        <v>0</v>
      </c>
      <c r="CM38" s="21">
        <f>EXP(-LN(2)/2)*CM37+(1-EXP(-LN(2)/2))/(LN(2)/2)*CG38*CJ38*VLOOKUP('Données projet'!$B$12,Paramètres!$A$1:$I$89,3,0)*0.475*44/12</f>
        <v>0</v>
      </c>
      <c r="CN38" s="22">
        <f t="shared" si="12"/>
        <v>0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>
        <f>VLOOKUP(A38,'Données projet'!$A$139:$I$159,2,0)</f>
        <v>147</v>
      </c>
      <c r="CR38" s="12">
        <f>VLOOKUP(A38,'Données projet'!$A$139:$I$159,9,0)</f>
        <v>10.8</v>
      </c>
      <c r="CS38" s="12">
        <f t="array" ref="CS38">INDEX(CR:CR,MIN(IF(ISNUMBER(CR38:CR234),ROW(CR38:CR234),"")))</f>
        <v>10.8</v>
      </c>
      <c r="CT38" s="12">
        <f>IF('Données projet'!$A$140&gt;35,CT37+CS38-DB37,IF(A38&lt;'Données projet'!$A$140,$CQ$205^A38,IF(A38='Données projet'!$A$140,'Données projet'!$B$140,CT37+CS38-DB37)))</f>
        <v>147.00000000000003</v>
      </c>
      <c r="CU38" s="17">
        <f>CT38*VLOOKUP('Données projet'!$B$13,Paramètres!$A$1:$I$89,3,0)*VLOOKUP('Données projet'!$B$13,Paramètres!$A$1:$I$89,5,0)</f>
        <v>149.05800000000005</v>
      </c>
      <c r="CV38" s="13">
        <f t="shared" si="41"/>
        <v>38.364434314370335</v>
      </c>
      <c r="CW38" s="20">
        <f t="shared" si="13"/>
        <v>326.42740643086177</v>
      </c>
      <c r="CX38" s="59">
        <f t="shared" si="14"/>
        <v>619.76073976419502</v>
      </c>
      <c r="CY38" s="59">
        <f ca="1">AVERAGE(OFFSET($CX$3,0,0,'Données projet'!$E$13+1,1))-AVERAGE(OFFSET($H$3,0,0,'Données projet'!$E$13+1,1))</f>
        <v>407.76560346703042</v>
      </c>
      <c r="CZ38" s="59">
        <f t="shared" si="42"/>
        <v>319.35531375725202</v>
      </c>
      <c r="DA38" s="15">
        <f>IF(ISNA(VLOOKUP(A38,'Données projet'!$A$139:$I$159,3,0)),0,VLOOKUP(A38,'Données projet'!$A$139:$I$159,3,0))</f>
        <v>4</v>
      </c>
      <c r="DB38" s="15">
        <f>IF(ISNA(VLOOKUP(A38,'Données projet'!$A$139:$I$159,4,0)),0,VLOOKUP(A38,'Données projet'!$A$139:$I$159,4,0))</f>
        <v>28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>
        <f>EXP(-LN(2)/35)*DF37+(1-EXP(-LN(2)/35))/(LN(2)/35)*DB38*DC38*VLOOKUP('Données projet'!$B$13,Paramètres!$A$1:$I$89,3,0)*0.475*44/12</f>
        <v>0</v>
      </c>
      <c r="DG38" s="21">
        <f>EXP(-LN(2)/25)*DG37+(1-EXP(-LN(2)/25))/(LN(2)/25)*Calculateur!DB38*Calculateur!DD38*VLOOKUP('Données projet'!$B$13,Paramètres!$A$1:$I$89,3,0)*0.475*44/12</f>
        <v>0</v>
      </c>
      <c r="DH38" s="21">
        <f>EXP(-LN(2)/2)*DH37+(1-EXP(-LN(2)/2))/(LN(2)/2)*DB38*DE38*VLOOKUP('Données projet'!$B$13,Paramètres!$A$1:$I$89,3,0)*0.475*44/12</f>
        <v>0</v>
      </c>
      <c r="DI38" s="22">
        <f t="shared" si="15"/>
        <v>0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2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32.011199999999988</v>
      </c>
      <c r="D39" s="11">
        <f t="shared" si="32"/>
        <v>9.8545516964045738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323.17422362136853</v>
      </c>
      <c r="H39" s="67">
        <f t="shared" si="1"/>
        <v>329.58285087123795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0</v>
      </c>
      <c r="N39" s="13">
        <f>IF('Données projet'!$A$36&gt;35,N38+M39-V38,IF(A39&lt;'Données projet'!$A$36,$K$205^A39,IF(A39='Données projet'!$A$36,'Données projet'!$B$36,N38+M39-V38)))</f>
        <v>0</v>
      </c>
      <c r="O39" s="13">
        <f>N39*VLOOKUP('Données projet'!$B$9,Paramètres!$A$1:$I$89,3,0)*VLOOKUP('Données projet'!$B$9,Paramètres!$A$1:$I$89,5,0)</f>
        <v>0</v>
      </c>
      <c r="P39" s="13" t="e">
        <f t="shared" si="33"/>
        <v>#NUM!</v>
      </c>
      <c r="Q39" s="20" t="e">
        <f t="shared" si="53"/>
        <v>#NUM!</v>
      </c>
      <c r="R39" s="59" t="e">
        <f t="shared" si="0"/>
        <v>#NUM!</v>
      </c>
      <c r="S39" s="59">
        <f ca="1">AVERAGE(OFFSET($R$3,0,0,'Données projet'!$E$9+1,1))-AVERAGE(OFFSET($H$3,0,0,'Données projet'!$E$9+1,1))</f>
        <v>101.15586831191774</v>
      </c>
      <c r="T39" s="59">
        <f t="shared" si="34"/>
        <v>346.96347336689064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36.184639036957762</v>
      </c>
      <c r="AA39" s="21">
        <f>EXP(-LN(2)/25)*AA38+(1-EXP(-LN(2)/25))/(LN(2)/25)*Calculateur!V39*Calculateur!X39*VLOOKUP('Données projet'!$B$9,Paramètres!$A$1:$I$89,3,0)*0.475*44/12</f>
        <v>13.96388143895237</v>
      </c>
      <c r="AB39" s="21">
        <f>EXP(-LN(2)/2)*AB38+(1-EXP(-LN(2)/2))/(LN(2)/2)*V39*Y39*VLOOKUP('Données projet'!$B$9,Paramètres!$A$1:$I$89,3,0)*0.475*44/12</f>
        <v>0</v>
      </c>
      <c r="AC39" s="22">
        <f t="shared" si="3"/>
        <v>50.148520475910132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0</v>
      </c>
      <c r="AI39" s="13">
        <f>IF('Données projet'!$A$62&gt;35,AI38+AH39-AQ38,IF(A39&lt;'Données projet'!$A$62,$AF$205^A39,IF(A39='Données projet'!$A$62,'Données projet'!$B$62,AI38+AH39-AQ38)))</f>
        <v>0</v>
      </c>
      <c r="AJ39" s="13">
        <f>AI39*VLOOKUP('Données projet'!$B$10,Paramètres!$A$1:$I$89,3,0)*VLOOKUP('Données projet'!$B$10,Paramètres!$A$1:$I$89,5,0)</f>
        <v>0</v>
      </c>
      <c r="AK39" s="13" t="e">
        <f t="shared" si="35"/>
        <v>#NUM!</v>
      </c>
      <c r="AL39" s="20" t="e">
        <f t="shared" si="4"/>
        <v>#NUM!</v>
      </c>
      <c r="AM39" s="59" t="e">
        <f t="shared" si="5"/>
        <v>#NUM!</v>
      </c>
      <c r="AN39" s="59">
        <f ca="1">AVERAGE(OFFSET($AM$3,0,0,'Données projet'!$E$10+1,1))-AVERAGE(OFFSET($H$3,0,0,'Données projet'!$E$10+1,1))</f>
        <v>101.15586831191774</v>
      </c>
      <c r="AO39" s="59">
        <f t="shared" si="36"/>
        <v>346.96347336689064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36.184639036957762</v>
      </c>
      <c r="AV39" s="21">
        <f>EXP(-LN(2)/25)*AV38+(1-EXP(-LN(2)/25))/(LN(2)/25)*Calculateur!AQ39*Calculateur!AS39*VLOOKUP('Données projet'!$B$10,Paramètres!$A$1:$I$89,3,0)*0.475*44/12</f>
        <v>13.96388143895237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50.148520475910132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11.2</v>
      </c>
      <c r="BD39" s="12">
        <f>IF('Données projet'!$A$88&gt;35,BD38+BC39-BL38,IF(A39&lt;'Données projet'!$A$88,$BA$205^A39,IF(A39='Données projet'!$A$88,'Données projet'!$B$88,BD38+BC39-BL38)))</f>
        <v>130.20000000000002</v>
      </c>
      <c r="BE39" s="13">
        <f>BD39*VLOOKUP('Données projet'!$B$11,Paramètres!$A$1:$I$89,3,0)*VLOOKUP('Données projet'!$B$11,Paramètres!$A$1:$I$89,5,0)</f>
        <v>117.80496000000001</v>
      </c>
      <c r="BF39" s="13">
        <f t="shared" si="37"/>
        <v>31.162493487829593</v>
      </c>
      <c r="BG39" s="20">
        <f t="shared" si="7"/>
        <v>259.45164815796988</v>
      </c>
      <c r="BH39" s="59">
        <f t="shared" si="8"/>
        <v>552.78498149130314</v>
      </c>
      <c r="BI39" s="59">
        <f ca="1">AVERAGE(OFFSET($BH$3,0,0,'Données projet'!$E$11+1,1))-AVERAGE(OFFSET($H$3,0,0,'Données projet'!$E$11+1,1))</f>
        <v>352.62747127358324</v>
      </c>
      <c r="BJ39" s="59">
        <f t="shared" si="38"/>
        <v>283.16932763435011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0</v>
      </c>
      <c r="BQ39" s="21">
        <f>EXP(-LN(2)/25)*BQ38+(1-EXP(-LN(2)/25))/(LN(2)/25)*Calculateur!BL39*Calculateur!BN39*VLOOKUP('Données projet'!$B$11,Paramètres!$A$1:$I$89,3,0)*0.475*44/12</f>
        <v>0</v>
      </c>
      <c r="BR39" s="21">
        <f>EXP(-LN(2)/2)*BR38+(1-EXP(-LN(2)/2))/(LN(2)/2)*BL39*BO39*VLOOKUP('Données projet'!$B$11,Paramètres!$A$1:$I$89,3,0)*0.475*44/12</f>
        <v>0</v>
      </c>
      <c r="BS39" s="22">
        <f t="shared" si="9"/>
        <v>0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11.2</v>
      </c>
      <c r="BY39" s="12">
        <f>IF('Données projet'!$A$114&gt;35,BY38+BX39-CG38,IF(A39&lt;'Données projet'!$A$114,$BV$205^A39,IF(A39='Données projet'!$A$114,'Données projet'!$B$114,BY38+BX39-CG38)))</f>
        <v>130.20000000000002</v>
      </c>
      <c r="BZ39" s="13">
        <f>BY39*VLOOKUP('Données projet'!$B$12,Paramètres!$A$1:$I$89,3,0)*VLOOKUP('Données projet'!$B$12,Paramètres!$A$1:$I$89,5,0)</f>
        <v>136.08504000000005</v>
      </c>
      <c r="CA39" s="13">
        <f t="shared" si="39"/>
        <v>35.398668068565364</v>
      </c>
      <c r="CB39" s="20">
        <f t="shared" si="10"/>
        <v>298.66745821941805</v>
      </c>
      <c r="CC39" s="59">
        <f t="shared" si="11"/>
        <v>592.00079155275137</v>
      </c>
      <c r="CD39" s="59">
        <f ca="1">AVERAGE(OFFSET($CC$3,0,0,'Données projet'!$E$12+1,1))-AVERAGE(OFFSET($H$3,0,0,'Données projet'!$E$12+1,1))</f>
        <v>423.49657671419374</v>
      </c>
      <c r="CE39" s="59">
        <f t="shared" si="40"/>
        <v>329.6783569381081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0</v>
      </c>
      <c r="CL39" s="21">
        <f>EXP(-LN(2)/25)*CL38+(1-EXP(-LN(2)/25))/(LN(2)/25)*Calculateur!CG39*Calculateur!CI39*VLOOKUP('Données projet'!$B$12,Paramètres!$A$1:$I$89,3,0)*0.475*44/12</f>
        <v>0</v>
      </c>
      <c r="CM39" s="21">
        <f>EXP(-LN(2)/2)*CM38+(1-EXP(-LN(2)/2))/(LN(2)/2)*CG39*CJ39*VLOOKUP('Données projet'!$B$12,Paramètres!$A$1:$I$89,3,0)*0.475*44/12</f>
        <v>0</v>
      </c>
      <c r="CN39" s="22">
        <f t="shared" si="12"/>
        <v>0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11.2</v>
      </c>
      <c r="CT39" s="12">
        <f>IF('Données projet'!$A$140&gt;35,CT38+CS39-DB38,IF(A39&lt;'Données projet'!$A$140,$CQ$205^A39,IF(A39='Données projet'!$A$140,'Données projet'!$B$140,CT38+CS39-DB38)))</f>
        <v>130.20000000000002</v>
      </c>
      <c r="CU39" s="17">
        <f>CT39*VLOOKUP('Données projet'!$B$13,Paramètres!$A$1:$I$89,3,0)*VLOOKUP('Données projet'!$B$13,Paramètres!$A$1:$I$89,5,0)</f>
        <v>132.02280000000002</v>
      </c>
      <c r="CV39" s="13">
        <f t="shared" si="41"/>
        <v>34.463348169992798</v>
      </c>
      <c r="CW39" s="20">
        <f t="shared" si="13"/>
        <v>289.96337472940417</v>
      </c>
      <c r="CX39" s="59">
        <f t="shared" si="14"/>
        <v>583.29670806273748</v>
      </c>
      <c r="CY39" s="59">
        <f ca="1">AVERAGE(OFFSET($CX$3,0,0,'Données projet'!$E$13+1,1))-AVERAGE(OFFSET($H$3,0,0,'Données projet'!$E$13+1,1))</f>
        <v>407.76560346703042</v>
      </c>
      <c r="CZ39" s="59">
        <f t="shared" si="42"/>
        <v>319.35531375725202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projet'!$B$13,Paramètres!$A$1:$I$89,3,0)*0.475*44/12</f>
        <v>0</v>
      </c>
      <c r="DG39" s="21">
        <f>EXP(-LN(2)/25)*DG38+(1-EXP(-LN(2)/25))/(LN(2)/25)*Calculateur!DB39*Calculateur!DD39*VLOOKUP('Données projet'!$B$13,Paramètres!$A$1:$I$89,3,0)*0.475*44/12</f>
        <v>0</v>
      </c>
      <c r="DH39" s="21">
        <f>EXP(-LN(2)/2)*DH38+(1-EXP(-LN(2)/2))/(LN(2)/2)*DB39*DE39*VLOOKUP('Données projet'!$B$13,Paramètres!$A$1:$I$89,3,0)*0.475*44/12</f>
        <v>0</v>
      </c>
      <c r="DI39" s="22">
        <f t="shared" si="15"/>
        <v>0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2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32.900399999999991</v>
      </c>
      <c r="D40" s="11">
        <f t="shared" si="32"/>
        <v>10.096039146303498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331.90233726971115</v>
      </c>
      <c r="H40" s="67">
        <f t="shared" si="1"/>
        <v>331.55213151314524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0</v>
      </c>
      <c r="N40" s="13">
        <f>IF('Données projet'!$A$36&gt;35,N39+M40-V39,IF(A40&lt;'Données projet'!$A$36,$K$205^A40,IF(A40='Données projet'!$A$36,'Données projet'!$B$36,N39+M40-V39)))</f>
        <v>0</v>
      </c>
      <c r="O40" s="13">
        <f>N40*VLOOKUP('Données projet'!$B$9,Paramètres!$A$1:$I$89,3,0)*VLOOKUP('Données projet'!$B$9,Paramètres!$A$1:$I$89,5,0)</f>
        <v>0</v>
      </c>
      <c r="P40" s="13" t="e">
        <f t="shared" si="33"/>
        <v>#NUM!</v>
      </c>
      <c r="Q40" s="20" t="e">
        <f t="shared" si="53"/>
        <v>#NUM!</v>
      </c>
      <c r="R40" s="59" t="e">
        <f t="shared" si="0"/>
        <v>#NUM!</v>
      </c>
      <c r="S40" s="59">
        <f ca="1">AVERAGE(OFFSET($R$3,0,0,'Données projet'!$E$9+1,1))-AVERAGE(OFFSET($H$3,0,0,'Données projet'!$E$9+1,1))</f>
        <v>101.15586831191774</v>
      </c>
      <c r="T40" s="59">
        <f t="shared" si="34"/>
        <v>346.96347336689064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35.475080335893558</v>
      </c>
      <c r="AA40" s="21">
        <f>EXP(-LN(2)/25)*AA39+(1-EXP(-LN(2)/25))/(LN(2)/25)*Calculateur!V40*Calculateur!X40*VLOOKUP('Données projet'!$B$9,Paramètres!$A$1:$I$89,3,0)*0.475*44/12</f>
        <v>13.582038366675608</v>
      </c>
      <c r="AB40" s="21">
        <f>EXP(-LN(2)/2)*AB39+(1-EXP(-LN(2)/2))/(LN(2)/2)*V40*Y40*VLOOKUP('Données projet'!$B$9,Paramètres!$A$1:$I$89,3,0)*0.475*44/12</f>
        <v>0</v>
      </c>
      <c r="AC40" s="22">
        <f t="shared" si="3"/>
        <v>49.05711870256917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0</v>
      </c>
      <c r="AI40" s="13">
        <f>IF('Données projet'!$A$62&gt;35,AI39+AH40-AQ39,IF(A40&lt;'Données projet'!$A$62,$AF$205^A40,IF(A40='Données projet'!$A$62,'Données projet'!$B$62,AI39+AH40-AQ39)))</f>
        <v>0</v>
      </c>
      <c r="AJ40" s="13">
        <f>AI40*VLOOKUP('Données projet'!$B$10,Paramètres!$A$1:$I$89,3,0)*VLOOKUP('Données projet'!$B$10,Paramètres!$A$1:$I$89,5,0)</f>
        <v>0</v>
      </c>
      <c r="AK40" s="13" t="e">
        <f t="shared" si="35"/>
        <v>#NUM!</v>
      </c>
      <c r="AL40" s="20" t="e">
        <f t="shared" si="4"/>
        <v>#NUM!</v>
      </c>
      <c r="AM40" s="59" t="e">
        <f t="shared" si="5"/>
        <v>#NUM!</v>
      </c>
      <c r="AN40" s="59">
        <f ca="1">AVERAGE(OFFSET($AM$3,0,0,'Données projet'!$E$10+1,1))-AVERAGE(OFFSET($H$3,0,0,'Données projet'!$E$10+1,1))</f>
        <v>101.15586831191774</v>
      </c>
      <c r="AO40" s="59">
        <f t="shared" si="36"/>
        <v>346.96347336689064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35.475080335893558</v>
      </c>
      <c r="AV40" s="21">
        <f>EXP(-LN(2)/25)*AV39+(1-EXP(-LN(2)/25))/(LN(2)/25)*Calculateur!AQ40*Calculateur!AS40*VLOOKUP('Données projet'!$B$10,Paramètres!$A$1:$I$89,3,0)*0.475*44/12</f>
        <v>13.582038366675608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49.05711870256917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11.2</v>
      </c>
      <c r="BD40" s="12">
        <f>IF('Données projet'!$A$88&gt;35,BD39+BC40-BL39,IF(A40&lt;'Données projet'!$A$88,$BA$205^A40,IF(A40='Données projet'!$A$88,'Données projet'!$B$88,BD39+BC40-BL39)))</f>
        <v>141.4</v>
      </c>
      <c r="BE40" s="13">
        <f>BD40*VLOOKUP('Données projet'!$B$11,Paramètres!$A$1:$I$89,3,0)*VLOOKUP('Données projet'!$B$11,Paramètres!$A$1:$I$89,5,0)</f>
        <v>127.93872</v>
      </c>
      <c r="BF40" s="13">
        <f t="shared" si="37"/>
        <v>33.519615889545641</v>
      </c>
      <c r="BG40" s="20">
        <f t="shared" si="7"/>
        <v>281.20660167429202</v>
      </c>
      <c r="BH40" s="59">
        <f t="shared" si="8"/>
        <v>574.53993500762533</v>
      </c>
      <c r="BI40" s="59">
        <f ca="1">AVERAGE(OFFSET($BH$3,0,0,'Données projet'!$E$11+1,1))-AVERAGE(OFFSET($H$3,0,0,'Données projet'!$E$11+1,1))</f>
        <v>352.62747127358324</v>
      </c>
      <c r="BJ40" s="59">
        <f t="shared" si="38"/>
        <v>283.16932763435011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0</v>
      </c>
      <c r="BQ40" s="21">
        <f>EXP(-LN(2)/25)*BQ39+(1-EXP(-LN(2)/25))/(LN(2)/25)*Calculateur!BL40*Calculateur!BN40*VLOOKUP('Données projet'!$B$11,Paramètres!$A$1:$I$89,3,0)*0.475*44/12</f>
        <v>0</v>
      </c>
      <c r="BR40" s="21">
        <f>EXP(-LN(2)/2)*BR39+(1-EXP(-LN(2)/2))/(LN(2)/2)*BL40*BO40*VLOOKUP('Données projet'!$B$11,Paramètres!$A$1:$I$89,3,0)*0.475*44/12</f>
        <v>0</v>
      </c>
      <c r="BS40" s="22">
        <f t="shared" si="9"/>
        <v>0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11.2</v>
      </c>
      <c r="BY40" s="12">
        <f>IF('Données projet'!$A$114&gt;35,BY39+BX40-CG39,IF(A40&lt;'Données projet'!$A$114,$BV$205^A40,IF(A40='Données projet'!$A$114,'Données projet'!$B$114,BY39+BX40-CG39)))</f>
        <v>141.4</v>
      </c>
      <c r="BZ40" s="13">
        <f>BY40*VLOOKUP('Données projet'!$B$12,Paramètres!$A$1:$I$89,3,0)*VLOOKUP('Données projet'!$B$12,Paramètres!$A$1:$I$89,5,0)</f>
        <v>147.79128000000003</v>
      </c>
      <c r="CA40" s="13">
        <f t="shared" si="39"/>
        <v>38.076213545724045</v>
      </c>
      <c r="CB40" s="20">
        <f t="shared" si="10"/>
        <v>323.71921792546942</v>
      </c>
      <c r="CC40" s="59">
        <f t="shared" si="11"/>
        <v>617.05255125880274</v>
      </c>
      <c r="CD40" s="59">
        <f ca="1">AVERAGE(OFFSET($CC$3,0,0,'Données projet'!$E$12+1,1))-AVERAGE(OFFSET($H$3,0,0,'Données projet'!$E$12+1,1))</f>
        <v>423.49657671419374</v>
      </c>
      <c r="CE40" s="59">
        <f t="shared" si="40"/>
        <v>329.6783569381081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0</v>
      </c>
      <c r="CL40" s="21">
        <f>EXP(-LN(2)/25)*CL39+(1-EXP(-LN(2)/25))/(LN(2)/25)*Calculateur!CG40*Calculateur!CI40*VLOOKUP('Données projet'!$B$12,Paramètres!$A$1:$I$89,3,0)*0.475*44/12</f>
        <v>0</v>
      </c>
      <c r="CM40" s="21">
        <f>EXP(-LN(2)/2)*CM39+(1-EXP(-LN(2)/2))/(LN(2)/2)*CG40*CJ40*VLOOKUP('Données projet'!$B$12,Paramètres!$A$1:$I$89,3,0)*0.475*44/12</f>
        <v>0</v>
      </c>
      <c r="CN40" s="22">
        <f t="shared" si="12"/>
        <v>0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11.2</v>
      </c>
      <c r="CT40" s="12">
        <f>IF('Données projet'!$A$140&gt;35,CT39+CS40-DB39,IF(A40&lt;'Données projet'!$A$140,$CQ$205^A40,IF(A40='Données projet'!$A$140,'Données projet'!$B$140,CT39+CS40-DB39)))</f>
        <v>141.4</v>
      </c>
      <c r="CU40" s="17">
        <f>CT40*VLOOKUP('Données projet'!$B$13,Paramètres!$A$1:$I$89,3,0)*VLOOKUP('Données projet'!$B$13,Paramètres!$A$1:$I$89,5,0)</f>
        <v>143.37960000000001</v>
      </c>
      <c r="CV40" s="13">
        <f t="shared" si="41"/>
        <v>37.070146308317469</v>
      </c>
      <c r="CW40" s="20">
        <f t="shared" si="13"/>
        <v>314.28330815365297</v>
      </c>
      <c r="CX40" s="59">
        <f t="shared" si="14"/>
        <v>607.61664148698628</v>
      </c>
      <c r="CY40" s="59">
        <f ca="1">AVERAGE(OFFSET($CX$3,0,0,'Données projet'!$E$13+1,1))-AVERAGE(OFFSET($H$3,0,0,'Données projet'!$E$13+1,1))</f>
        <v>407.76560346703042</v>
      </c>
      <c r="CZ40" s="59">
        <f t="shared" si="42"/>
        <v>319.35531375725202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projet'!$B$13,Paramètres!$A$1:$I$89,3,0)*0.475*44/12</f>
        <v>0</v>
      </c>
      <c r="DG40" s="21">
        <f>EXP(-LN(2)/25)*DG39+(1-EXP(-LN(2)/25))/(LN(2)/25)*Calculateur!DB40*Calculateur!DD40*VLOOKUP('Données projet'!$B$13,Paramètres!$A$1:$I$89,3,0)*0.475*44/12</f>
        <v>0</v>
      </c>
      <c r="DH40" s="21">
        <f>EXP(-LN(2)/2)*DH39+(1-EXP(-LN(2)/2))/(LN(2)/2)*DB40*DE40*VLOOKUP('Données projet'!$B$13,Paramètres!$A$1:$I$89,3,0)*0.475*44/12</f>
        <v>0</v>
      </c>
      <c r="DI40" s="22">
        <f t="shared" si="15"/>
        <v>0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2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33.789599999999993</v>
      </c>
      <c r="D41" s="11">
        <f t="shared" si="32"/>
        <v>10.336767985889495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340.62459497879604</v>
      </c>
      <c r="H41" s="67">
        <f t="shared" si="1"/>
        <v>333.52009090875754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0</v>
      </c>
      <c r="N41" s="13">
        <f>IF('Données projet'!$A$36&gt;35,N40+M41-V40,IF(A41&lt;'Données projet'!$A$36,$K$205^A41,IF(A41='Données projet'!$A$36,'Données projet'!$B$36,N40+M41-V40)))</f>
        <v>0</v>
      </c>
      <c r="O41" s="13">
        <f>N41*VLOOKUP('Données projet'!$B$9,Paramètres!$A$1:$I$89,3,0)*VLOOKUP('Données projet'!$B$9,Paramètres!$A$1:$I$89,5,0)</f>
        <v>0</v>
      </c>
      <c r="P41" s="13" t="e">
        <f t="shared" si="33"/>
        <v>#NUM!</v>
      </c>
      <c r="Q41" s="20" t="e">
        <f t="shared" si="53"/>
        <v>#NUM!</v>
      </c>
      <c r="R41" s="59" t="e">
        <f t="shared" si="0"/>
        <v>#NUM!</v>
      </c>
      <c r="S41" s="59">
        <f ca="1">AVERAGE(OFFSET($R$3,0,0,'Données projet'!$E$9+1,1))-AVERAGE(OFFSET($H$3,0,0,'Données projet'!$E$9+1,1))</f>
        <v>101.15586831191774</v>
      </c>
      <c r="T41" s="59">
        <f t="shared" si="34"/>
        <v>346.96347336689064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34.779435648169148</v>
      </c>
      <c r="AA41" s="21">
        <f>EXP(-LN(2)/25)*AA40+(1-EXP(-LN(2)/25))/(LN(2)/25)*Calculateur!V41*Calculateur!X41*VLOOKUP('Données projet'!$B$9,Paramètres!$A$1:$I$89,3,0)*0.475*44/12</f>
        <v>13.210636813290508</v>
      </c>
      <c r="AB41" s="21">
        <f>EXP(-LN(2)/2)*AB40+(1-EXP(-LN(2)/2))/(LN(2)/2)*V41*Y41*VLOOKUP('Données projet'!$B$9,Paramètres!$A$1:$I$89,3,0)*0.475*44/12</f>
        <v>0</v>
      </c>
      <c r="AC41" s="22">
        <f t="shared" si="3"/>
        <v>47.990072461459654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0</v>
      </c>
      <c r="AI41" s="13">
        <f>IF('Données projet'!$A$62&gt;35,AI40+AH41-AQ40,IF(A41&lt;'Données projet'!$A$62,$AF$205^A41,IF(A41='Données projet'!$A$62,'Données projet'!$B$62,AI40+AH41-AQ40)))</f>
        <v>0</v>
      </c>
      <c r="AJ41" s="13">
        <f>AI41*VLOOKUP('Données projet'!$B$10,Paramètres!$A$1:$I$89,3,0)*VLOOKUP('Données projet'!$B$10,Paramètres!$A$1:$I$89,5,0)</f>
        <v>0</v>
      </c>
      <c r="AK41" s="13" t="e">
        <f t="shared" si="35"/>
        <v>#NUM!</v>
      </c>
      <c r="AL41" s="20" t="e">
        <f t="shared" si="4"/>
        <v>#NUM!</v>
      </c>
      <c r="AM41" s="59" t="e">
        <f t="shared" si="5"/>
        <v>#NUM!</v>
      </c>
      <c r="AN41" s="59">
        <f ca="1">AVERAGE(OFFSET($AM$3,0,0,'Données projet'!$E$10+1,1))-AVERAGE(OFFSET($H$3,0,0,'Données projet'!$E$10+1,1))</f>
        <v>101.15586831191774</v>
      </c>
      <c r="AO41" s="59">
        <f t="shared" si="36"/>
        <v>346.96347336689064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34.779435648169148</v>
      </c>
      <c r="AV41" s="21">
        <f>EXP(-LN(2)/25)*AV40+(1-EXP(-LN(2)/25))/(LN(2)/25)*Calculateur!AQ41*Calculateur!AS41*VLOOKUP('Données projet'!$B$10,Paramètres!$A$1:$I$89,3,0)*0.475*44/12</f>
        <v>13.210636813290508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47.990072461459654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11.2</v>
      </c>
      <c r="BD41" s="12">
        <f>IF('Données projet'!$A$88&gt;35,BD40+BC41-BL40,IF(A41&lt;'Données projet'!$A$88,$BA$205^A41,IF(A41='Données projet'!$A$88,'Données projet'!$B$88,BD40+BC41-BL40)))</f>
        <v>152.6</v>
      </c>
      <c r="BE41" s="13">
        <f>BD41*VLOOKUP('Données projet'!$B$11,Paramètres!$A$1:$I$89,3,0)*VLOOKUP('Données projet'!$B$11,Paramètres!$A$1:$I$89,5,0)</f>
        <v>138.07247999999998</v>
      </c>
      <c r="BF41" s="13">
        <f t="shared" si="37"/>
        <v>35.855082076777961</v>
      </c>
      <c r="BG41" s="20">
        <f t="shared" si="7"/>
        <v>302.92383728372158</v>
      </c>
      <c r="BH41" s="59">
        <f t="shared" si="8"/>
        <v>596.25717061705495</v>
      </c>
      <c r="BI41" s="59">
        <f ca="1">AVERAGE(OFFSET($BH$3,0,0,'Données projet'!$E$11+1,1))-AVERAGE(OFFSET($H$3,0,0,'Données projet'!$E$11+1,1))</f>
        <v>352.62747127358324</v>
      </c>
      <c r="BJ41" s="59">
        <f t="shared" si="38"/>
        <v>283.16932763435011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0</v>
      </c>
      <c r="BQ41" s="21">
        <f>EXP(-LN(2)/25)*BQ40+(1-EXP(-LN(2)/25))/(LN(2)/25)*Calculateur!BL41*Calculateur!BN41*VLOOKUP('Données projet'!$B$11,Paramètres!$A$1:$I$89,3,0)*0.475*44/12</f>
        <v>0</v>
      </c>
      <c r="BR41" s="21">
        <f>EXP(-LN(2)/2)*BR40+(1-EXP(-LN(2)/2))/(LN(2)/2)*BL41*BO41*VLOOKUP('Données projet'!$B$11,Paramètres!$A$1:$I$89,3,0)*0.475*44/12</f>
        <v>0</v>
      </c>
      <c r="BS41" s="22">
        <f t="shared" si="9"/>
        <v>0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11.2</v>
      </c>
      <c r="BY41" s="12">
        <f>IF('Données projet'!$A$114&gt;35,BY40+BX41-CG40,IF(A41&lt;'Données projet'!$A$114,$BV$205^A41,IF(A41='Données projet'!$A$114,'Données projet'!$B$114,BY40+BX41-CG40)))</f>
        <v>152.6</v>
      </c>
      <c r="BZ41" s="13">
        <f>BY41*VLOOKUP('Données projet'!$B$12,Paramètres!$A$1:$I$89,3,0)*VLOOKUP('Données projet'!$B$12,Paramètres!$A$1:$I$89,5,0)</f>
        <v>159.49752000000001</v>
      </c>
      <c r="CA41" s="13">
        <f t="shared" si="39"/>
        <v>40.729158900674037</v>
      </c>
      <c r="CB41" s="20">
        <f t="shared" si="10"/>
        <v>348.72813241867397</v>
      </c>
      <c r="CC41" s="59">
        <f t="shared" si="11"/>
        <v>642.06146575200728</v>
      </c>
      <c r="CD41" s="59">
        <f ca="1">AVERAGE(OFFSET($CC$3,0,0,'Données projet'!$E$12+1,1))-AVERAGE(OFFSET($H$3,0,0,'Données projet'!$E$12+1,1))</f>
        <v>423.49657671419374</v>
      </c>
      <c r="CE41" s="59">
        <f t="shared" si="40"/>
        <v>329.6783569381081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0</v>
      </c>
      <c r="CL41" s="21">
        <f>EXP(-LN(2)/25)*CL40+(1-EXP(-LN(2)/25))/(LN(2)/25)*Calculateur!CG41*Calculateur!CI41*VLOOKUP('Données projet'!$B$12,Paramètres!$A$1:$I$89,3,0)*0.475*44/12</f>
        <v>0</v>
      </c>
      <c r="CM41" s="21">
        <f>EXP(-LN(2)/2)*CM40+(1-EXP(-LN(2)/2))/(LN(2)/2)*CG41*CJ41*VLOOKUP('Données projet'!$B$12,Paramètres!$A$1:$I$89,3,0)*0.475*44/12</f>
        <v>0</v>
      </c>
      <c r="CN41" s="22">
        <f t="shared" si="12"/>
        <v>0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11.2</v>
      </c>
      <c r="CT41" s="12">
        <f>IF('Données projet'!$A$140&gt;35,CT40+CS41-DB40,IF(A41&lt;'Données projet'!$A$140,$CQ$205^A41,IF(A41='Données projet'!$A$140,'Données projet'!$B$140,CT40+CS41-DB40)))</f>
        <v>152.6</v>
      </c>
      <c r="CU41" s="17">
        <f>CT41*VLOOKUP('Données projet'!$B$13,Paramètres!$A$1:$I$89,3,0)*VLOOKUP('Données projet'!$B$13,Paramètres!$A$1:$I$89,5,0)</f>
        <v>154.7364</v>
      </c>
      <c r="CV41" s="13">
        <f t="shared" si="41"/>
        <v>39.652994320183701</v>
      </c>
      <c r="CW41" s="20">
        <f t="shared" si="13"/>
        <v>338.56152844098659</v>
      </c>
      <c r="CX41" s="59">
        <f t="shared" si="14"/>
        <v>631.89486177431991</v>
      </c>
      <c r="CY41" s="59">
        <f ca="1">AVERAGE(OFFSET($CX$3,0,0,'Données projet'!$E$13+1,1))-AVERAGE(OFFSET($H$3,0,0,'Données projet'!$E$13+1,1))</f>
        <v>407.76560346703042</v>
      </c>
      <c r="CZ41" s="59">
        <f t="shared" si="42"/>
        <v>319.35531375725202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projet'!$B$13,Paramètres!$A$1:$I$89,3,0)*0.475*44/12</f>
        <v>0</v>
      </c>
      <c r="DG41" s="21">
        <f>EXP(-LN(2)/25)*DG40+(1-EXP(-LN(2)/25))/(LN(2)/25)*Calculateur!DB41*Calculateur!DD41*VLOOKUP('Données projet'!$B$13,Paramètres!$A$1:$I$89,3,0)*0.475*44/12</f>
        <v>0</v>
      </c>
      <c r="DH41" s="21">
        <f>EXP(-LN(2)/2)*DH40+(1-EXP(-LN(2)/2))/(LN(2)/2)*DB41*DE41*VLOOKUP('Données projet'!$B$13,Paramètres!$A$1:$I$89,3,0)*0.475*44/12</f>
        <v>0</v>
      </c>
      <c r="DI41" s="22">
        <f t="shared" si="15"/>
        <v>0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2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34.678799999999995</v>
      </c>
      <c r="D42" s="11">
        <f t="shared" si="32"/>
        <v>10.576760473435781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349.34116856687268</v>
      </c>
      <c r="H42" s="67">
        <f t="shared" si="1"/>
        <v>335.48676782456732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0</v>
      </c>
      <c r="N42" s="13">
        <f>IF('Données projet'!$A$36&gt;35,N41+M42-V41,IF(A42&lt;'Données projet'!$A$36,$K$205^A42,IF(A42='Données projet'!$A$36,'Données projet'!$B$36,N41+M42-V41)))</f>
        <v>0</v>
      </c>
      <c r="O42" s="13">
        <f>N42*VLOOKUP('Données projet'!$B$9,Paramètres!$A$1:$I$89,3,0)*VLOOKUP('Données projet'!$B$9,Paramètres!$A$1:$I$89,5,0)</f>
        <v>0</v>
      </c>
      <c r="P42" s="13" t="e">
        <f t="shared" si="33"/>
        <v>#NUM!</v>
      </c>
      <c r="Q42" s="20" t="e">
        <f t="shared" si="53"/>
        <v>#NUM!</v>
      </c>
      <c r="R42" s="59" t="e">
        <f t="shared" si="0"/>
        <v>#NUM!</v>
      </c>
      <c r="S42" s="59">
        <f ca="1">AVERAGE(OFFSET($R$3,0,0,'Données projet'!$E$9+1,1))-AVERAGE(OFFSET($H$3,0,0,'Données projet'!$E$9+1,1))</f>
        <v>101.15586831191774</v>
      </c>
      <c r="T42" s="59">
        <f t="shared" si="34"/>
        <v>346.96347336689064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34.097432128469649</v>
      </c>
      <c r="AA42" s="21">
        <f>EXP(-LN(2)/25)*AA41+(1-EXP(-LN(2)/25))/(LN(2)/25)*Calculateur!V42*Calculateur!X42*VLOOKUP('Données projet'!$B$9,Paramètres!$A$1:$I$89,3,0)*0.475*44/12</f>
        <v>12.849391254913883</v>
      </c>
      <c r="AB42" s="21">
        <f>EXP(-LN(2)/2)*AB41+(1-EXP(-LN(2)/2))/(LN(2)/2)*V42*Y42*VLOOKUP('Données projet'!$B$9,Paramètres!$A$1:$I$89,3,0)*0.475*44/12</f>
        <v>0</v>
      </c>
      <c r="AC42" s="22">
        <f t="shared" si="3"/>
        <v>46.946823383383531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0</v>
      </c>
      <c r="AI42" s="13">
        <f>IF('Données projet'!$A$62&gt;35,AI41+AH42-AQ41,IF(A42&lt;'Données projet'!$A$62,$AF$205^A42,IF(A42='Données projet'!$A$62,'Données projet'!$B$62,AI41+AH42-AQ41)))</f>
        <v>0</v>
      </c>
      <c r="AJ42" s="13">
        <f>AI42*VLOOKUP('Données projet'!$B$10,Paramètres!$A$1:$I$89,3,0)*VLOOKUP('Données projet'!$B$10,Paramètres!$A$1:$I$89,5,0)</f>
        <v>0</v>
      </c>
      <c r="AK42" s="13" t="e">
        <f t="shared" si="35"/>
        <v>#NUM!</v>
      </c>
      <c r="AL42" s="20" t="e">
        <f t="shared" si="4"/>
        <v>#NUM!</v>
      </c>
      <c r="AM42" s="59" t="e">
        <f t="shared" si="5"/>
        <v>#NUM!</v>
      </c>
      <c r="AN42" s="59">
        <f ca="1">AVERAGE(OFFSET($AM$3,0,0,'Données projet'!$E$10+1,1))-AVERAGE(OFFSET($H$3,0,0,'Données projet'!$E$10+1,1))</f>
        <v>101.15586831191774</v>
      </c>
      <c r="AO42" s="59">
        <f t="shared" si="36"/>
        <v>346.96347336689064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34.097432128469649</v>
      </c>
      <c r="AV42" s="21">
        <f>EXP(-LN(2)/25)*AV41+(1-EXP(-LN(2)/25))/(LN(2)/25)*Calculateur!AQ42*Calculateur!AS42*VLOOKUP('Données projet'!$B$10,Paramètres!$A$1:$I$89,3,0)*0.475*44/12</f>
        <v>12.849391254913883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46.946823383383531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11.2</v>
      </c>
      <c r="BD42" s="12">
        <f>IF('Données projet'!$A$88&gt;35,BD41+BC42-BL41,IF(A42&lt;'Données projet'!$A$88,$BA$205^A42,IF(A42='Données projet'!$A$88,'Données projet'!$B$88,BD41+BC42-BL41)))</f>
        <v>163.79999999999998</v>
      </c>
      <c r="BE42" s="13">
        <f>BD42*VLOOKUP('Données projet'!$B$11,Paramètres!$A$1:$I$89,3,0)*VLOOKUP('Données projet'!$B$11,Paramètres!$A$1:$I$89,5,0)</f>
        <v>148.20623999999998</v>
      </c>
      <c r="BF42" s="13">
        <f t="shared" si="37"/>
        <v>38.170662245893794</v>
      </c>
      <c r="BG42" s="20">
        <f t="shared" si="7"/>
        <v>324.60643807826494</v>
      </c>
      <c r="BH42" s="59">
        <f t="shared" si="8"/>
        <v>617.93977141159826</v>
      </c>
      <c r="BI42" s="59">
        <f ca="1">AVERAGE(OFFSET($BH$3,0,0,'Données projet'!$E$11+1,1))-AVERAGE(OFFSET($H$3,0,0,'Données projet'!$E$11+1,1))</f>
        <v>352.62747127358324</v>
      </c>
      <c r="BJ42" s="59">
        <f t="shared" si="38"/>
        <v>283.16932763435011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0</v>
      </c>
      <c r="BQ42" s="21">
        <f>EXP(-LN(2)/25)*BQ41+(1-EXP(-LN(2)/25))/(LN(2)/25)*Calculateur!BL42*Calculateur!BN42*VLOOKUP('Données projet'!$B$11,Paramètres!$A$1:$I$89,3,0)*0.475*44/12</f>
        <v>0</v>
      </c>
      <c r="BR42" s="21">
        <f>EXP(-LN(2)/2)*BR41+(1-EXP(-LN(2)/2))/(LN(2)/2)*BL42*BO42*VLOOKUP('Données projet'!$B$11,Paramètres!$A$1:$I$89,3,0)*0.475*44/12</f>
        <v>0</v>
      </c>
      <c r="BS42" s="22">
        <f t="shared" si="9"/>
        <v>0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11.2</v>
      </c>
      <c r="BY42" s="12">
        <f>IF('Données projet'!$A$114&gt;35,BY41+BX42-CG41,IF(A42&lt;'Données projet'!$A$114,$BV$205^A42,IF(A42='Données projet'!$A$114,'Données projet'!$B$114,BY41+BX42-CG41)))</f>
        <v>163.79999999999998</v>
      </c>
      <c r="BZ42" s="13">
        <f>BY42*VLOOKUP('Données projet'!$B$12,Paramètres!$A$1:$I$89,3,0)*VLOOKUP('Données projet'!$B$12,Paramètres!$A$1:$I$89,5,0)</f>
        <v>171.20375999999999</v>
      </c>
      <c r="CA42" s="13">
        <f t="shared" si="39"/>
        <v>43.359514967164522</v>
      </c>
      <c r="CB42" s="20">
        <f t="shared" si="10"/>
        <v>373.69770390114485</v>
      </c>
      <c r="CC42" s="59">
        <f t="shared" si="11"/>
        <v>667.03103723447816</v>
      </c>
      <c r="CD42" s="59">
        <f ca="1">AVERAGE(OFFSET($CC$3,0,0,'Données projet'!$E$12+1,1))-AVERAGE(OFFSET($H$3,0,0,'Données projet'!$E$12+1,1))</f>
        <v>423.49657671419374</v>
      </c>
      <c r="CE42" s="59">
        <f t="shared" si="40"/>
        <v>329.6783569381081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0</v>
      </c>
      <c r="CL42" s="21">
        <f>EXP(-LN(2)/25)*CL41+(1-EXP(-LN(2)/25))/(LN(2)/25)*Calculateur!CG42*Calculateur!CI42*VLOOKUP('Données projet'!$B$12,Paramètres!$A$1:$I$89,3,0)*0.475*44/12</f>
        <v>0</v>
      </c>
      <c r="CM42" s="21">
        <f>EXP(-LN(2)/2)*CM41+(1-EXP(-LN(2)/2))/(LN(2)/2)*CG42*CJ42*VLOOKUP('Données projet'!$B$12,Paramètres!$A$1:$I$89,3,0)*0.475*44/12</f>
        <v>0</v>
      </c>
      <c r="CN42" s="22">
        <f t="shared" si="12"/>
        <v>0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11.2</v>
      </c>
      <c r="CT42" s="12">
        <f>IF('Données projet'!$A$140&gt;35,CT41+CS42-DB41,IF(A42&lt;'Données projet'!$A$140,$CQ$205^A42,IF(A42='Données projet'!$A$140,'Données projet'!$B$140,CT41+CS42-DB41)))</f>
        <v>163.79999999999998</v>
      </c>
      <c r="CU42" s="17">
        <f>CT42*VLOOKUP('Données projet'!$B$13,Paramètres!$A$1:$I$89,3,0)*VLOOKUP('Données projet'!$B$13,Paramètres!$A$1:$I$89,5,0)</f>
        <v>166.0932</v>
      </c>
      <c r="CV42" s="13">
        <f t="shared" si="41"/>
        <v>42.213849908165905</v>
      </c>
      <c r="CW42" s="20">
        <f t="shared" si="13"/>
        <v>362.80144525672222</v>
      </c>
      <c r="CX42" s="59">
        <f t="shared" si="14"/>
        <v>656.13477859005548</v>
      </c>
      <c r="CY42" s="59">
        <f ca="1">AVERAGE(OFFSET($CX$3,0,0,'Données projet'!$E$13+1,1))-AVERAGE(OFFSET($H$3,0,0,'Données projet'!$E$13+1,1))</f>
        <v>407.76560346703042</v>
      </c>
      <c r="CZ42" s="59">
        <f t="shared" si="42"/>
        <v>319.35531375725202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0</v>
      </c>
      <c r="DG42" s="21">
        <f>EXP(-LN(2)/25)*DG41+(1-EXP(-LN(2)/25))/(LN(2)/25)*Calculateur!DB42*Calculateur!DD42*VLOOKUP('Données projet'!$B$13,Paramètres!$A$1:$I$89,3,0)*0.475*44/12</f>
        <v>0</v>
      </c>
      <c r="DH42" s="21">
        <f>EXP(-LN(2)/2)*DH41+(1-EXP(-LN(2)/2))/(LN(2)/2)*DB42*DE42*VLOOKUP('Données projet'!$B$13,Paramètres!$A$1:$I$89,3,0)*0.475*44/12</f>
        <v>0</v>
      </c>
      <c r="DI42" s="22">
        <f t="shared" si="15"/>
        <v>0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2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35.567999999999998</v>
      </c>
      <c r="D43" s="11">
        <f t="shared" si="32"/>
        <v>10.816037660735208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358.0522205390086</v>
      </c>
      <c r="H43" s="67">
        <f t="shared" si="1"/>
        <v>337.45219892578052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0</v>
      </c>
      <c r="N43" s="13">
        <f>IF('Données projet'!$A$36&gt;35,N42+M43-V42,IF(A43&lt;'Données projet'!$A$36,$K$205^A43,IF(A43='Données projet'!$A$36,'Données projet'!$B$36,N42+M43-V42)))</f>
        <v>0</v>
      </c>
      <c r="O43" s="13">
        <f>N43*VLOOKUP('Données projet'!$B$9,Paramètres!$A$1:$I$89,3,0)*VLOOKUP('Données projet'!$B$9,Paramètres!$A$1:$I$89,5,0)</f>
        <v>0</v>
      </c>
      <c r="P43" s="13" t="e">
        <f t="shared" si="33"/>
        <v>#NUM!</v>
      </c>
      <c r="Q43" s="20" t="e">
        <f t="shared" si="53"/>
        <v>#NUM!</v>
      </c>
      <c r="R43" s="59" t="e">
        <f t="shared" si="0"/>
        <v>#NUM!</v>
      </c>
      <c r="S43" s="59">
        <f ca="1">AVERAGE(OFFSET($R$3,0,0,'Données projet'!$E$9+1,1))-AVERAGE(OFFSET($H$3,0,0,'Données projet'!$E$9+1,1))</f>
        <v>101.15586831191774</v>
      </c>
      <c r="T43" s="59">
        <f t="shared" si="34"/>
        <v>346.96347336689064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33.428802281810384</v>
      </c>
      <c r="AA43" s="21">
        <f>EXP(-LN(2)/25)*AA42+(1-EXP(-LN(2)/25))/(LN(2)/25)*Calculateur!V43*Calculateur!X43*VLOOKUP('Données projet'!$B$9,Paramètres!$A$1:$I$89,3,0)*0.475*44/12</f>
        <v>12.498023975328143</v>
      </c>
      <c r="AB43" s="21">
        <f>EXP(-LN(2)/2)*AB42+(1-EXP(-LN(2)/2))/(LN(2)/2)*V43*Y43*VLOOKUP('Données projet'!$B$9,Paramètres!$A$1:$I$89,3,0)*0.475*44/12</f>
        <v>0</v>
      </c>
      <c r="AC43" s="22">
        <f t="shared" si="3"/>
        <v>45.926826257138529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0</v>
      </c>
      <c r="AI43" s="13">
        <f>IF('Données projet'!$A$62&gt;35,AI42+AH43-AQ42,IF(A43&lt;'Données projet'!$A$62,$AF$205^A43,IF(A43='Données projet'!$A$62,'Données projet'!$B$62,AI42+AH43-AQ42)))</f>
        <v>0</v>
      </c>
      <c r="AJ43" s="13">
        <f>AI43*VLOOKUP('Données projet'!$B$10,Paramètres!$A$1:$I$89,3,0)*VLOOKUP('Données projet'!$B$10,Paramètres!$A$1:$I$89,5,0)</f>
        <v>0</v>
      </c>
      <c r="AK43" s="13" t="e">
        <f t="shared" si="35"/>
        <v>#NUM!</v>
      </c>
      <c r="AL43" s="20" t="e">
        <f t="shared" si="4"/>
        <v>#NUM!</v>
      </c>
      <c r="AM43" s="59" t="e">
        <f t="shared" si="5"/>
        <v>#NUM!</v>
      </c>
      <c r="AN43" s="59">
        <f ca="1">AVERAGE(OFFSET($AM$3,0,0,'Données projet'!$E$10+1,1))-AVERAGE(OFFSET($H$3,0,0,'Données projet'!$E$10+1,1))</f>
        <v>101.15586831191774</v>
      </c>
      <c r="AO43" s="59">
        <f t="shared" si="36"/>
        <v>346.96347336689064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33.428802281810384</v>
      </c>
      <c r="AV43" s="21">
        <f>EXP(-LN(2)/25)*AV42+(1-EXP(-LN(2)/25))/(LN(2)/25)*Calculateur!AQ43*Calculateur!AS43*VLOOKUP('Données projet'!$B$10,Paramètres!$A$1:$I$89,3,0)*0.475*44/12</f>
        <v>12.498023975328143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45.926826257138529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175</v>
      </c>
      <c r="BB43" s="12">
        <f>VLOOKUP(A43,'Données projet'!$A$87:$I$107,9,0)</f>
        <v>11.2</v>
      </c>
      <c r="BC43" s="12">
        <f t="array" ref="BC43">INDEX(BB:BB,MIN(IF(ISNUMBER(BB43:BB239),ROW(BB43:BB239),"")))</f>
        <v>11.2</v>
      </c>
      <c r="BD43" s="12">
        <f>IF('Données projet'!$A$88&gt;35,BD42+BC43-BL42,IF(A43&lt;'Données projet'!$A$88,$BA$205^A43,IF(A43='Données projet'!$A$88,'Données projet'!$B$88,BD42+BC43-BL42)))</f>
        <v>174.99999999999997</v>
      </c>
      <c r="BE43" s="13">
        <f>BD43*VLOOKUP('Données projet'!$B$11,Paramètres!$A$1:$I$89,3,0)*VLOOKUP('Données projet'!$B$11,Paramètres!$A$1:$I$89,5,0)</f>
        <v>158.33999999999997</v>
      </c>
      <c r="BF43" s="13">
        <f t="shared" si="37"/>
        <v>40.467870812652819</v>
      </c>
      <c r="BG43" s="20">
        <f t="shared" si="7"/>
        <v>346.25704166537025</v>
      </c>
      <c r="BH43" s="59">
        <f t="shared" si="8"/>
        <v>639.59037499870351</v>
      </c>
      <c r="BI43" s="59">
        <f ca="1">AVERAGE(OFFSET($BH$3,0,0,'Données projet'!$E$11+1,1))-AVERAGE(OFFSET($H$3,0,0,'Données projet'!$E$11+1,1))</f>
        <v>352.62747127358324</v>
      </c>
      <c r="BJ43" s="59">
        <f t="shared" si="38"/>
        <v>283.16932763435011</v>
      </c>
      <c r="BK43" s="15">
        <f>IF(ISNA(VLOOKUP(A43,'Données projet'!$A$87:$I$107,3,0)),0,VLOOKUP(A43,'Données projet'!$A$87:$I$107,3,0))</f>
        <v>5</v>
      </c>
      <c r="BL43" s="15">
        <f>IF(ISNA(VLOOKUP(A43,'Données projet'!$A$87:$I$107,4,0)),0,VLOOKUP(A43,'Données projet'!$A$87:$I$107,4,0))</f>
        <v>28</v>
      </c>
      <c r="BM43" s="16">
        <f>IF(ISNA(VLOOKUP(A43,'Données projet'!$A$87:$I$107,5,0)),0%,VLOOKUP(A43,'Données projet'!$A$87:$I$107,5,0)*VLOOKUP('Données projet'!$B$11,Paramètres!$A$1:$I$89,7,0))</f>
        <v>8.6000000000000007E-2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2.4085528753586032</v>
      </c>
      <c r="BQ43" s="21">
        <f>EXP(-LN(2)/25)*BQ42+(1-EXP(-LN(2)/25))/(LN(2)/25)*Calculateur!BL43*Calculateur!BN43*VLOOKUP('Données projet'!$B$11,Paramètres!$A$1:$I$89,3,0)*0.475*44/12</f>
        <v>0</v>
      </c>
      <c r="BR43" s="21">
        <f>EXP(-LN(2)/2)*BR42+(1-EXP(-LN(2)/2))/(LN(2)/2)*BL43*BO43*VLOOKUP('Données projet'!$B$11,Paramètres!$A$1:$I$89,3,0)*0.475*44/12</f>
        <v>0</v>
      </c>
      <c r="BS43" s="22">
        <f t="shared" si="9"/>
        <v>2.4085528753586032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>
        <f>VLOOKUP(A43,'Données projet'!$A$113:$I$133,2,0)</f>
        <v>175</v>
      </c>
      <c r="BW43" s="12">
        <f>VLOOKUP(A43,'Données projet'!$A$113:$I$133,9,0)</f>
        <v>11.2</v>
      </c>
      <c r="BX43" s="12">
        <f t="array" ref="BX43">INDEX(BW:BW,MIN(IF(ISNUMBER(BW43:BW239),ROW(BW43:BW239),"")))</f>
        <v>11.2</v>
      </c>
      <c r="BY43" s="12">
        <f>IF('Données projet'!$A$114&gt;35,BY42+BX43-CG42,IF(A43&lt;'Données projet'!$A$114,$BV$205^A43,IF(A43='Données projet'!$A$114,'Données projet'!$B$114,BY42+BX43-CG42)))</f>
        <v>174.99999999999997</v>
      </c>
      <c r="BZ43" s="13">
        <f>BY43*VLOOKUP('Données projet'!$B$12,Paramètres!$A$1:$I$89,3,0)*VLOOKUP('Données projet'!$B$12,Paramètres!$A$1:$I$89,5,0)</f>
        <v>182.91</v>
      </c>
      <c r="CA43" s="13">
        <f t="shared" si="39"/>
        <v>45.969002027971285</v>
      </c>
      <c r="CB43" s="20">
        <f t="shared" si="10"/>
        <v>398.63092853204995</v>
      </c>
      <c r="CC43" s="59">
        <f t="shared" si="11"/>
        <v>691.96426186538326</v>
      </c>
      <c r="CD43" s="59">
        <f ca="1">AVERAGE(OFFSET($CC$3,0,0,'Données projet'!$E$12+1,1))-AVERAGE(OFFSET($H$3,0,0,'Données projet'!$E$12+1,1))</f>
        <v>423.49657671419374</v>
      </c>
      <c r="CE43" s="59">
        <f t="shared" si="40"/>
        <v>329.6783569381081</v>
      </c>
      <c r="CF43" s="15">
        <f>IF(ISNA(VLOOKUP(A43,'Données projet'!$A$113:$I$133,3,0)),0,VLOOKUP(A43,'Données projet'!$A$113:$I$133,3,0))</f>
        <v>5</v>
      </c>
      <c r="CG43" s="15">
        <f>IF(ISNA(VLOOKUP(A43,'Données projet'!$A$113:$I$133,4,0)),0,VLOOKUP(A43,'Données projet'!$A$113:$I$133,4,0))</f>
        <v>28</v>
      </c>
      <c r="CH43" s="16">
        <f>IF(ISNA(VLOOKUP(A43,'Données projet'!$A$113:$I$133,5,0)),0%,VLOOKUP(A43,'Données projet'!$A$113:$I$133,5,0)*VLOOKUP('Données projet'!$B$12,Paramètres!$A$1:$I$89,7,0))</f>
        <v>8.6000000000000007E-2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2.7822938387763183</v>
      </c>
      <c r="CL43" s="21">
        <f>EXP(-LN(2)/25)*CL42+(1-EXP(-LN(2)/25))/(LN(2)/25)*Calculateur!CG43*Calculateur!CI43*VLOOKUP('Données projet'!$B$12,Paramètres!$A$1:$I$89,3,0)*0.475*44/12</f>
        <v>0</v>
      </c>
      <c r="CM43" s="21">
        <f>EXP(-LN(2)/2)*CM42+(1-EXP(-LN(2)/2))/(LN(2)/2)*CG43*CJ43*VLOOKUP('Données projet'!$B$12,Paramètres!$A$1:$I$89,3,0)*0.475*44/12</f>
        <v>0</v>
      </c>
      <c r="CN43" s="22">
        <f t="shared" si="12"/>
        <v>2.7822938387763183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>
        <f>VLOOKUP(A43,'Données projet'!$A$139:$I$159,2,0)</f>
        <v>175</v>
      </c>
      <c r="CR43" s="12">
        <f>VLOOKUP(A43,'Données projet'!$A$139:$I$159,9,0)</f>
        <v>11.2</v>
      </c>
      <c r="CS43" s="12">
        <f t="array" ref="CS43">INDEX(CR:CR,MIN(IF(ISNUMBER(CR43:CR239),ROW(CR43:CR239),"")))</f>
        <v>11.2</v>
      </c>
      <c r="CT43" s="12">
        <f>IF('Données projet'!$A$140&gt;35,CT42+CS43-DB42,IF(A43&lt;'Données projet'!$A$140,$CQ$205^A43,IF(A43='Données projet'!$A$140,'Données projet'!$B$140,CT42+CS43-DB42)))</f>
        <v>174.99999999999997</v>
      </c>
      <c r="CU43" s="17">
        <f>CT43*VLOOKUP('Données projet'!$B$13,Paramètres!$A$1:$I$89,3,0)*VLOOKUP('Données projet'!$B$13,Paramètres!$A$1:$I$89,5,0)</f>
        <v>177.45</v>
      </c>
      <c r="CV43" s="13">
        <f t="shared" si="41"/>
        <v>44.754387900936791</v>
      </c>
      <c r="CW43" s="20">
        <f t="shared" si="13"/>
        <v>387.00597559413154</v>
      </c>
      <c r="CX43" s="59">
        <f t="shared" si="14"/>
        <v>680.3393089274648</v>
      </c>
      <c r="CY43" s="59">
        <f ca="1">AVERAGE(OFFSET($CX$3,0,0,'Données projet'!$E$13+1,1))-AVERAGE(OFFSET($H$3,0,0,'Données projet'!$E$13+1,1))</f>
        <v>407.76560346703042</v>
      </c>
      <c r="CZ43" s="59">
        <f t="shared" si="42"/>
        <v>319.35531375725202</v>
      </c>
      <c r="DA43" s="15">
        <f>IF(ISNA(VLOOKUP(A43,'Données projet'!$A$139:$I$159,3,0)),0,VLOOKUP(A43,'Données projet'!$A$139:$I$159,3,0))</f>
        <v>5</v>
      </c>
      <c r="DB43" s="15">
        <f>IF(ISNA(VLOOKUP(A43,'Données projet'!$A$139:$I$159,4,0)),0,VLOOKUP(A43,'Données projet'!$A$139:$I$159,4,0))</f>
        <v>28</v>
      </c>
      <c r="DC43" s="16">
        <f>IF(ISNA(VLOOKUP(A43,'Données projet'!$A$139:$I$159,5,0)),0%,VLOOKUP(A43,'Données projet'!$A$139:$I$159,5,0)*VLOOKUP('Données projet'!$B$13,Paramètres!$A$1:$I$89,7,0))</f>
        <v>8.6000000000000007E-2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>
        <f>EXP(-LN(2)/35)*DF42+(1-EXP(-LN(2)/35))/(LN(2)/35)*DB43*DC43*VLOOKUP('Données projet'!$B$13,Paramètres!$A$1:$I$89,3,0)*0.475*44/12</f>
        <v>2.6992402913501592</v>
      </c>
      <c r="DG43" s="21">
        <f>EXP(-LN(2)/25)*DG42+(1-EXP(-LN(2)/25))/(LN(2)/25)*Calculateur!DB43*Calculateur!DD43*VLOOKUP('Données projet'!$B$13,Paramètres!$A$1:$I$89,3,0)*0.475*44/12</f>
        <v>0</v>
      </c>
      <c r="DH43" s="21">
        <f>EXP(-LN(2)/2)*DH42+(1-EXP(-LN(2)/2))/(LN(2)/2)*DB43*DE43*VLOOKUP('Données projet'!$B$13,Paramètres!$A$1:$I$89,3,0)*0.475*44/12</f>
        <v>0</v>
      </c>
      <c r="DI43" s="22">
        <f t="shared" si="15"/>
        <v>2.6992402913501592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2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36.4572</v>
      </c>
      <c r="D44" s="11">
        <f t="shared" si="32"/>
        <v>11.054619486999963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366.75790481192956</v>
      </c>
      <c r="H44" s="67">
        <f t="shared" si="1"/>
        <v>339.41641893985832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0</v>
      </c>
      <c r="N44" s="13">
        <f>IF('Données projet'!$A$36&gt;35,N43+M44-V43,IF(A44&lt;'Données projet'!$A$36,$K$205^A44,IF(A44='Données projet'!$A$36,'Données projet'!$B$36,N43+M44-V43)))</f>
        <v>0</v>
      </c>
      <c r="O44" s="13">
        <f>N44*VLOOKUP('Données projet'!$B$9,Paramètres!$A$1:$I$89,3,0)*VLOOKUP('Données projet'!$B$9,Paramètres!$A$1:$I$89,5,0)</f>
        <v>0</v>
      </c>
      <c r="P44" s="13" t="e">
        <f t="shared" si="33"/>
        <v>#NUM!</v>
      </c>
      <c r="Q44" s="20" t="e">
        <f t="shared" si="53"/>
        <v>#NUM!</v>
      </c>
      <c r="R44" s="59" t="e">
        <f t="shared" si="0"/>
        <v>#NUM!</v>
      </c>
      <c r="S44" s="59">
        <f ca="1">AVERAGE(OFFSET($R$3,0,0,'Données projet'!$E$9+1,1))-AVERAGE(OFFSET($H$3,0,0,'Données projet'!$E$9+1,1))</f>
        <v>101.15586831191774</v>
      </c>
      <c r="T44" s="59">
        <f t="shared" si="34"/>
        <v>346.96347336689064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32.773283858620175</v>
      </c>
      <c r="AA44" s="21">
        <f>EXP(-LN(2)/25)*AA43+(1-EXP(-LN(2)/25))/(LN(2)/25)*Calculateur!V44*Calculateur!X44*VLOOKUP('Données projet'!$B$9,Paramètres!$A$1:$I$89,3,0)*0.475*44/12</f>
        <v>12.156264852480279</v>
      </c>
      <c r="AB44" s="21">
        <f>EXP(-LN(2)/2)*AB43+(1-EXP(-LN(2)/2))/(LN(2)/2)*V44*Y44*VLOOKUP('Données projet'!$B$9,Paramètres!$A$1:$I$89,3,0)*0.475*44/12</f>
        <v>0</v>
      </c>
      <c r="AC44" s="22">
        <f t="shared" si="3"/>
        <v>44.929548711100452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0</v>
      </c>
      <c r="AI44" s="13">
        <f>IF('Données projet'!$A$62&gt;35,AI43+AH44-AQ43,IF(A44&lt;'Données projet'!$A$62,$AF$205^A44,IF(A44='Données projet'!$A$62,'Données projet'!$B$62,AI43+AH44-AQ43)))</f>
        <v>0</v>
      </c>
      <c r="AJ44" s="13">
        <f>AI44*VLOOKUP('Données projet'!$B$10,Paramètres!$A$1:$I$89,3,0)*VLOOKUP('Données projet'!$B$10,Paramètres!$A$1:$I$89,5,0)</f>
        <v>0</v>
      </c>
      <c r="AK44" s="13" t="e">
        <f t="shared" si="35"/>
        <v>#NUM!</v>
      </c>
      <c r="AL44" s="20" t="e">
        <f t="shared" si="4"/>
        <v>#NUM!</v>
      </c>
      <c r="AM44" s="59" t="e">
        <f t="shared" si="5"/>
        <v>#NUM!</v>
      </c>
      <c r="AN44" s="59">
        <f ca="1">AVERAGE(OFFSET($AM$3,0,0,'Données projet'!$E$10+1,1))-AVERAGE(OFFSET($H$3,0,0,'Données projet'!$E$10+1,1))</f>
        <v>101.15586831191774</v>
      </c>
      <c r="AO44" s="59">
        <f t="shared" si="36"/>
        <v>346.96347336689064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32.773283858620175</v>
      </c>
      <c r="AV44" s="21">
        <f>EXP(-LN(2)/25)*AV43+(1-EXP(-LN(2)/25))/(LN(2)/25)*Calculateur!AQ44*Calculateur!AS44*VLOOKUP('Données projet'!$B$10,Paramètres!$A$1:$I$89,3,0)*0.475*44/12</f>
        <v>12.156264852480279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44.929548711100452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11.4</v>
      </c>
      <c r="BD44" s="12">
        <f>IF('Données projet'!$A$88&gt;35,BD43+BC44-BL43,IF(A44&lt;'Données projet'!$A$88,$BA$205^A44,IF(A44='Données projet'!$A$88,'Données projet'!$B$88,BD43+BC44-BL43)))</f>
        <v>158.39999999999998</v>
      </c>
      <c r="BE44" s="13">
        <f>BD44*VLOOKUP('Données projet'!$B$11,Paramètres!$A$1:$I$89,3,0)*VLOOKUP('Données projet'!$B$11,Paramètres!$A$1:$I$89,5,0)</f>
        <v>143.32031999999998</v>
      </c>
      <c r="BF44" s="13">
        <f t="shared" si="37"/>
        <v>37.056603420232349</v>
      </c>
      <c r="BG44" s="20">
        <f t="shared" si="7"/>
        <v>314.15647495690467</v>
      </c>
      <c r="BH44" s="59">
        <f t="shared" si="8"/>
        <v>607.48980829023799</v>
      </c>
      <c r="BI44" s="59">
        <f ca="1">AVERAGE(OFFSET($BH$3,0,0,'Données projet'!$E$11+1,1))-AVERAGE(OFFSET($H$3,0,0,'Données projet'!$E$11+1,1))</f>
        <v>352.62747127358324</v>
      </c>
      <c r="BJ44" s="59">
        <f t="shared" si="38"/>
        <v>283.16932763435011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2.3613226225450159</v>
      </c>
      <c r="BQ44" s="21">
        <f>EXP(-LN(2)/25)*BQ43+(1-EXP(-LN(2)/25))/(LN(2)/25)*Calculateur!BL44*Calculateur!BN44*VLOOKUP('Données projet'!$B$11,Paramètres!$A$1:$I$89,3,0)*0.475*44/12</f>
        <v>0</v>
      </c>
      <c r="BR44" s="21">
        <f>EXP(-LN(2)/2)*BR43+(1-EXP(-LN(2)/2))/(LN(2)/2)*BL44*BO44*VLOOKUP('Données projet'!$B$11,Paramètres!$A$1:$I$89,3,0)*0.475*44/12</f>
        <v>0</v>
      </c>
      <c r="BS44" s="22">
        <f t="shared" si="9"/>
        <v>2.3613226225450159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11.4</v>
      </c>
      <c r="BY44" s="12">
        <f>IF('Données projet'!$A$114&gt;35,BY43+BX44-CG43,IF(A44&lt;'Données projet'!$A$114,$BV$205^A44,IF(A44='Données projet'!$A$114,'Données projet'!$B$114,BY43+BX44-CG43)))</f>
        <v>158.39999999999998</v>
      </c>
      <c r="BZ44" s="13">
        <f>BY44*VLOOKUP('Données projet'!$B$12,Paramètres!$A$1:$I$89,3,0)*VLOOKUP('Données projet'!$B$12,Paramètres!$A$1:$I$89,5,0)</f>
        <v>165.55967999999999</v>
      </c>
      <c r="CA44" s="13">
        <f t="shared" si="39"/>
        <v>42.094012943270059</v>
      </c>
      <c r="CB44" s="20">
        <f t="shared" si="10"/>
        <v>361.66351520952867</v>
      </c>
      <c r="CC44" s="59">
        <f t="shared" si="11"/>
        <v>654.99684854286193</v>
      </c>
      <c r="CD44" s="59">
        <f ca="1">AVERAGE(OFFSET($CC$3,0,0,'Données projet'!$E$12+1,1))-AVERAGE(OFFSET($H$3,0,0,'Données projet'!$E$12+1,1))</f>
        <v>423.49657671419374</v>
      </c>
      <c r="CE44" s="59">
        <f t="shared" si="40"/>
        <v>329.6783569381081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2.7277347536295884</v>
      </c>
      <c r="CL44" s="21">
        <f>EXP(-LN(2)/25)*CL43+(1-EXP(-LN(2)/25))/(LN(2)/25)*Calculateur!CG44*Calculateur!CI44*VLOOKUP('Données projet'!$B$12,Paramètres!$A$1:$I$89,3,0)*0.475*44/12</f>
        <v>0</v>
      </c>
      <c r="CM44" s="21">
        <f>EXP(-LN(2)/2)*CM43+(1-EXP(-LN(2)/2))/(LN(2)/2)*CG44*CJ44*VLOOKUP('Données projet'!$B$12,Paramètres!$A$1:$I$89,3,0)*0.475*44/12</f>
        <v>0</v>
      </c>
      <c r="CN44" s="22">
        <f t="shared" si="12"/>
        <v>2.7277347536295884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11.4</v>
      </c>
      <c r="CT44" s="12">
        <f>IF('Données projet'!$A$140&gt;35,CT43+CS44-DB43,IF(A44&lt;'Données projet'!$A$140,$CQ$205^A44,IF(A44='Données projet'!$A$140,'Données projet'!$B$140,CT43+CS44-DB43)))</f>
        <v>158.39999999999998</v>
      </c>
      <c r="CU44" s="17">
        <f>CT44*VLOOKUP('Données projet'!$B$13,Paramètres!$A$1:$I$89,3,0)*VLOOKUP('Données projet'!$B$13,Paramètres!$A$1:$I$89,5,0)</f>
        <v>160.61759999999998</v>
      </c>
      <c r="CV44" s="13">
        <f t="shared" si="41"/>
        <v>40.981785561145074</v>
      </c>
      <c r="CW44" s="20">
        <f t="shared" si="13"/>
        <v>351.11892985232765</v>
      </c>
      <c r="CX44" s="59">
        <f t="shared" si="14"/>
        <v>644.45226318566097</v>
      </c>
      <c r="CY44" s="59">
        <f ca="1">AVERAGE(OFFSET($CX$3,0,0,'Données projet'!$E$13+1,1))-AVERAGE(OFFSET($H$3,0,0,'Données projet'!$E$13+1,1))</f>
        <v>407.76560346703042</v>
      </c>
      <c r="CZ44" s="59">
        <f t="shared" si="42"/>
        <v>319.35531375725202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2.6463098356107944</v>
      </c>
      <c r="DG44" s="21">
        <f>EXP(-LN(2)/25)*DG43+(1-EXP(-LN(2)/25))/(LN(2)/25)*Calculateur!DB44*Calculateur!DD44*VLOOKUP('Données projet'!$B$13,Paramètres!$A$1:$I$89,3,0)*0.475*44/12</f>
        <v>0</v>
      </c>
      <c r="DH44" s="21">
        <f>EXP(-LN(2)/2)*DH43+(1-EXP(-LN(2)/2))/(LN(2)/2)*DB44*DE44*VLOOKUP('Données projet'!$B$13,Paramètres!$A$1:$I$89,3,0)*0.475*44/12</f>
        <v>0</v>
      </c>
      <c r="DI44" s="22">
        <f t="shared" si="15"/>
        <v>2.6463098356107944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2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37.346400000000003</v>
      </c>
      <c r="D45" s="11">
        <f t="shared" si="32"/>
        <v>11.292524863342397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375.45836736615183</v>
      </c>
      <c r="H45" s="67">
        <f t="shared" si="1"/>
        <v>341.37946080365469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0</v>
      </c>
      <c r="N45" s="13">
        <f>IF('Données projet'!$A$36&gt;35,N44+M45-V44,IF(A45&lt;'Données projet'!$A$36,$K$205^A45,IF(A45='Données projet'!$A$36,'Données projet'!$B$36,N44+M45-V44)))</f>
        <v>0</v>
      </c>
      <c r="O45" s="13">
        <f>N45*VLOOKUP('Données projet'!$B$9,Paramètres!$A$1:$I$89,3,0)*VLOOKUP('Données projet'!$B$9,Paramètres!$A$1:$I$89,5,0)</f>
        <v>0</v>
      </c>
      <c r="P45" s="13" t="e">
        <f t="shared" si="33"/>
        <v>#NUM!</v>
      </c>
      <c r="Q45" s="20" t="e">
        <f t="shared" si="53"/>
        <v>#NUM!</v>
      </c>
      <c r="R45" s="59" t="e">
        <f t="shared" si="0"/>
        <v>#NUM!</v>
      </c>
      <c r="S45" s="59">
        <f ca="1">AVERAGE(OFFSET($R$3,0,0,'Données projet'!$E$9+1,1))-AVERAGE(OFFSET($H$3,0,0,'Données projet'!$E$9+1,1))</f>
        <v>101.15586831191774</v>
      </c>
      <c r="T45" s="59">
        <f t="shared" si="34"/>
        <v>346.96347336689064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32.130619751881966</v>
      </c>
      <c r="AA45" s="21">
        <f>EXP(-LN(2)/25)*AA44+(1-EXP(-LN(2)/25))/(LN(2)/25)*Calculateur!V45*Calculateur!X45*VLOOKUP('Données projet'!$B$9,Paramètres!$A$1:$I$89,3,0)*0.475*44/12</f>
        <v>11.823851150819021</v>
      </c>
      <c r="AB45" s="21">
        <f>EXP(-LN(2)/2)*AB44+(1-EXP(-LN(2)/2))/(LN(2)/2)*V45*Y45*VLOOKUP('Données projet'!$B$9,Paramètres!$A$1:$I$89,3,0)*0.475*44/12</f>
        <v>0</v>
      </c>
      <c r="AC45" s="22">
        <f t="shared" si="3"/>
        <v>43.95447090270099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0</v>
      </c>
      <c r="AI45" s="13">
        <f>IF('Données projet'!$A$62&gt;35,AI44+AH45-AQ44,IF(A45&lt;'Données projet'!$A$62,$AF$205^A45,IF(A45='Données projet'!$A$62,'Données projet'!$B$62,AI44+AH45-AQ44)))</f>
        <v>0</v>
      </c>
      <c r="AJ45" s="13">
        <f>AI45*VLOOKUP('Données projet'!$B$10,Paramètres!$A$1:$I$89,3,0)*VLOOKUP('Données projet'!$B$10,Paramètres!$A$1:$I$89,5,0)</f>
        <v>0</v>
      </c>
      <c r="AK45" s="13" t="e">
        <f t="shared" si="35"/>
        <v>#NUM!</v>
      </c>
      <c r="AL45" s="20" t="e">
        <f t="shared" si="4"/>
        <v>#NUM!</v>
      </c>
      <c r="AM45" s="59" t="e">
        <f t="shared" si="5"/>
        <v>#NUM!</v>
      </c>
      <c r="AN45" s="59">
        <f ca="1">AVERAGE(OFFSET($AM$3,0,0,'Données projet'!$E$10+1,1))-AVERAGE(OFFSET($H$3,0,0,'Données projet'!$E$10+1,1))</f>
        <v>101.15586831191774</v>
      </c>
      <c r="AO45" s="59">
        <f t="shared" si="36"/>
        <v>346.96347336689064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32.130619751881966</v>
      </c>
      <c r="AV45" s="21">
        <f>EXP(-LN(2)/25)*AV44+(1-EXP(-LN(2)/25))/(LN(2)/25)*Calculateur!AQ45*Calculateur!AS45*VLOOKUP('Données projet'!$B$10,Paramètres!$A$1:$I$89,3,0)*0.475*44/12</f>
        <v>11.823851150819021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43.95447090270099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11.4</v>
      </c>
      <c r="BD45" s="12">
        <f>IF('Données projet'!$A$88&gt;35,BD44+BC45-BL44,IF(A45&lt;'Données projet'!$A$88,$BA$205^A45,IF(A45='Données projet'!$A$88,'Données projet'!$B$88,BD44+BC45-BL44)))</f>
        <v>169.79999999999998</v>
      </c>
      <c r="BE45" s="13">
        <f>BD45*VLOOKUP('Données projet'!$B$11,Paramètres!$A$1:$I$89,3,0)*VLOOKUP('Données projet'!$B$11,Paramètres!$A$1:$I$89,5,0)</f>
        <v>153.63503999999998</v>
      </c>
      <c r="BF45" s="13">
        <f t="shared" si="37"/>
        <v>39.403506785222667</v>
      </c>
      <c r="BG45" s="20">
        <f t="shared" si="7"/>
        <v>336.20880231759611</v>
      </c>
      <c r="BH45" s="59">
        <f t="shared" si="8"/>
        <v>629.54213565092937</v>
      </c>
      <c r="BI45" s="59">
        <f ca="1">AVERAGE(OFFSET($BH$3,0,0,'Données projet'!$E$11+1,1))-AVERAGE(OFFSET($H$3,0,0,'Données projet'!$E$11+1,1))</f>
        <v>352.62747127358324</v>
      </c>
      <c r="BJ45" s="59">
        <f t="shared" si="38"/>
        <v>283.16932763435011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2.3150185261814937</v>
      </c>
      <c r="BQ45" s="21">
        <f>EXP(-LN(2)/25)*BQ44+(1-EXP(-LN(2)/25))/(LN(2)/25)*Calculateur!BL45*Calculateur!BN45*VLOOKUP('Données projet'!$B$11,Paramètres!$A$1:$I$89,3,0)*0.475*44/12</f>
        <v>0</v>
      </c>
      <c r="BR45" s="21">
        <f>EXP(-LN(2)/2)*BR44+(1-EXP(-LN(2)/2))/(LN(2)/2)*BL45*BO45*VLOOKUP('Données projet'!$B$11,Paramètres!$A$1:$I$89,3,0)*0.475*44/12</f>
        <v>0</v>
      </c>
      <c r="BS45" s="22">
        <f t="shared" si="9"/>
        <v>2.3150185261814937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11.4</v>
      </c>
      <c r="BY45" s="12">
        <f>IF('Données projet'!$A$114&gt;35,BY44+BX45-CG44,IF(A45&lt;'Données projet'!$A$114,$BV$205^A45,IF(A45='Données projet'!$A$114,'Données projet'!$B$114,BY44+BX45-CG44)))</f>
        <v>169.79999999999998</v>
      </c>
      <c r="BZ45" s="13">
        <f>BY45*VLOOKUP('Données projet'!$B$12,Paramètres!$A$1:$I$89,3,0)*VLOOKUP('Données projet'!$B$12,Paramètres!$A$1:$I$89,5,0)</f>
        <v>177.47495999999998</v>
      </c>
      <c r="CA45" s="13">
        <f t="shared" si="39"/>
        <v>44.759950225815722</v>
      </c>
      <c r="CB45" s="20">
        <f t="shared" si="10"/>
        <v>387.05913530996236</v>
      </c>
      <c r="CC45" s="59">
        <f t="shared" si="11"/>
        <v>680.39246864329562</v>
      </c>
      <c r="CD45" s="59">
        <f ca="1">AVERAGE(OFFSET($CC$3,0,0,'Données projet'!$E$12+1,1))-AVERAGE(OFFSET($H$3,0,0,'Données projet'!$E$12+1,1))</f>
        <v>423.49657671419374</v>
      </c>
      <c r="CE45" s="59">
        <f t="shared" si="40"/>
        <v>329.6783569381081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2.6742455388648296</v>
      </c>
      <c r="CL45" s="21">
        <f>EXP(-LN(2)/25)*CL44+(1-EXP(-LN(2)/25))/(LN(2)/25)*Calculateur!CG45*Calculateur!CI45*VLOOKUP('Données projet'!$B$12,Paramètres!$A$1:$I$89,3,0)*0.475*44/12</f>
        <v>0</v>
      </c>
      <c r="CM45" s="21">
        <f>EXP(-LN(2)/2)*CM44+(1-EXP(-LN(2)/2))/(LN(2)/2)*CG45*CJ45*VLOOKUP('Données projet'!$B$12,Paramètres!$A$1:$I$89,3,0)*0.475*44/12</f>
        <v>0</v>
      </c>
      <c r="CN45" s="22">
        <f t="shared" si="12"/>
        <v>2.6742455388648296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11.4</v>
      </c>
      <c r="CT45" s="12">
        <f>IF('Données projet'!$A$140&gt;35,CT44+CS45-DB44,IF(A45&lt;'Données projet'!$A$140,$CQ$205^A45,IF(A45='Données projet'!$A$140,'Données projet'!$B$140,CT44+CS45-DB44)))</f>
        <v>169.79999999999998</v>
      </c>
      <c r="CU45" s="17">
        <f>CT45*VLOOKUP('Données projet'!$B$13,Paramètres!$A$1:$I$89,3,0)*VLOOKUP('Données projet'!$B$13,Paramètres!$A$1:$I$89,5,0)</f>
        <v>172.1772</v>
      </c>
      <c r="CV45" s="13">
        <f t="shared" si="41"/>
        <v>43.577282221917017</v>
      </c>
      <c r="CW45" s="20">
        <f t="shared" si="13"/>
        <v>375.77238986983883</v>
      </c>
      <c r="CX45" s="59">
        <f t="shared" si="14"/>
        <v>669.10572320317215</v>
      </c>
      <c r="CY45" s="59">
        <f ca="1">AVERAGE(OFFSET($CX$3,0,0,'Données projet'!$E$13+1,1))-AVERAGE(OFFSET($H$3,0,0,'Données projet'!$E$13+1,1))</f>
        <v>407.76560346703042</v>
      </c>
      <c r="CZ45" s="59">
        <f t="shared" si="42"/>
        <v>319.35531375725202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>
        <f>EXP(-LN(2)/35)*DF44+(1-EXP(-LN(2)/35))/(LN(2)/35)*DB45*DC45*VLOOKUP('Données projet'!$B$13,Paramètres!$A$1:$I$89,3,0)*0.475*44/12</f>
        <v>2.5944173138240885</v>
      </c>
      <c r="DG45" s="21">
        <f>EXP(-LN(2)/25)*DG44+(1-EXP(-LN(2)/25))/(LN(2)/25)*Calculateur!DB45*Calculateur!DD45*VLOOKUP('Données projet'!$B$13,Paramètres!$A$1:$I$89,3,0)*0.475*44/12</f>
        <v>0</v>
      </c>
      <c r="DH45" s="21">
        <f>EXP(-LN(2)/2)*DH44+(1-EXP(-LN(2)/2))/(LN(2)/2)*DB45*DE45*VLOOKUP('Données projet'!$B$13,Paramètres!$A$1:$I$89,3,0)*0.475*44/12</f>
        <v>0</v>
      </c>
      <c r="DI45" s="22">
        <f t="shared" si="15"/>
        <v>2.5944173138240885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2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38.235600000000005</v>
      </c>
      <c r="D46" s="11">
        <f t="shared" si="32"/>
        <v>11.529771748983352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384.15374683425745</v>
      </c>
      <c r="H46" s="67">
        <f t="shared" si="1"/>
        <v>343.34135579614605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0</v>
      </c>
      <c r="N46" s="13">
        <f>IF('Données projet'!$A$36&gt;35,N45+M46-V45,IF(A46&lt;'Données projet'!$A$36,$K$205^A46,IF(A46='Données projet'!$A$36,'Données projet'!$B$36,N45+M46-V45)))</f>
        <v>0</v>
      </c>
      <c r="O46" s="13">
        <f>N46*VLOOKUP('Données projet'!$B$9,Paramètres!$A$1:$I$89,3,0)*VLOOKUP('Données projet'!$B$9,Paramètres!$A$1:$I$89,5,0)</f>
        <v>0</v>
      </c>
      <c r="P46" s="13" t="e">
        <f t="shared" si="33"/>
        <v>#NUM!</v>
      </c>
      <c r="Q46" s="20" t="e">
        <f t="shared" si="53"/>
        <v>#NUM!</v>
      </c>
      <c r="R46" s="59" t="e">
        <f t="shared" si="0"/>
        <v>#NUM!</v>
      </c>
      <c r="S46" s="59">
        <f ca="1">AVERAGE(OFFSET($R$3,0,0,'Données projet'!$E$9+1,1))-AVERAGE(OFFSET($H$3,0,0,'Données projet'!$E$9+1,1))</f>
        <v>101.15586831191774</v>
      </c>
      <c r="T46" s="59">
        <f t="shared" si="34"/>
        <v>346.96347336689064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31.500557896290491</v>
      </c>
      <c r="AA46" s="21">
        <f>EXP(-LN(2)/25)*AA45+(1-EXP(-LN(2)/25))/(LN(2)/25)*Calculateur!V46*Calculateur!X46*VLOOKUP('Données projet'!$B$9,Paramètres!$A$1:$I$89,3,0)*0.475*44/12</f>
        <v>11.500527319310565</v>
      </c>
      <c r="AB46" s="21">
        <f>EXP(-LN(2)/2)*AB45+(1-EXP(-LN(2)/2))/(LN(2)/2)*V46*Y46*VLOOKUP('Données projet'!$B$9,Paramètres!$A$1:$I$89,3,0)*0.475*44/12</f>
        <v>0</v>
      </c>
      <c r="AC46" s="22">
        <f t="shared" si="3"/>
        <v>43.001085215601059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0</v>
      </c>
      <c r="AI46" s="13">
        <f>IF('Données projet'!$A$62&gt;35,AI45+AH46-AQ45,IF(A46&lt;'Données projet'!$A$62,$AF$205^A46,IF(A46='Données projet'!$A$62,'Données projet'!$B$62,AI45+AH46-AQ45)))</f>
        <v>0</v>
      </c>
      <c r="AJ46" s="13">
        <f>AI46*VLOOKUP('Données projet'!$B$10,Paramètres!$A$1:$I$89,3,0)*VLOOKUP('Données projet'!$B$10,Paramètres!$A$1:$I$89,5,0)</f>
        <v>0</v>
      </c>
      <c r="AK46" s="13" t="e">
        <f t="shared" si="35"/>
        <v>#NUM!</v>
      </c>
      <c r="AL46" s="20" t="e">
        <f t="shared" si="4"/>
        <v>#NUM!</v>
      </c>
      <c r="AM46" s="59" t="e">
        <f t="shared" si="5"/>
        <v>#NUM!</v>
      </c>
      <c r="AN46" s="59">
        <f ca="1">AVERAGE(OFFSET($AM$3,0,0,'Données projet'!$E$10+1,1))-AVERAGE(OFFSET($H$3,0,0,'Données projet'!$E$10+1,1))</f>
        <v>101.15586831191774</v>
      </c>
      <c r="AO46" s="59">
        <f t="shared" si="36"/>
        <v>346.96347336689064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31.500557896290491</v>
      </c>
      <c r="AV46" s="21">
        <f>EXP(-LN(2)/25)*AV45+(1-EXP(-LN(2)/25))/(LN(2)/25)*Calculateur!AQ46*Calculateur!AS46*VLOOKUP('Données projet'!$B$10,Paramètres!$A$1:$I$89,3,0)*0.475*44/12</f>
        <v>11.500527319310565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43.001085215601059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11.4</v>
      </c>
      <c r="BD46" s="12">
        <f>IF('Données projet'!$A$88&gt;35,BD45+BC46-BL45,IF(A46&lt;'Données projet'!$A$88,$BA$205^A46,IF(A46='Données projet'!$A$88,'Données projet'!$B$88,BD45+BC46-BL45)))</f>
        <v>181.2</v>
      </c>
      <c r="BE46" s="13">
        <f>BD46*VLOOKUP('Données projet'!$B$11,Paramètres!$A$1:$I$89,3,0)*VLOOKUP('Données projet'!$B$11,Paramètres!$A$1:$I$89,5,0)</f>
        <v>163.94976</v>
      </c>
      <c r="BF46" s="13">
        <f t="shared" si="37"/>
        <v>41.732126457893308</v>
      </c>
      <c r="BG46" s="20">
        <f t="shared" si="7"/>
        <v>358.22928558083089</v>
      </c>
      <c r="BH46" s="59">
        <f t="shared" si="8"/>
        <v>651.5626189141642</v>
      </c>
      <c r="BI46" s="59">
        <f ca="1">AVERAGE(OFFSET($BH$3,0,0,'Données projet'!$E$11+1,1))-AVERAGE(OFFSET($H$3,0,0,'Données projet'!$E$11+1,1))</f>
        <v>352.62747127358324</v>
      </c>
      <c r="BJ46" s="59">
        <f t="shared" si="38"/>
        <v>283.16932763435011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2.2696224249049499</v>
      </c>
      <c r="BQ46" s="21">
        <f>EXP(-LN(2)/25)*BQ45+(1-EXP(-LN(2)/25))/(LN(2)/25)*Calculateur!BL46*Calculateur!BN46*VLOOKUP('Données projet'!$B$11,Paramètres!$A$1:$I$89,3,0)*0.475*44/12</f>
        <v>0</v>
      </c>
      <c r="BR46" s="21">
        <f>EXP(-LN(2)/2)*BR45+(1-EXP(-LN(2)/2))/(LN(2)/2)*BL46*BO46*VLOOKUP('Données projet'!$B$11,Paramètres!$A$1:$I$89,3,0)*0.475*44/12</f>
        <v>0</v>
      </c>
      <c r="BS46" s="22">
        <f t="shared" si="9"/>
        <v>2.2696224249049499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11.4</v>
      </c>
      <c r="BY46" s="12">
        <f>IF('Données projet'!$A$114&gt;35,BY45+BX46-CG45,IF(A46&lt;'Données projet'!$A$114,$BV$205^A46,IF(A46='Données projet'!$A$114,'Données projet'!$B$114,BY45+BX46-CG45)))</f>
        <v>181.2</v>
      </c>
      <c r="BZ46" s="13">
        <f>BY46*VLOOKUP('Données projet'!$B$12,Paramètres!$A$1:$I$89,3,0)*VLOOKUP('Données projet'!$B$12,Paramètres!$A$1:$I$89,5,0)</f>
        <v>189.39024000000001</v>
      </c>
      <c r="CA46" s="13">
        <f t="shared" si="39"/>
        <v>47.405118363050697</v>
      </c>
      <c r="CB46" s="20">
        <f t="shared" si="10"/>
        <v>412.41858248231324</v>
      </c>
      <c r="CC46" s="59">
        <f t="shared" si="11"/>
        <v>705.7519158156465</v>
      </c>
      <c r="CD46" s="59">
        <f ca="1">AVERAGE(OFFSET($CC$3,0,0,'Données projet'!$E$12+1,1))-AVERAGE(OFFSET($H$3,0,0,'Données projet'!$E$12+1,1))</f>
        <v>423.49657671419374</v>
      </c>
      <c r="CE46" s="59">
        <f t="shared" si="40"/>
        <v>329.6783569381081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2.6218052149764084</v>
      </c>
      <c r="CL46" s="21">
        <f>EXP(-LN(2)/25)*CL45+(1-EXP(-LN(2)/25))/(LN(2)/25)*Calculateur!CG46*Calculateur!CI46*VLOOKUP('Données projet'!$B$12,Paramètres!$A$1:$I$89,3,0)*0.475*44/12</f>
        <v>0</v>
      </c>
      <c r="CM46" s="21">
        <f>EXP(-LN(2)/2)*CM45+(1-EXP(-LN(2)/2))/(LN(2)/2)*CG46*CJ46*VLOOKUP('Données projet'!$B$12,Paramètres!$A$1:$I$89,3,0)*0.475*44/12</f>
        <v>0</v>
      </c>
      <c r="CN46" s="22">
        <f t="shared" si="12"/>
        <v>2.6218052149764084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11.4</v>
      </c>
      <c r="CT46" s="12">
        <f>IF('Données projet'!$A$140&gt;35,CT45+CS46-DB45,IF(A46&lt;'Données projet'!$A$140,$CQ$205^A46,IF(A46='Données projet'!$A$140,'Données projet'!$B$140,CT45+CS46-DB45)))</f>
        <v>181.2</v>
      </c>
      <c r="CU46" s="17">
        <f>CT46*VLOOKUP('Données projet'!$B$13,Paramètres!$A$1:$I$89,3,0)*VLOOKUP('Données projet'!$B$13,Paramètres!$A$1:$I$89,5,0)</f>
        <v>183.73680000000002</v>
      </c>
      <c r="CV46" s="13">
        <f t="shared" si="41"/>
        <v>46.152558509293854</v>
      </c>
      <c r="CW46" s="20">
        <f t="shared" si="13"/>
        <v>400.3906327370201</v>
      </c>
      <c r="CX46" s="59">
        <f t="shared" si="14"/>
        <v>693.72396607035341</v>
      </c>
      <c r="CY46" s="59">
        <f ca="1">AVERAGE(OFFSET($CX$3,0,0,'Données projet'!$E$13+1,1))-AVERAGE(OFFSET($H$3,0,0,'Données projet'!$E$13+1,1))</f>
        <v>407.76560346703042</v>
      </c>
      <c r="CZ46" s="59">
        <f t="shared" si="42"/>
        <v>319.35531375725202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2.5435423727383069</v>
      </c>
      <c r="DG46" s="21">
        <f>EXP(-LN(2)/25)*DG45+(1-EXP(-LN(2)/25))/(LN(2)/25)*Calculateur!DB46*Calculateur!DD46*VLOOKUP('Données projet'!$B$13,Paramètres!$A$1:$I$89,3,0)*0.475*44/12</f>
        <v>0</v>
      </c>
      <c r="DH46" s="21">
        <f>EXP(-LN(2)/2)*DH45+(1-EXP(-LN(2)/2))/(LN(2)/2)*DB46*DE46*VLOOKUP('Données projet'!$B$13,Paramètres!$A$1:$I$89,3,0)*0.475*44/12</f>
        <v>0</v>
      </c>
      <c r="DI46" s="22">
        <f t="shared" si="15"/>
        <v>2.5435423727383069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2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39.124800000000008</v>
      </c>
      <c r="D47" s="11">
        <f t="shared" si="32"/>
        <v>11.766377220171686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392.84417503290433</v>
      </c>
      <c r="H47" s="67">
        <f t="shared" si="1"/>
        <v>345.30213365846572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0</v>
      </c>
      <c r="N47" s="13">
        <f>IF('Données projet'!$A$36&gt;35,N46+M47-V46,IF(A47&lt;'Données projet'!$A$36,$K$205^A47,IF(A47='Données projet'!$A$36,'Données projet'!$B$36,N46+M47-V46)))</f>
        <v>0</v>
      </c>
      <c r="O47" s="13">
        <f>N47*VLOOKUP('Données projet'!$B$9,Paramètres!$A$1:$I$89,3,0)*VLOOKUP('Données projet'!$B$9,Paramètres!$A$1:$I$89,5,0)</f>
        <v>0</v>
      </c>
      <c r="P47" s="13" t="e">
        <f t="shared" si="33"/>
        <v>#NUM!</v>
      </c>
      <c r="Q47" s="20" t="e">
        <f t="shared" si="53"/>
        <v>#NUM!</v>
      </c>
      <c r="R47" s="59" t="e">
        <f t="shared" si="0"/>
        <v>#NUM!</v>
      </c>
      <c r="S47" s="59">
        <f ca="1">AVERAGE(OFFSET($R$3,0,0,'Données projet'!$E$9+1,1))-AVERAGE(OFFSET($H$3,0,0,'Données projet'!$E$9+1,1))</f>
        <v>101.15586831191774</v>
      </c>
      <c r="T47" s="59">
        <f t="shared" si="34"/>
        <v>346.96347336689064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30.882851169387383</v>
      </c>
      <c r="AA47" s="21">
        <f>EXP(-LN(2)/25)*AA46+(1-EXP(-LN(2)/25))/(LN(2)/25)*Calculateur!V47*Calculateur!X47*VLOOKUP('Données projet'!$B$9,Paramètres!$A$1:$I$89,3,0)*0.475*44/12</f>
        <v>11.186044794977571</v>
      </c>
      <c r="AB47" s="21">
        <f>EXP(-LN(2)/2)*AB46+(1-EXP(-LN(2)/2))/(LN(2)/2)*V47*Y47*VLOOKUP('Données projet'!$B$9,Paramètres!$A$1:$I$89,3,0)*0.475*44/12</f>
        <v>0</v>
      </c>
      <c r="AC47" s="22">
        <f t="shared" si="3"/>
        <v>42.068895964364955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0</v>
      </c>
      <c r="AI47" s="13">
        <f>IF('Données projet'!$A$62&gt;35,AI46+AH47-AQ46,IF(A47&lt;'Données projet'!$A$62,$AF$205^A47,IF(A47='Données projet'!$A$62,'Données projet'!$B$62,AI46+AH47-AQ46)))</f>
        <v>0</v>
      </c>
      <c r="AJ47" s="13">
        <f>AI47*VLOOKUP('Données projet'!$B$10,Paramètres!$A$1:$I$89,3,0)*VLOOKUP('Données projet'!$B$10,Paramètres!$A$1:$I$89,5,0)</f>
        <v>0</v>
      </c>
      <c r="AK47" s="13" t="e">
        <f t="shared" si="35"/>
        <v>#NUM!</v>
      </c>
      <c r="AL47" s="20" t="e">
        <f t="shared" si="4"/>
        <v>#NUM!</v>
      </c>
      <c r="AM47" s="59" t="e">
        <f t="shared" si="5"/>
        <v>#NUM!</v>
      </c>
      <c r="AN47" s="59">
        <f ca="1">AVERAGE(OFFSET($AM$3,0,0,'Données projet'!$E$10+1,1))-AVERAGE(OFFSET($H$3,0,0,'Données projet'!$E$10+1,1))</f>
        <v>101.15586831191774</v>
      </c>
      <c r="AO47" s="59">
        <f t="shared" si="36"/>
        <v>346.96347336689064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30.882851169387383</v>
      </c>
      <c r="AV47" s="21">
        <f>EXP(-LN(2)/25)*AV46+(1-EXP(-LN(2)/25))/(LN(2)/25)*Calculateur!AQ47*Calculateur!AS47*VLOOKUP('Données projet'!$B$10,Paramètres!$A$1:$I$89,3,0)*0.475*44/12</f>
        <v>11.186044794977571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42.068895964364955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11.4</v>
      </c>
      <c r="BD47" s="12">
        <f>IF('Données projet'!$A$88&gt;35,BD46+BC47-BL46,IF(A47&lt;'Données projet'!$A$88,$BA$205^A47,IF(A47='Données projet'!$A$88,'Données projet'!$B$88,BD46+BC47-BL46)))</f>
        <v>192.6</v>
      </c>
      <c r="BE47" s="13">
        <f>BD47*VLOOKUP('Données projet'!$B$11,Paramètres!$A$1:$I$89,3,0)*VLOOKUP('Données projet'!$B$11,Paramètres!$A$1:$I$89,5,0)</f>
        <v>174.26447999999999</v>
      </c>
      <c r="BF47" s="13">
        <f t="shared" si="37"/>
        <v>44.043743683739521</v>
      </c>
      <c r="BG47" s="20">
        <f t="shared" si="7"/>
        <v>380.22015624917964</v>
      </c>
      <c r="BH47" s="59">
        <f t="shared" si="8"/>
        <v>673.55348958251295</v>
      </c>
      <c r="BI47" s="59">
        <f ca="1">AVERAGE(OFFSET($BH$3,0,0,'Données projet'!$E$11+1,1))-AVERAGE(OFFSET($H$3,0,0,'Données projet'!$E$11+1,1))</f>
        <v>352.62747127358324</v>
      </c>
      <c r="BJ47" s="59">
        <f t="shared" si="38"/>
        <v>283.16932763435011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2.2251165134855517</v>
      </c>
      <c r="BQ47" s="21">
        <f>EXP(-LN(2)/25)*BQ46+(1-EXP(-LN(2)/25))/(LN(2)/25)*Calculateur!BL47*Calculateur!BN47*VLOOKUP('Données projet'!$B$11,Paramètres!$A$1:$I$89,3,0)*0.475*44/12</f>
        <v>0</v>
      </c>
      <c r="BR47" s="21">
        <f>EXP(-LN(2)/2)*BR46+(1-EXP(-LN(2)/2))/(LN(2)/2)*BL47*BO47*VLOOKUP('Données projet'!$B$11,Paramètres!$A$1:$I$89,3,0)*0.475*44/12</f>
        <v>0</v>
      </c>
      <c r="BS47" s="22">
        <f t="shared" si="9"/>
        <v>2.2251165134855517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11.4</v>
      </c>
      <c r="BY47" s="12">
        <f>IF('Données projet'!$A$114&gt;35,BY46+BX47-CG46,IF(A47&lt;'Données projet'!$A$114,$BV$205^A47,IF(A47='Données projet'!$A$114,'Données projet'!$B$114,BY46+BX47-CG46)))</f>
        <v>192.6</v>
      </c>
      <c r="BZ47" s="13">
        <f>BY47*VLOOKUP('Données projet'!$B$12,Paramètres!$A$1:$I$89,3,0)*VLOOKUP('Données projet'!$B$12,Paramètres!$A$1:$I$89,5,0)</f>
        <v>201.30552</v>
      </c>
      <c r="CA47" s="13">
        <f t="shared" si="39"/>
        <v>50.030972770730415</v>
      </c>
      <c r="CB47" s="20">
        <f t="shared" si="10"/>
        <v>437.74439157568878</v>
      </c>
      <c r="CC47" s="59">
        <f t="shared" si="11"/>
        <v>731.07772490902209</v>
      </c>
      <c r="CD47" s="59">
        <f ca="1">AVERAGE(OFFSET($CC$3,0,0,'Données projet'!$E$12+1,1))-AVERAGE(OFFSET($H$3,0,0,'Données projet'!$E$12+1,1))</f>
        <v>423.49657671419374</v>
      </c>
      <c r="CE47" s="59">
        <f t="shared" si="40"/>
        <v>329.6783569381081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2.570393213854</v>
      </c>
      <c r="CL47" s="21">
        <f>EXP(-LN(2)/25)*CL46+(1-EXP(-LN(2)/25))/(LN(2)/25)*Calculateur!CG47*Calculateur!CI47*VLOOKUP('Données projet'!$B$12,Paramètres!$A$1:$I$89,3,0)*0.475*44/12</f>
        <v>0</v>
      </c>
      <c r="CM47" s="21">
        <f>EXP(-LN(2)/2)*CM46+(1-EXP(-LN(2)/2))/(LN(2)/2)*CG47*CJ47*VLOOKUP('Données projet'!$B$12,Paramètres!$A$1:$I$89,3,0)*0.475*44/12</f>
        <v>0</v>
      </c>
      <c r="CN47" s="22">
        <f t="shared" si="12"/>
        <v>2.570393213854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11.4</v>
      </c>
      <c r="CT47" s="12">
        <f>IF('Données projet'!$A$140&gt;35,CT46+CS47-DB46,IF(A47&lt;'Données projet'!$A$140,$CQ$205^A47,IF(A47='Données projet'!$A$140,'Données projet'!$B$140,CT46+CS47-DB46)))</f>
        <v>192.6</v>
      </c>
      <c r="CU47" s="17">
        <f>CT47*VLOOKUP('Données projet'!$B$13,Paramètres!$A$1:$I$89,3,0)*VLOOKUP('Données projet'!$B$13,Paramètres!$A$1:$I$89,5,0)</f>
        <v>195.29640000000001</v>
      </c>
      <c r="CV47" s="13">
        <f t="shared" si="41"/>
        <v>48.709031383366153</v>
      </c>
      <c r="CW47" s="20">
        <f t="shared" si="13"/>
        <v>424.97612632602937</v>
      </c>
      <c r="CX47" s="59">
        <f t="shared" si="14"/>
        <v>718.30945965936269</v>
      </c>
      <c r="CY47" s="59">
        <f ca="1">AVERAGE(OFFSET($CX$3,0,0,'Données projet'!$E$13+1,1))-AVERAGE(OFFSET($H$3,0,0,'Données projet'!$E$13+1,1))</f>
        <v>407.76560346703042</v>
      </c>
      <c r="CZ47" s="59">
        <f t="shared" si="42"/>
        <v>319.35531375725202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projet'!$B$13,Paramètres!$A$1:$I$89,3,0)*0.475*44/12</f>
        <v>2.4936650582165671</v>
      </c>
      <c r="DG47" s="21">
        <f>EXP(-LN(2)/25)*DG46+(1-EXP(-LN(2)/25))/(LN(2)/25)*Calculateur!DB47*Calculateur!DD47*VLOOKUP('Données projet'!$B$13,Paramètres!$A$1:$I$89,3,0)*0.475*44/12</f>
        <v>0</v>
      </c>
      <c r="DH47" s="21">
        <f>EXP(-LN(2)/2)*DH46+(1-EXP(-LN(2)/2))/(LN(2)/2)*DB47*DE47*VLOOKUP('Données projet'!$B$13,Paramètres!$A$1:$I$89,3,0)*0.475*44/12</f>
        <v>0</v>
      </c>
      <c r="DI47" s="22">
        <f t="shared" si="15"/>
        <v>2.4936650582165671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2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40.01400000000001</v>
      </c>
      <c r="D48" s="11">
        <f t="shared" si="32"/>
        <v>12.002357532661732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401.52977744510821</v>
      </c>
      <c r="H48" s="67">
        <f t="shared" si="1"/>
        <v>347.2618227027192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0</v>
      </c>
      <c r="N48" s="13">
        <f>IF('Données projet'!$A$36&gt;35,N47+M48-V47,IF(A48&lt;'Données projet'!$A$36,$K$205^A48,IF(A48='Données projet'!$A$36,'Données projet'!$B$36,N47+M48-V47)))</f>
        <v>0</v>
      </c>
      <c r="O48" s="13">
        <f>N48*VLOOKUP('Données projet'!$B$9,Paramètres!$A$1:$I$89,3,0)*VLOOKUP('Données projet'!$B$9,Paramètres!$A$1:$I$89,5,0)</f>
        <v>0</v>
      </c>
      <c r="P48" s="13" t="e">
        <f t="shared" si="33"/>
        <v>#NUM!</v>
      </c>
      <c r="Q48" s="20" t="e">
        <f t="shared" si="53"/>
        <v>#NUM!</v>
      </c>
      <c r="R48" s="59" t="e">
        <f t="shared" si="0"/>
        <v>#NUM!</v>
      </c>
      <c r="S48" s="59">
        <f ca="1">AVERAGE(OFFSET($R$3,0,0,'Données projet'!$E$9+1,1))-AVERAGE(OFFSET($H$3,0,0,'Données projet'!$E$9+1,1))</f>
        <v>101.15586831191774</v>
      </c>
      <c r="T48" s="59">
        <f t="shared" si="34"/>
        <v>346.96347336689064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30.277257294634943</v>
      </c>
      <c r="AA48" s="21">
        <f>EXP(-LN(2)/25)*AA47+(1-EXP(-LN(2)/25))/(LN(2)/25)*Calculateur!V48*Calculateur!X48*VLOOKUP('Données projet'!$B$9,Paramètres!$A$1:$I$89,3,0)*0.475*44/12</f>
        <v>10.88016181181038</v>
      </c>
      <c r="AB48" s="21">
        <f>EXP(-LN(2)/2)*AB47+(1-EXP(-LN(2)/2))/(LN(2)/2)*V48*Y48*VLOOKUP('Données projet'!$B$9,Paramètres!$A$1:$I$89,3,0)*0.475*44/12</f>
        <v>0</v>
      </c>
      <c r="AC48" s="22">
        <f t="shared" si="3"/>
        <v>41.157419106445325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0</v>
      </c>
      <c r="AI48" s="13">
        <f>IF('Données projet'!$A$62&gt;35,AI47+AH48-AQ47,IF(A48&lt;'Données projet'!$A$62,$AF$205^A48,IF(A48='Données projet'!$A$62,'Données projet'!$B$62,AI47+AH48-AQ47)))</f>
        <v>0</v>
      </c>
      <c r="AJ48" s="13">
        <f>AI48*VLOOKUP('Données projet'!$B$10,Paramètres!$A$1:$I$89,3,0)*VLOOKUP('Données projet'!$B$10,Paramètres!$A$1:$I$89,5,0)</f>
        <v>0</v>
      </c>
      <c r="AK48" s="13" t="e">
        <f t="shared" si="35"/>
        <v>#NUM!</v>
      </c>
      <c r="AL48" s="20" t="e">
        <f t="shared" si="4"/>
        <v>#NUM!</v>
      </c>
      <c r="AM48" s="59" t="e">
        <f t="shared" si="5"/>
        <v>#NUM!</v>
      </c>
      <c r="AN48" s="59">
        <f ca="1">AVERAGE(OFFSET($AM$3,0,0,'Données projet'!$E$10+1,1))-AVERAGE(OFFSET($H$3,0,0,'Données projet'!$E$10+1,1))</f>
        <v>101.15586831191774</v>
      </c>
      <c r="AO48" s="59">
        <f t="shared" si="36"/>
        <v>346.96347336689064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30.277257294634943</v>
      </c>
      <c r="AV48" s="21">
        <f>EXP(-LN(2)/25)*AV47+(1-EXP(-LN(2)/25))/(LN(2)/25)*Calculateur!AQ48*Calculateur!AS48*VLOOKUP('Données projet'!$B$10,Paramètres!$A$1:$I$89,3,0)*0.475*44/12</f>
        <v>10.88016181181038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41.157419106445325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>
        <f>VLOOKUP(A48,'Données projet'!$A$87:$I$107,2,0)</f>
        <v>204</v>
      </c>
      <c r="BB48" s="12">
        <f>VLOOKUP(A48,'Données projet'!$A$87:$I$107,9,0)</f>
        <v>11.4</v>
      </c>
      <c r="BC48" s="12">
        <f t="array" ref="BC48">INDEX(BB:BB,MIN(IF(ISNUMBER(BB48:BB244),ROW(BB48:BB244),"")))</f>
        <v>11.4</v>
      </c>
      <c r="BD48" s="12">
        <f>IF('Données projet'!$A$88&gt;35,BD47+BC48-BL47,IF(A48&lt;'Données projet'!$A$88,$BA$205^A48,IF(A48='Données projet'!$A$88,'Données projet'!$B$88,BD47+BC48-BL47)))</f>
        <v>204</v>
      </c>
      <c r="BE48" s="13">
        <f>BD48*VLOOKUP('Données projet'!$B$11,Paramètres!$A$1:$I$89,3,0)*VLOOKUP('Données projet'!$B$11,Paramètres!$A$1:$I$89,5,0)</f>
        <v>184.57919999999999</v>
      </c>
      <c r="BF48" s="13">
        <f t="shared" si="37"/>
        <v>46.339479465836618</v>
      </c>
      <c r="BG48" s="20">
        <f t="shared" si="7"/>
        <v>402.18336673633206</v>
      </c>
      <c r="BH48" s="59">
        <f t="shared" si="8"/>
        <v>695.51670006966538</v>
      </c>
      <c r="BI48" s="59">
        <f ca="1">AVERAGE(OFFSET($BH$3,0,0,'Données projet'!$E$11+1,1))-AVERAGE(OFFSET($H$3,0,0,'Données projet'!$E$11+1,1))</f>
        <v>352.62747127358324</v>
      </c>
      <c r="BJ48" s="59">
        <f t="shared" si="38"/>
        <v>283.16932763435011</v>
      </c>
      <c r="BK48" s="15">
        <f>IF(ISNA(VLOOKUP(A48,'Données projet'!$A$87:$I$107,3,0)),0,VLOOKUP(A48,'Données projet'!$A$87:$I$107,3,0))</f>
        <v>6</v>
      </c>
      <c r="BL48" s="15">
        <f>IF(ISNA(VLOOKUP(A48,'Données projet'!$A$87:$I$107,4,0)),0,VLOOKUP(A48,'Données projet'!$A$87:$I$107,4,0))</f>
        <v>28</v>
      </c>
      <c r="BM48" s="16">
        <f>IF(ISNA(VLOOKUP(A48,'Données projet'!$A$87:$I$107,5,0)),0%,VLOOKUP(A48,'Données projet'!$A$87:$I$107,5,0)*VLOOKUP('Données projet'!$B$11,Paramètres!$A$1:$I$89,7,0))</f>
        <v>8.6000000000000007E-2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4.590036211201765</v>
      </c>
      <c r="BQ48" s="21">
        <f>EXP(-LN(2)/25)*BQ47+(1-EXP(-LN(2)/25))/(LN(2)/25)*Calculateur!BL48*Calculateur!BN48*VLOOKUP('Données projet'!$B$11,Paramètres!$A$1:$I$89,3,0)*0.475*44/12</f>
        <v>0</v>
      </c>
      <c r="BR48" s="21">
        <f>EXP(-LN(2)/2)*BR47+(1-EXP(-LN(2)/2))/(LN(2)/2)*BL48*BO48*VLOOKUP('Données projet'!$B$11,Paramètres!$A$1:$I$89,3,0)*0.475*44/12</f>
        <v>0</v>
      </c>
      <c r="BS48" s="22">
        <f t="shared" si="9"/>
        <v>4.590036211201765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>
        <f>VLOOKUP(A48,'Données projet'!$A$113:$I$133,2,0)</f>
        <v>204</v>
      </c>
      <c r="BW48" s="12">
        <f>VLOOKUP(A48,'Données projet'!$A$113:$I$133,9,0)</f>
        <v>11.4</v>
      </c>
      <c r="BX48" s="12">
        <f t="array" ref="BX48">INDEX(BW:BW,MIN(IF(ISNUMBER(BW48:BW244),ROW(BW48:BW244),"")))</f>
        <v>11.4</v>
      </c>
      <c r="BY48" s="12">
        <f>IF('Données projet'!$A$114&gt;35,BY47+BX48-CG47,IF(A48&lt;'Données projet'!$A$114,$BV$205^A48,IF(A48='Données projet'!$A$114,'Données projet'!$B$114,BY47+BX48-CG47)))</f>
        <v>204</v>
      </c>
      <c r="BZ48" s="13">
        <f>BY48*VLOOKUP('Données projet'!$B$12,Paramètres!$A$1:$I$89,3,0)*VLOOKUP('Données projet'!$B$12,Paramètres!$A$1:$I$89,5,0)</f>
        <v>213.22080000000003</v>
      </c>
      <c r="CA48" s="13">
        <f t="shared" si="39"/>
        <v>52.638786839117614</v>
      </c>
      <c r="CB48" s="20">
        <f t="shared" si="10"/>
        <v>463.03878041146322</v>
      </c>
      <c r="CC48" s="59">
        <f t="shared" si="11"/>
        <v>756.37211374479648</v>
      </c>
      <c r="CD48" s="59">
        <f ca="1">AVERAGE(OFFSET($CC$3,0,0,'Données projet'!$E$12+1,1))-AVERAGE(OFFSET($H$3,0,0,'Données projet'!$E$12+1,1))</f>
        <v>423.49657671419374</v>
      </c>
      <c r="CE48" s="59">
        <f t="shared" si="40"/>
        <v>329.6783569381081</v>
      </c>
      <c r="CF48" s="15">
        <f>IF(ISNA(VLOOKUP(A48,'Données projet'!$A$113:$I$133,3,0)),0,VLOOKUP(A48,'Données projet'!$A$113:$I$133,3,0))</f>
        <v>6</v>
      </c>
      <c r="CG48" s="15">
        <f>IF(ISNA(VLOOKUP(A48,'Données projet'!$A$113:$I$133,4,0)),0,VLOOKUP(A48,'Données projet'!$A$113:$I$133,4,0))</f>
        <v>28</v>
      </c>
      <c r="CH48" s="16">
        <f>IF(ISNA(VLOOKUP(A48,'Données projet'!$A$113:$I$133,5,0)),0%,VLOOKUP(A48,'Données projet'!$A$113:$I$133,5,0)*VLOOKUP('Données projet'!$B$12,Paramètres!$A$1:$I$89,7,0))</f>
        <v>8.6000000000000007E-2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5.3022832094916961</v>
      </c>
      <c r="CL48" s="21">
        <f>EXP(-LN(2)/25)*CL47+(1-EXP(-LN(2)/25))/(LN(2)/25)*Calculateur!CG48*Calculateur!CI48*VLOOKUP('Données projet'!$B$12,Paramètres!$A$1:$I$89,3,0)*0.475*44/12</f>
        <v>0</v>
      </c>
      <c r="CM48" s="21">
        <f>EXP(-LN(2)/2)*CM47+(1-EXP(-LN(2)/2))/(LN(2)/2)*CG48*CJ48*VLOOKUP('Données projet'!$B$12,Paramètres!$A$1:$I$89,3,0)*0.475*44/12</f>
        <v>0</v>
      </c>
      <c r="CN48" s="22">
        <f t="shared" si="12"/>
        <v>5.3022832094916961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>
        <f>VLOOKUP(A48,'Données projet'!$A$139:$I$159,2,0)</f>
        <v>204</v>
      </c>
      <c r="CR48" s="12">
        <f>VLOOKUP(A48,'Données projet'!$A$139:$I$159,9,0)</f>
        <v>11.4</v>
      </c>
      <c r="CS48" s="12">
        <f t="array" ref="CS48">INDEX(CR:CR,MIN(IF(ISNUMBER(CR48:CR244),ROW(CR48:CR244),"")))</f>
        <v>11.4</v>
      </c>
      <c r="CT48" s="12">
        <f>IF('Données projet'!$A$140&gt;35,CT47+CS48-DB47,IF(A48&lt;'Données projet'!$A$140,$CQ$205^A48,IF(A48='Données projet'!$A$140,'Données projet'!$B$140,CT47+CS48-DB47)))</f>
        <v>204</v>
      </c>
      <c r="CU48" s="17">
        <f>CT48*VLOOKUP('Données projet'!$B$13,Paramètres!$A$1:$I$89,3,0)*VLOOKUP('Données projet'!$B$13,Paramètres!$A$1:$I$89,5,0)</f>
        <v>206.85599999999999</v>
      </c>
      <c r="CV48" s="13">
        <f t="shared" si="41"/>
        <v>51.247940588293027</v>
      </c>
      <c r="CW48" s="20">
        <f t="shared" si="13"/>
        <v>449.53102985794368</v>
      </c>
      <c r="CX48" s="59">
        <f t="shared" si="14"/>
        <v>742.86436319127699</v>
      </c>
      <c r="CY48" s="59">
        <f ca="1">AVERAGE(OFFSET($CX$3,0,0,'Données projet'!$E$13+1,1))-AVERAGE(OFFSET($H$3,0,0,'Données projet'!$E$13+1,1))</f>
        <v>407.76560346703042</v>
      </c>
      <c r="CZ48" s="59">
        <f t="shared" si="42"/>
        <v>319.35531375725202</v>
      </c>
      <c r="DA48" s="15">
        <f>IF(ISNA(VLOOKUP(A48,'Données projet'!$A$139:$I$159,3,0)),0,VLOOKUP(A48,'Données projet'!$A$139:$I$159,3,0))</f>
        <v>6</v>
      </c>
      <c r="DB48" s="15">
        <f>IF(ISNA(VLOOKUP(A48,'Données projet'!$A$139:$I$159,4,0)),0,VLOOKUP(A48,'Données projet'!$A$139:$I$159,4,0))</f>
        <v>28</v>
      </c>
      <c r="DC48" s="16">
        <f>IF(ISNA(VLOOKUP(A48,'Données projet'!$A$139:$I$159,5,0)),0%,VLOOKUP(A48,'Données projet'!$A$139:$I$159,5,0)*VLOOKUP('Données projet'!$B$13,Paramètres!$A$1:$I$89,7,0))</f>
        <v>8.6000000000000007E-2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>
        <f>EXP(-LN(2)/35)*DF47+(1-EXP(-LN(2)/35))/(LN(2)/35)*DB48*DC48*VLOOKUP('Données projet'!$B$13,Paramètres!$A$1:$I$89,3,0)*0.475*44/12</f>
        <v>5.1440060987606007</v>
      </c>
      <c r="DG48" s="21">
        <f>EXP(-LN(2)/25)*DG47+(1-EXP(-LN(2)/25))/(LN(2)/25)*Calculateur!DB48*Calculateur!DD48*VLOOKUP('Données projet'!$B$13,Paramètres!$A$1:$I$89,3,0)*0.475*44/12</f>
        <v>0</v>
      </c>
      <c r="DH48" s="21">
        <f>EXP(-LN(2)/2)*DH47+(1-EXP(-LN(2)/2))/(LN(2)/2)*DB48*DE48*VLOOKUP('Données projet'!$B$13,Paramètres!$A$1:$I$89,3,0)*0.475*44/12</f>
        <v>0</v>
      </c>
      <c r="DI48" s="22">
        <f t="shared" si="15"/>
        <v>5.1440060987606007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2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40.903200000000012</v>
      </c>
      <c r="D49" s="11">
        <f t="shared" si="32"/>
        <v>12.237728178480605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410.21067365844692</v>
      </c>
      <c r="H49" s="67">
        <f t="shared" si="1"/>
        <v>349.22044991085374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0</v>
      </c>
      <c r="N49" s="13">
        <f>IF('Données projet'!$A$36&gt;35,N48+M49-V48,IF(A49&lt;'Données projet'!$A$36,$K$205^A49,IF(A49='Données projet'!$A$36,'Données projet'!$B$36,N48+M49-V48)))</f>
        <v>0</v>
      </c>
      <c r="O49" s="13">
        <f>N49*VLOOKUP('Données projet'!$B$9,Paramètres!$A$1:$I$89,3,0)*VLOOKUP('Données projet'!$B$9,Paramètres!$A$1:$I$89,5,0)</f>
        <v>0</v>
      </c>
      <c r="P49" s="13" t="e">
        <f t="shared" si="33"/>
        <v>#NUM!</v>
      </c>
      <c r="Q49" s="20" t="e">
        <f t="shared" si="53"/>
        <v>#NUM!</v>
      </c>
      <c r="R49" s="59" t="e">
        <f t="shared" si="0"/>
        <v>#NUM!</v>
      </c>
      <c r="S49" s="59">
        <f ca="1">AVERAGE(OFFSET($R$3,0,0,'Données projet'!$E$9+1,1))-AVERAGE(OFFSET($H$3,0,0,'Données projet'!$E$9+1,1))</f>
        <v>101.15586831191774</v>
      </c>
      <c r="T49" s="59">
        <f t="shared" si="34"/>
        <v>346.96347336689064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29.683538746390607</v>
      </c>
      <c r="AA49" s="21">
        <f>EXP(-LN(2)/25)*AA48+(1-EXP(-LN(2)/25))/(LN(2)/25)*Calculateur!V49*Calculateur!X49*VLOOKUP('Données projet'!$B$9,Paramètres!$A$1:$I$89,3,0)*0.475*44/12</f>
        <v>10.582643214903582</v>
      </c>
      <c r="AB49" s="21">
        <f>EXP(-LN(2)/2)*AB48+(1-EXP(-LN(2)/2))/(LN(2)/2)*V49*Y49*VLOOKUP('Données projet'!$B$9,Paramètres!$A$1:$I$89,3,0)*0.475*44/12</f>
        <v>0</v>
      </c>
      <c r="AC49" s="22">
        <f t="shared" si="3"/>
        <v>40.266181961294187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0</v>
      </c>
      <c r="AI49" s="13">
        <f>IF('Données projet'!$A$62&gt;35,AI48+AH49-AQ48,IF(A49&lt;'Données projet'!$A$62,$AF$205^A49,IF(A49='Données projet'!$A$62,'Données projet'!$B$62,AI48+AH49-AQ48)))</f>
        <v>0</v>
      </c>
      <c r="AJ49" s="13">
        <f>AI49*VLOOKUP('Données projet'!$B$10,Paramètres!$A$1:$I$89,3,0)*VLOOKUP('Données projet'!$B$10,Paramètres!$A$1:$I$89,5,0)</f>
        <v>0</v>
      </c>
      <c r="AK49" s="13" t="e">
        <f t="shared" si="35"/>
        <v>#NUM!</v>
      </c>
      <c r="AL49" s="20" t="e">
        <f t="shared" si="4"/>
        <v>#NUM!</v>
      </c>
      <c r="AM49" s="59" t="e">
        <f t="shared" si="5"/>
        <v>#NUM!</v>
      </c>
      <c r="AN49" s="59">
        <f ca="1">AVERAGE(OFFSET($AM$3,0,0,'Données projet'!$E$10+1,1))-AVERAGE(OFFSET($H$3,0,0,'Données projet'!$E$10+1,1))</f>
        <v>101.15586831191774</v>
      </c>
      <c r="AO49" s="59">
        <f t="shared" si="36"/>
        <v>346.96347336689064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29.683538746390607</v>
      </c>
      <c r="AV49" s="21">
        <f>EXP(-LN(2)/25)*AV48+(1-EXP(-LN(2)/25))/(LN(2)/25)*Calculateur!AQ49*Calculateur!AS49*VLOOKUP('Données projet'!$B$10,Paramètres!$A$1:$I$89,3,0)*0.475*44/12</f>
        <v>10.582643214903582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40.266181961294187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11</v>
      </c>
      <c r="BD49" s="12">
        <f>IF('Données projet'!$A$88&gt;35,BD48+BC49-BL48,IF(A49&lt;'Données projet'!$A$88,$BA$205^A49,IF(A49='Données projet'!$A$88,'Données projet'!$B$88,BD48+BC49-BL48)))</f>
        <v>187</v>
      </c>
      <c r="BE49" s="13">
        <f>BD49*VLOOKUP('Données projet'!$B$11,Paramètres!$A$1:$I$89,3,0)*VLOOKUP('Données projet'!$B$11,Paramètres!$A$1:$I$89,5,0)</f>
        <v>169.19759999999999</v>
      </c>
      <c r="BF49" s="13">
        <f t="shared" si="37"/>
        <v>42.910263223432885</v>
      </c>
      <c r="BG49" s="20">
        <f t="shared" si="7"/>
        <v>369.42119511414558</v>
      </c>
      <c r="BH49" s="59">
        <f t="shared" si="8"/>
        <v>662.75452844747883</v>
      </c>
      <c r="BI49" s="59">
        <f ca="1">AVERAGE(OFFSET($BH$3,0,0,'Données projet'!$E$11+1,1))-AVERAGE(OFFSET($H$3,0,0,'Données projet'!$E$11+1,1))</f>
        <v>352.62747127358324</v>
      </c>
      <c r="BJ49" s="59">
        <f t="shared" si="38"/>
        <v>283.16932763435011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4.5000284007457454</v>
      </c>
      <c r="BQ49" s="21">
        <f>EXP(-LN(2)/25)*BQ48+(1-EXP(-LN(2)/25))/(LN(2)/25)*Calculateur!BL49*Calculateur!BN49*VLOOKUP('Données projet'!$B$11,Paramètres!$A$1:$I$89,3,0)*0.475*44/12</f>
        <v>0</v>
      </c>
      <c r="BR49" s="21">
        <f>EXP(-LN(2)/2)*BR48+(1-EXP(-LN(2)/2))/(LN(2)/2)*BL49*BO49*VLOOKUP('Données projet'!$B$11,Paramètres!$A$1:$I$89,3,0)*0.475*44/12</f>
        <v>0</v>
      </c>
      <c r="BS49" s="22">
        <f t="shared" si="9"/>
        <v>4.5000284007457454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11</v>
      </c>
      <c r="BY49" s="12">
        <f>IF('Données projet'!$A$114&gt;35,BY48+BX49-CG48,IF(A49&lt;'Données projet'!$A$114,$BV$205^A49,IF(A49='Données projet'!$A$114,'Données projet'!$B$114,BY48+BX49-CG48)))</f>
        <v>187</v>
      </c>
      <c r="BZ49" s="13">
        <f>BY49*VLOOKUP('Données projet'!$B$12,Paramètres!$A$1:$I$89,3,0)*VLOOKUP('Données projet'!$B$12,Paramètres!$A$1:$I$89,5,0)</f>
        <v>195.45240000000001</v>
      </c>
      <c r="CA49" s="13">
        <f t="shared" si="39"/>
        <v>48.743408969320619</v>
      </c>
      <c r="CB49" s="20">
        <f t="shared" si="10"/>
        <v>425.30770062156677</v>
      </c>
      <c r="CC49" s="59">
        <f t="shared" si="11"/>
        <v>718.64103395490008</v>
      </c>
      <c r="CD49" s="59">
        <f ca="1">AVERAGE(OFFSET($CC$3,0,0,'Données projet'!$E$12+1,1))-AVERAGE(OFFSET($H$3,0,0,'Données projet'!$E$12+1,1))</f>
        <v>423.49657671419374</v>
      </c>
      <c r="CE49" s="59">
        <f t="shared" si="40"/>
        <v>329.6783569381081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5.1983086698269831</v>
      </c>
      <c r="CL49" s="21">
        <f>EXP(-LN(2)/25)*CL48+(1-EXP(-LN(2)/25))/(LN(2)/25)*Calculateur!CG49*Calculateur!CI49*VLOOKUP('Données projet'!$B$12,Paramètres!$A$1:$I$89,3,0)*0.475*44/12</f>
        <v>0</v>
      </c>
      <c r="CM49" s="21">
        <f>EXP(-LN(2)/2)*CM48+(1-EXP(-LN(2)/2))/(LN(2)/2)*CG49*CJ49*VLOOKUP('Données projet'!$B$12,Paramètres!$A$1:$I$89,3,0)*0.475*44/12</f>
        <v>0</v>
      </c>
      <c r="CN49" s="22">
        <f t="shared" si="12"/>
        <v>5.1983086698269831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11</v>
      </c>
      <c r="CT49" s="12">
        <f>IF('Données projet'!$A$140&gt;35,CT48+CS49-DB48,IF(A49&lt;'Données projet'!$A$140,$CQ$205^A49,IF(A49='Données projet'!$A$140,'Données projet'!$B$140,CT48+CS49-DB48)))</f>
        <v>187</v>
      </c>
      <c r="CU49" s="17">
        <f>CT49*VLOOKUP('Données projet'!$B$13,Paramètres!$A$1:$I$89,3,0)*VLOOKUP('Données projet'!$B$13,Paramètres!$A$1:$I$89,5,0)</f>
        <v>189.61799999999999</v>
      </c>
      <c r="CV49" s="13">
        <f t="shared" si="41"/>
        <v>47.4554881852685</v>
      </c>
      <c r="CW49" s="20">
        <f t="shared" si="13"/>
        <v>412.90299192267594</v>
      </c>
      <c r="CX49" s="59">
        <f t="shared" si="14"/>
        <v>706.2363252560092</v>
      </c>
      <c r="CY49" s="59">
        <f ca="1">AVERAGE(OFFSET($CX$3,0,0,'Données projet'!$E$13+1,1))-AVERAGE(OFFSET($H$3,0,0,'Données projet'!$E$13+1,1))</f>
        <v>407.76560346703042</v>
      </c>
      <c r="CZ49" s="59">
        <f t="shared" si="42"/>
        <v>319.35531375725202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5.0431352766978197</v>
      </c>
      <c r="DG49" s="21">
        <f>EXP(-LN(2)/25)*DG48+(1-EXP(-LN(2)/25))/(LN(2)/25)*Calculateur!DB49*Calculateur!DD49*VLOOKUP('Données projet'!$B$13,Paramètres!$A$1:$I$89,3,0)*0.475*44/12</f>
        <v>0</v>
      </c>
      <c r="DH49" s="21">
        <f>EXP(-LN(2)/2)*DH48+(1-EXP(-LN(2)/2))/(LN(2)/2)*DB49*DE49*VLOOKUP('Données projet'!$B$13,Paramètres!$A$1:$I$89,3,0)*0.475*44/12</f>
        <v>0</v>
      </c>
      <c r="DI49" s="22">
        <f t="shared" si="15"/>
        <v>5.0431352766978197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2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41.792400000000015</v>
      </c>
      <c r="D50" s="11">
        <f t="shared" si="32"/>
        <v>12.472503937619972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418.88697776408418</v>
      </c>
      <c r="H50" s="67">
        <f t="shared" si="1"/>
        <v>351.17804102468818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0</v>
      </c>
      <c r="N50" s="13">
        <f>IF('Données projet'!$A$36&gt;35,N49+M50-V49,IF(A50&lt;'Données projet'!$A$36,$K$205^A50,IF(A50='Données projet'!$A$36,'Données projet'!$B$36,N49+M50-V49)))</f>
        <v>0</v>
      </c>
      <c r="O50" s="13">
        <f>N50*VLOOKUP('Données projet'!$B$9,Paramètres!$A$1:$I$89,3,0)*VLOOKUP('Données projet'!$B$9,Paramètres!$A$1:$I$89,5,0)</f>
        <v>0</v>
      </c>
      <c r="P50" s="13" t="e">
        <f t="shared" si="33"/>
        <v>#NUM!</v>
      </c>
      <c r="Q50" s="20" t="e">
        <f t="shared" si="53"/>
        <v>#NUM!</v>
      </c>
      <c r="R50" s="59" t="e">
        <f t="shared" si="0"/>
        <v>#NUM!</v>
      </c>
      <c r="S50" s="59">
        <f ca="1">AVERAGE(OFFSET($R$3,0,0,'Données projet'!$E$9+1,1))-AVERAGE(OFFSET($H$3,0,0,'Données projet'!$E$9+1,1))</f>
        <v>101.15586831191774</v>
      </c>
      <c r="T50" s="59">
        <f t="shared" si="34"/>
        <v>346.96347336689064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29.101462656744786</v>
      </c>
      <c r="AA50" s="21">
        <f>EXP(-LN(2)/25)*AA49+(1-EXP(-LN(2)/25))/(LN(2)/25)*Calculateur!V50*Calculateur!X50*VLOOKUP('Données projet'!$B$9,Paramètres!$A$1:$I$89,3,0)*0.475*44/12</f>
        <v>10.293260279675025</v>
      </c>
      <c r="AB50" s="21">
        <f>EXP(-LN(2)/2)*AB49+(1-EXP(-LN(2)/2))/(LN(2)/2)*V50*Y50*VLOOKUP('Données projet'!$B$9,Paramètres!$A$1:$I$89,3,0)*0.475*44/12</f>
        <v>0</v>
      </c>
      <c r="AC50" s="22">
        <f t="shared" si="3"/>
        <v>39.394722936419811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0</v>
      </c>
      <c r="AI50" s="13">
        <f>IF('Données projet'!$A$62&gt;35,AI49+AH50-AQ49,IF(A50&lt;'Données projet'!$A$62,$AF$205^A50,IF(A50='Données projet'!$A$62,'Données projet'!$B$62,AI49+AH50-AQ49)))</f>
        <v>0</v>
      </c>
      <c r="AJ50" s="13">
        <f>AI50*VLOOKUP('Données projet'!$B$10,Paramètres!$A$1:$I$89,3,0)*VLOOKUP('Données projet'!$B$10,Paramètres!$A$1:$I$89,5,0)</f>
        <v>0</v>
      </c>
      <c r="AK50" s="13" t="e">
        <f t="shared" si="35"/>
        <v>#NUM!</v>
      </c>
      <c r="AL50" s="20" t="e">
        <f t="shared" si="4"/>
        <v>#NUM!</v>
      </c>
      <c r="AM50" s="59" t="e">
        <f t="shared" si="5"/>
        <v>#NUM!</v>
      </c>
      <c r="AN50" s="59">
        <f ca="1">AVERAGE(OFFSET($AM$3,0,0,'Données projet'!$E$10+1,1))-AVERAGE(OFFSET($H$3,0,0,'Données projet'!$E$10+1,1))</f>
        <v>101.15586831191774</v>
      </c>
      <c r="AO50" s="59">
        <f t="shared" si="36"/>
        <v>346.96347336689064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29.101462656744786</v>
      </c>
      <c r="AV50" s="21">
        <f>EXP(-LN(2)/25)*AV49+(1-EXP(-LN(2)/25))/(LN(2)/25)*Calculateur!AQ50*Calculateur!AS50*VLOOKUP('Données projet'!$B$10,Paramètres!$A$1:$I$89,3,0)*0.475*44/12</f>
        <v>10.293260279675025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39.394722936419811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11</v>
      </c>
      <c r="BD50" s="12">
        <f>IF('Données projet'!$A$88&gt;35,BD49+BC50-BL49,IF(A50&lt;'Données projet'!$A$88,$BA$205^A50,IF(A50='Données projet'!$A$88,'Données projet'!$B$88,BD49+BC50-BL49)))</f>
        <v>198</v>
      </c>
      <c r="BE50" s="13">
        <f>BD50*VLOOKUP('Données projet'!$B$11,Paramètres!$A$1:$I$89,3,0)*VLOOKUP('Données projet'!$B$11,Paramètres!$A$1:$I$89,5,0)</f>
        <v>179.15039999999999</v>
      </c>
      <c r="BF50" s="13">
        <f t="shared" si="37"/>
        <v>45.133113803437304</v>
      </c>
      <c r="BG50" s="20">
        <f t="shared" si="7"/>
        <v>390.62711987431993</v>
      </c>
      <c r="BH50" s="59">
        <f t="shared" si="8"/>
        <v>683.96045320765325</v>
      </c>
      <c r="BI50" s="59">
        <f ca="1">AVERAGE(OFFSET($BH$3,0,0,'Données projet'!$E$11+1,1))-AVERAGE(OFFSET($H$3,0,0,'Données projet'!$E$11+1,1))</f>
        <v>352.62747127358324</v>
      </c>
      <c r="BJ50" s="59">
        <f t="shared" si="38"/>
        <v>283.16932763435011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4.4117855885534247</v>
      </c>
      <c r="BQ50" s="21">
        <f>EXP(-LN(2)/25)*BQ49+(1-EXP(-LN(2)/25))/(LN(2)/25)*Calculateur!BL50*Calculateur!BN50*VLOOKUP('Données projet'!$B$11,Paramètres!$A$1:$I$89,3,0)*0.475*44/12</f>
        <v>0</v>
      </c>
      <c r="BR50" s="21">
        <f>EXP(-LN(2)/2)*BR49+(1-EXP(-LN(2)/2))/(LN(2)/2)*BL50*BO50*VLOOKUP('Données projet'!$B$11,Paramètres!$A$1:$I$89,3,0)*0.475*44/12</f>
        <v>0</v>
      </c>
      <c r="BS50" s="22">
        <f t="shared" si="9"/>
        <v>4.4117855885534247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11</v>
      </c>
      <c r="BY50" s="12">
        <f>IF('Données projet'!$A$114&gt;35,BY49+BX50-CG49,IF(A50&lt;'Données projet'!$A$114,$BV$205^A50,IF(A50='Données projet'!$A$114,'Données projet'!$B$114,BY49+BX50-CG49)))</f>
        <v>198</v>
      </c>
      <c r="BZ50" s="13">
        <f>BY50*VLOOKUP('Données projet'!$B$12,Paramètres!$A$1:$I$89,3,0)*VLOOKUP('Données projet'!$B$12,Paramètres!$A$1:$I$89,5,0)</f>
        <v>206.9496</v>
      </c>
      <c r="CA50" s="13">
        <f t="shared" si="39"/>
        <v>51.268429949375538</v>
      </c>
      <c r="CB50" s="20">
        <f t="shared" si="10"/>
        <v>449.7297354951624</v>
      </c>
      <c r="CC50" s="59">
        <f t="shared" si="11"/>
        <v>743.06306882849572</v>
      </c>
      <c r="CD50" s="59">
        <f ca="1">AVERAGE(OFFSET($CC$3,0,0,'Données projet'!$E$12+1,1))-AVERAGE(OFFSET($H$3,0,0,'Données projet'!$E$12+1,1))</f>
        <v>423.49657671419374</v>
      </c>
      <c r="CE50" s="59">
        <f t="shared" si="40"/>
        <v>329.6783569381081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5.0963730074668883</v>
      </c>
      <c r="CL50" s="21">
        <f>EXP(-LN(2)/25)*CL49+(1-EXP(-LN(2)/25))/(LN(2)/25)*Calculateur!CG50*Calculateur!CI50*VLOOKUP('Données projet'!$B$12,Paramètres!$A$1:$I$89,3,0)*0.475*44/12</f>
        <v>0</v>
      </c>
      <c r="CM50" s="21">
        <f>EXP(-LN(2)/2)*CM49+(1-EXP(-LN(2)/2))/(LN(2)/2)*CG50*CJ50*VLOOKUP('Données projet'!$B$12,Paramètres!$A$1:$I$89,3,0)*0.475*44/12</f>
        <v>0</v>
      </c>
      <c r="CN50" s="22">
        <f t="shared" si="12"/>
        <v>5.0963730074668883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11</v>
      </c>
      <c r="CT50" s="12">
        <f>IF('Données projet'!$A$140&gt;35,CT49+CS50-DB49,IF(A50&lt;'Données projet'!$A$140,$CQ$205^A50,IF(A50='Données projet'!$A$140,'Données projet'!$B$140,CT49+CS50-DB49)))</f>
        <v>198</v>
      </c>
      <c r="CU50" s="17">
        <f>CT50*VLOOKUP('Données projet'!$B$13,Paramètres!$A$1:$I$89,3,0)*VLOOKUP('Données projet'!$B$13,Paramètres!$A$1:$I$89,5,0)</f>
        <v>200.77200000000002</v>
      </c>
      <c r="CV50" s="13">
        <f t="shared" si="41"/>
        <v>49.913791898945412</v>
      </c>
      <c r="CW50" s="20">
        <f t="shared" si="13"/>
        <v>436.61108755732994</v>
      </c>
      <c r="CX50" s="59">
        <f t="shared" si="14"/>
        <v>729.9444208906632</v>
      </c>
      <c r="CY50" s="59">
        <f ca="1">AVERAGE(OFFSET($CX$3,0,0,'Données projet'!$E$13+1,1))-AVERAGE(OFFSET($H$3,0,0,'Données projet'!$E$13+1,1))</f>
        <v>407.76560346703042</v>
      </c>
      <c r="CZ50" s="59">
        <f t="shared" si="42"/>
        <v>319.35531375725202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4.9442424699305638</v>
      </c>
      <c r="DG50" s="21">
        <f>EXP(-LN(2)/25)*DG49+(1-EXP(-LN(2)/25))/(LN(2)/25)*Calculateur!DB50*Calculateur!DD50*VLOOKUP('Données projet'!$B$13,Paramètres!$A$1:$I$89,3,0)*0.475*44/12</f>
        <v>0</v>
      </c>
      <c r="DH50" s="21">
        <f>EXP(-LN(2)/2)*DH49+(1-EXP(-LN(2)/2))/(LN(2)/2)*DB50*DE50*VLOOKUP('Données projet'!$B$13,Paramètres!$A$1:$I$89,3,0)*0.475*44/12</f>
        <v>0</v>
      </c>
      <c r="DI50" s="22">
        <f t="shared" si="15"/>
        <v>4.9442424699305638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2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42.681600000000017</v>
      </c>
      <c r="D51" s="11">
        <f t="shared" si="32"/>
        <v>12.706698925204435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427.55879872087644</v>
      </c>
      <c r="H51" s="67">
        <f t="shared" si="1"/>
        <v>353.13462062806445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0</v>
      </c>
      <c r="N51" s="13">
        <f>IF('Données projet'!$A$36&gt;35,N50+M51-V50,IF(A51&lt;'Données projet'!$A$36,$K$205^A51,IF(A51='Données projet'!$A$36,'Données projet'!$B$36,N50+M51-V50)))</f>
        <v>0</v>
      </c>
      <c r="O51" s="13">
        <f>N51*VLOOKUP('Données projet'!$B$9,Paramètres!$A$1:$I$89,3,0)*VLOOKUP('Données projet'!$B$9,Paramètres!$A$1:$I$89,5,0)</f>
        <v>0</v>
      </c>
      <c r="P51" s="13" t="e">
        <f t="shared" si="33"/>
        <v>#NUM!</v>
      </c>
      <c r="Q51" s="20" t="e">
        <f t="shared" si="53"/>
        <v>#NUM!</v>
      </c>
      <c r="R51" s="59" t="e">
        <f t="shared" si="0"/>
        <v>#NUM!</v>
      </c>
      <c r="S51" s="59">
        <f ca="1">AVERAGE(OFFSET($R$3,0,0,'Données projet'!$E$9+1,1))-AVERAGE(OFFSET($H$3,0,0,'Données projet'!$E$9+1,1))</f>
        <v>101.15586831191774</v>
      </c>
      <c r="T51" s="59">
        <f t="shared" si="34"/>
        <v>346.96347336689064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28.530800724185561</v>
      </c>
      <c r="AA51" s="21">
        <f>EXP(-LN(2)/25)*AA50+(1-EXP(-LN(2)/25))/(LN(2)/25)*Calculateur!V51*Calculateur!X51*VLOOKUP('Données projet'!$B$9,Paramètres!$A$1:$I$89,3,0)*0.475*44/12</f>
        <v>10.011790536028279</v>
      </c>
      <c r="AB51" s="21">
        <f>EXP(-LN(2)/2)*AB50+(1-EXP(-LN(2)/2))/(LN(2)/2)*V51*Y51*VLOOKUP('Données projet'!$B$9,Paramètres!$A$1:$I$89,3,0)*0.475*44/12</f>
        <v>0</v>
      </c>
      <c r="AC51" s="22">
        <f t="shared" si="3"/>
        <v>38.54259126021384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0</v>
      </c>
      <c r="AI51" s="13">
        <f>IF('Données projet'!$A$62&gt;35,AI50+AH51-AQ50,IF(A51&lt;'Données projet'!$A$62,$AF$205^A51,IF(A51='Données projet'!$A$62,'Données projet'!$B$62,AI50+AH51-AQ50)))</f>
        <v>0</v>
      </c>
      <c r="AJ51" s="13">
        <f>AI51*VLOOKUP('Données projet'!$B$10,Paramètres!$A$1:$I$89,3,0)*VLOOKUP('Données projet'!$B$10,Paramètres!$A$1:$I$89,5,0)</f>
        <v>0</v>
      </c>
      <c r="AK51" s="13" t="e">
        <f t="shared" si="35"/>
        <v>#NUM!</v>
      </c>
      <c r="AL51" s="20" t="e">
        <f t="shared" si="4"/>
        <v>#NUM!</v>
      </c>
      <c r="AM51" s="59" t="e">
        <f t="shared" si="5"/>
        <v>#NUM!</v>
      </c>
      <c r="AN51" s="59">
        <f ca="1">AVERAGE(OFFSET($AM$3,0,0,'Données projet'!$E$10+1,1))-AVERAGE(OFFSET($H$3,0,0,'Données projet'!$E$10+1,1))</f>
        <v>101.15586831191774</v>
      </c>
      <c r="AO51" s="59">
        <f t="shared" si="36"/>
        <v>346.96347336689064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28.530800724185561</v>
      </c>
      <c r="AV51" s="21">
        <f>EXP(-LN(2)/25)*AV50+(1-EXP(-LN(2)/25))/(LN(2)/25)*Calculateur!AQ51*Calculateur!AS51*VLOOKUP('Données projet'!$B$10,Paramètres!$A$1:$I$89,3,0)*0.475*44/12</f>
        <v>10.011790536028279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38.54259126021384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11</v>
      </c>
      <c r="BD51" s="12">
        <f>IF('Données projet'!$A$88&gt;35,BD50+BC51-BL50,IF(A51&lt;'Données projet'!$A$88,$BA$205^A51,IF(A51='Données projet'!$A$88,'Données projet'!$B$88,BD50+BC51-BL50)))</f>
        <v>209</v>
      </c>
      <c r="BE51" s="13">
        <f>BD51*VLOOKUP('Données projet'!$B$11,Paramètres!$A$1:$I$89,3,0)*VLOOKUP('Données projet'!$B$11,Paramètres!$A$1:$I$89,5,0)</f>
        <v>189.10319999999999</v>
      </c>
      <c r="BF51" s="13">
        <f t="shared" si="37"/>
        <v>47.34162854278712</v>
      </c>
      <c r="BG51" s="20">
        <f t="shared" si="7"/>
        <v>411.80807637868747</v>
      </c>
      <c r="BH51" s="59">
        <f t="shared" si="8"/>
        <v>705.14140971202073</v>
      </c>
      <c r="BI51" s="59">
        <f ca="1">AVERAGE(OFFSET($BH$3,0,0,'Données projet'!$E$11+1,1))-AVERAGE(OFFSET($H$3,0,0,'Données projet'!$E$11+1,1))</f>
        <v>352.62747127358324</v>
      </c>
      <c r="BJ51" s="59">
        <f t="shared" si="38"/>
        <v>283.16932763435011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4.3252731640853943</v>
      </c>
      <c r="BQ51" s="21">
        <f>EXP(-LN(2)/25)*BQ50+(1-EXP(-LN(2)/25))/(LN(2)/25)*Calculateur!BL51*Calculateur!BN51*VLOOKUP('Données projet'!$B$11,Paramètres!$A$1:$I$89,3,0)*0.475*44/12</f>
        <v>0</v>
      </c>
      <c r="BR51" s="21">
        <f>EXP(-LN(2)/2)*BR50+(1-EXP(-LN(2)/2))/(LN(2)/2)*BL51*BO51*VLOOKUP('Données projet'!$B$11,Paramètres!$A$1:$I$89,3,0)*0.475*44/12</f>
        <v>0</v>
      </c>
      <c r="BS51" s="22">
        <f t="shared" si="9"/>
        <v>4.3252731640853943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11</v>
      </c>
      <c r="BY51" s="12">
        <f>IF('Données projet'!$A$114&gt;35,BY50+BX51-CG50,IF(A51&lt;'Données projet'!$A$114,$BV$205^A51,IF(A51='Données projet'!$A$114,'Données projet'!$B$114,BY50+BX51-CG50)))</f>
        <v>209</v>
      </c>
      <c r="BZ51" s="13">
        <f>BY51*VLOOKUP('Données projet'!$B$12,Paramètres!$A$1:$I$89,3,0)*VLOOKUP('Données projet'!$B$12,Paramètres!$A$1:$I$89,5,0)</f>
        <v>218.4468</v>
      </c>
      <c r="CA51" s="13">
        <f t="shared" si="39"/>
        <v>53.777166299799823</v>
      </c>
      <c r="CB51" s="20">
        <f t="shared" si="10"/>
        <v>474.12340797215137</v>
      </c>
      <c r="CC51" s="59">
        <f t="shared" si="11"/>
        <v>767.45674130548468</v>
      </c>
      <c r="CD51" s="59">
        <f ca="1">AVERAGE(OFFSET($CC$3,0,0,'Données projet'!$E$12+1,1))-AVERAGE(OFFSET($H$3,0,0,'Données projet'!$E$12+1,1))</f>
        <v>423.49657671419374</v>
      </c>
      <c r="CE51" s="59">
        <f t="shared" si="40"/>
        <v>329.6783569381081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4.9964362412710601</v>
      </c>
      <c r="CL51" s="21">
        <f>EXP(-LN(2)/25)*CL50+(1-EXP(-LN(2)/25))/(LN(2)/25)*Calculateur!CG51*Calculateur!CI51*VLOOKUP('Données projet'!$B$12,Paramètres!$A$1:$I$89,3,0)*0.475*44/12</f>
        <v>0</v>
      </c>
      <c r="CM51" s="21">
        <f>EXP(-LN(2)/2)*CM50+(1-EXP(-LN(2)/2))/(LN(2)/2)*CG51*CJ51*VLOOKUP('Données projet'!$B$12,Paramètres!$A$1:$I$89,3,0)*0.475*44/12</f>
        <v>0</v>
      </c>
      <c r="CN51" s="22">
        <f t="shared" si="12"/>
        <v>4.9964362412710601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11</v>
      </c>
      <c r="CT51" s="12">
        <f>IF('Données projet'!$A$140&gt;35,CT50+CS51-DB50,IF(A51&lt;'Données projet'!$A$140,$CQ$205^A51,IF(A51='Données projet'!$A$140,'Données projet'!$B$140,CT50+CS51-DB50)))</f>
        <v>209</v>
      </c>
      <c r="CU51" s="17">
        <f>CT51*VLOOKUP('Données projet'!$B$13,Paramètres!$A$1:$I$89,3,0)*VLOOKUP('Données projet'!$B$13,Paramètres!$A$1:$I$89,5,0)</f>
        <v>211.92599999999999</v>
      </c>
      <c r="CV51" s="13">
        <f t="shared" si="41"/>
        <v>52.356241262970116</v>
      </c>
      <c r="CW51" s="20">
        <f t="shared" si="13"/>
        <v>460.29157019967289</v>
      </c>
      <c r="CX51" s="59">
        <f t="shared" si="14"/>
        <v>753.6249035330062</v>
      </c>
      <c r="CY51" s="59">
        <f ca="1">AVERAGE(OFFSET($CX$3,0,0,'Données projet'!$E$13+1,1))-AVERAGE(OFFSET($H$3,0,0,'Données projet'!$E$13+1,1))</f>
        <v>407.76560346703042</v>
      </c>
      <c r="CZ51" s="59">
        <f t="shared" si="42"/>
        <v>319.35531375725202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4.8472888907853573</v>
      </c>
      <c r="DG51" s="21">
        <f>EXP(-LN(2)/25)*DG50+(1-EXP(-LN(2)/25))/(LN(2)/25)*Calculateur!DB51*Calculateur!DD51*VLOOKUP('Données projet'!$B$13,Paramètres!$A$1:$I$89,3,0)*0.475*44/12</f>
        <v>0</v>
      </c>
      <c r="DH51" s="21">
        <f>EXP(-LN(2)/2)*DH50+(1-EXP(-LN(2)/2))/(LN(2)/2)*DB51*DE51*VLOOKUP('Données projet'!$B$13,Paramètres!$A$1:$I$89,3,0)*0.475*44/12</f>
        <v>0</v>
      </c>
      <c r="DI51" s="22">
        <f t="shared" si="15"/>
        <v>4.8472888907853573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2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43.57080000000002</v>
      </c>
      <c r="D52" s="11">
        <f t="shared" si="32"/>
        <v>12.940326634618209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436.22624068828105</v>
      </c>
      <c r="H52" s="67">
        <f t="shared" si="1"/>
        <v>355.09021222196009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0</v>
      </c>
      <c r="N52" s="13">
        <f>IF('Données projet'!$A$36&gt;35,N51+M52-V51,IF(A52&lt;'Données projet'!$A$36,$K$205^A52,IF(A52='Données projet'!$A$36,'Données projet'!$B$36,N51+M52-V51)))</f>
        <v>0</v>
      </c>
      <c r="O52" s="13">
        <f>N52*VLOOKUP('Données projet'!$B$9,Paramètres!$A$1:$I$89,3,0)*VLOOKUP('Données projet'!$B$9,Paramètres!$A$1:$I$89,5,0)</f>
        <v>0</v>
      </c>
      <c r="P52" s="13" t="e">
        <f t="shared" si="33"/>
        <v>#NUM!</v>
      </c>
      <c r="Q52" s="20" t="e">
        <f t="shared" si="53"/>
        <v>#NUM!</v>
      </c>
      <c r="R52" s="59" t="e">
        <f t="shared" si="0"/>
        <v>#NUM!</v>
      </c>
      <c r="S52" s="59">
        <f ca="1">AVERAGE(OFFSET($R$3,0,0,'Données projet'!$E$9+1,1))-AVERAGE(OFFSET($H$3,0,0,'Données projet'!$E$9+1,1))</f>
        <v>101.15586831191774</v>
      </c>
      <c r="T52" s="59">
        <f t="shared" si="34"/>
        <v>346.96347336689064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27.97132912405441</v>
      </c>
      <c r="AA52" s="21">
        <f>EXP(-LN(2)/25)*AA51+(1-EXP(-LN(2)/25))/(LN(2)/25)*Calculateur!V52*Calculateur!X52*VLOOKUP('Données projet'!$B$9,Paramètres!$A$1:$I$89,3,0)*0.475*44/12</f>
        <v>9.7380175973234042</v>
      </c>
      <c r="AB52" s="21">
        <f>EXP(-LN(2)/2)*AB51+(1-EXP(-LN(2)/2))/(LN(2)/2)*V52*Y52*VLOOKUP('Données projet'!$B$9,Paramètres!$A$1:$I$89,3,0)*0.475*44/12</f>
        <v>0</v>
      </c>
      <c r="AC52" s="22">
        <f t="shared" si="3"/>
        <v>37.709346721377813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0</v>
      </c>
      <c r="AI52" s="13">
        <f>IF('Données projet'!$A$62&gt;35,AI51+AH52-AQ51,IF(A52&lt;'Données projet'!$A$62,$AF$205^A52,IF(A52='Données projet'!$A$62,'Données projet'!$B$62,AI51+AH52-AQ51)))</f>
        <v>0</v>
      </c>
      <c r="AJ52" s="13">
        <f>AI52*VLOOKUP('Données projet'!$B$10,Paramètres!$A$1:$I$89,3,0)*VLOOKUP('Données projet'!$B$10,Paramètres!$A$1:$I$89,5,0)</f>
        <v>0</v>
      </c>
      <c r="AK52" s="13" t="e">
        <f t="shared" si="35"/>
        <v>#NUM!</v>
      </c>
      <c r="AL52" s="20" t="e">
        <f t="shared" si="4"/>
        <v>#NUM!</v>
      </c>
      <c r="AM52" s="59" t="e">
        <f t="shared" si="5"/>
        <v>#NUM!</v>
      </c>
      <c r="AN52" s="59">
        <f ca="1">AVERAGE(OFFSET($AM$3,0,0,'Données projet'!$E$10+1,1))-AVERAGE(OFFSET($H$3,0,0,'Données projet'!$E$10+1,1))</f>
        <v>101.15586831191774</v>
      </c>
      <c r="AO52" s="59">
        <f t="shared" si="36"/>
        <v>346.96347336689064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27.97132912405441</v>
      </c>
      <c r="AV52" s="21">
        <f>EXP(-LN(2)/25)*AV51+(1-EXP(-LN(2)/25))/(LN(2)/25)*Calculateur!AQ52*Calculateur!AS52*VLOOKUP('Données projet'!$B$10,Paramètres!$A$1:$I$89,3,0)*0.475*44/12</f>
        <v>9.7380175973234042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37.709346721377813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11</v>
      </c>
      <c r="BD52" s="12">
        <f>IF('Données projet'!$A$88&gt;35,BD51+BC52-BL51,IF(A52&lt;'Données projet'!$A$88,$BA$205^A52,IF(A52='Données projet'!$A$88,'Données projet'!$B$88,BD51+BC52-BL51)))</f>
        <v>220</v>
      </c>
      <c r="BE52" s="13">
        <f>BD52*VLOOKUP('Données projet'!$B$11,Paramètres!$A$1:$I$89,3,0)*VLOOKUP('Données projet'!$B$11,Paramètres!$A$1:$I$89,5,0)</f>
        <v>199.05600000000001</v>
      </c>
      <c r="BF52" s="13">
        <f t="shared" si="37"/>
        <v>49.536648006253934</v>
      </c>
      <c r="BG52" s="20">
        <f t="shared" si="7"/>
        <v>432.96552861089231</v>
      </c>
      <c r="BH52" s="59">
        <f t="shared" si="8"/>
        <v>726.29886194422556</v>
      </c>
      <c r="BI52" s="59">
        <f ca="1">AVERAGE(OFFSET($BH$3,0,0,'Données projet'!$E$11+1,1))-AVERAGE(OFFSET($H$3,0,0,'Données projet'!$E$11+1,1))</f>
        <v>352.62747127358324</v>
      </c>
      <c r="BJ52" s="59">
        <f t="shared" si="38"/>
        <v>283.16932763435011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4.2404571954938133</v>
      </c>
      <c r="BQ52" s="21">
        <f>EXP(-LN(2)/25)*BQ51+(1-EXP(-LN(2)/25))/(LN(2)/25)*Calculateur!BL52*Calculateur!BN52*VLOOKUP('Données projet'!$B$11,Paramètres!$A$1:$I$89,3,0)*0.475*44/12</f>
        <v>0</v>
      </c>
      <c r="BR52" s="21">
        <f>EXP(-LN(2)/2)*BR51+(1-EXP(-LN(2)/2))/(LN(2)/2)*BL52*BO52*VLOOKUP('Données projet'!$B$11,Paramètres!$A$1:$I$89,3,0)*0.475*44/12</f>
        <v>0</v>
      </c>
      <c r="BS52" s="22">
        <f t="shared" si="9"/>
        <v>4.2404571954938133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11</v>
      </c>
      <c r="BY52" s="12">
        <f>IF('Données projet'!$A$114&gt;35,BY51+BX52-CG51,IF(A52&lt;'Données projet'!$A$114,$BV$205^A52,IF(A52='Données projet'!$A$114,'Données projet'!$B$114,BY51+BX52-CG51)))</f>
        <v>220</v>
      </c>
      <c r="BZ52" s="13">
        <f>BY52*VLOOKUP('Données projet'!$B$12,Paramètres!$A$1:$I$89,3,0)*VLOOKUP('Données projet'!$B$12,Paramètres!$A$1:$I$89,5,0)</f>
        <v>229.94400000000002</v>
      </c>
      <c r="CA52" s="13">
        <f t="shared" si="39"/>
        <v>56.270572850262418</v>
      </c>
      <c r="CB52" s="20">
        <f t="shared" si="10"/>
        <v>498.49038104754032</v>
      </c>
      <c r="CC52" s="59">
        <f t="shared" si="11"/>
        <v>791.82371438087364</v>
      </c>
      <c r="CD52" s="59">
        <f ca="1">AVERAGE(OFFSET($CC$3,0,0,'Données projet'!$E$12+1,1))-AVERAGE(OFFSET($H$3,0,0,'Données projet'!$E$12+1,1))</f>
        <v>423.49657671419374</v>
      </c>
      <c r="CE52" s="59">
        <f t="shared" si="40"/>
        <v>329.6783569381081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4.8984591741049233</v>
      </c>
      <c r="CL52" s="21">
        <f>EXP(-LN(2)/25)*CL51+(1-EXP(-LN(2)/25))/(LN(2)/25)*Calculateur!CG52*Calculateur!CI52*VLOOKUP('Données projet'!$B$12,Paramètres!$A$1:$I$89,3,0)*0.475*44/12</f>
        <v>0</v>
      </c>
      <c r="CM52" s="21">
        <f>EXP(-LN(2)/2)*CM51+(1-EXP(-LN(2)/2))/(LN(2)/2)*CG52*CJ52*VLOOKUP('Données projet'!$B$12,Paramètres!$A$1:$I$89,3,0)*0.475*44/12</f>
        <v>0</v>
      </c>
      <c r="CN52" s="22">
        <f t="shared" si="12"/>
        <v>4.8984591741049233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11</v>
      </c>
      <c r="CT52" s="12">
        <f>IF('Données projet'!$A$140&gt;35,CT51+CS52-DB51,IF(A52&lt;'Données projet'!$A$140,$CQ$205^A52,IF(A52='Données projet'!$A$140,'Données projet'!$B$140,CT51+CS52-DB51)))</f>
        <v>220</v>
      </c>
      <c r="CU52" s="17">
        <f>CT52*VLOOKUP('Données projet'!$B$13,Paramètres!$A$1:$I$89,3,0)*VLOOKUP('Données projet'!$B$13,Paramètres!$A$1:$I$89,5,0)</f>
        <v>223.08</v>
      </c>
      <c r="CV52" s="13">
        <f t="shared" si="41"/>
        <v>54.783765878062667</v>
      </c>
      <c r="CW52" s="20">
        <f t="shared" si="13"/>
        <v>483.94605890429244</v>
      </c>
      <c r="CX52" s="59">
        <f t="shared" si="14"/>
        <v>777.27939223762576</v>
      </c>
      <c r="CY52" s="59">
        <f ca="1">AVERAGE(OFFSET($CX$3,0,0,'Données projet'!$E$13+1,1))-AVERAGE(OFFSET($H$3,0,0,'Données projet'!$E$13+1,1))</f>
        <v>407.76560346703042</v>
      </c>
      <c r="CZ52" s="59">
        <f t="shared" si="42"/>
        <v>319.35531375725202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4.7522365121913444</v>
      </c>
      <c r="DG52" s="21">
        <f>EXP(-LN(2)/25)*DG51+(1-EXP(-LN(2)/25))/(LN(2)/25)*Calculateur!DB52*Calculateur!DD52*VLOOKUP('Données projet'!$B$13,Paramètres!$A$1:$I$89,3,0)*0.475*44/12</f>
        <v>0</v>
      </c>
      <c r="DH52" s="21">
        <f>EXP(-LN(2)/2)*DH51+(1-EXP(-LN(2)/2))/(LN(2)/2)*DB52*DE52*VLOOKUP('Données projet'!$B$13,Paramètres!$A$1:$I$89,3,0)*0.475*44/12</f>
        <v>0</v>
      </c>
      <c r="DI52" s="22">
        <f t="shared" si="15"/>
        <v>4.7522365121913444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2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44.460000000000022</v>
      </c>
      <c r="D53" s="11">
        <f t="shared" si="32"/>
        <v>13.17339997701186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444.88940333131978</v>
      </c>
      <c r="H53" s="67">
        <f t="shared" si="1"/>
        <v>357.0448382932957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0</v>
      </c>
      <c r="N53" s="13">
        <f>IF('Données projet'!$A$36&gt;35,N52+M53-V52,IF(A53&lt;'Données projet'!$A$36,$K$205^A53,IF(A53='Données projet'!$A$36,'Données projet'!$B$36,N52+M53-V52)))</f>
        <v>0</v>
      </c>
      <c r="O53" s="13">
        <f>N53*VLOOKUP('Données projet'!$B$9,Paramètres!$A$1:$I$89,3,0)*VLOOKUP('Données projet'!$B$9,Paramètres!$A$1:$I$89,5,0)</f>
        <v>0</v>
      </c>
      <c r="P53" s="13" t="e">
        <f t="shared" si="33"/>
        <v>#NUM!</v>
      </c>
      <c r="Q53" s="20" t="e">
        <f t="shared" si="53"/>
        <v>#NUM!</v>
      </c>
      <c r="R53" s="59" t="e">
        <f t="shared" si="0"/>
        <v>#NUM!</v>
      </c>
      <c r="S53" s="59">
        <f ca="1">AVERAGE(OFFSET($R$3,0,0,'Données projet'!$E$9+1,1))-AVERAGE(OFFSET($H$3,0,0,'Données projet'!$E$9+1,1))</f>
        <v>101.15586831191774</v>
      </c>
      <c r="T53" s="59">
        <f t="shared" si="34"/>
        <v>346.96347336689064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27.422828420757853</v>
      </c>
      <c r="AA53" s="21">
        <f>EXP(-LN(2)/25)*AA52+(1-EXP(-LN(2)/25))/(LN(2)/25)*Calculateur!V53*Calculateur!X53*VLOOKUP('Données projet'!$B$9,Paramètres!$A$1:$I$89,3,0)*0.475*44/12</f>
        <v>9.4717309940245062</v>
      </c>
      <c r="AB53" s="21">
        <f>EXP(-LN(2)/2)*AB52+(1-EXP(-LN(2)/2))/(LN(2)/2)*V53*Y53*VLOOKUP('Données projet'!$B$9,Paramètres!$A$1:$I$89,3,0)*0.475*44/12</f>
        <v>0</v>
      </c>
      <c r="AC53" s="22">
        <f t="shared" si="3"/>
        <v>36.894559414782357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0</v>
      </c>
      <c r="AI53" s="13">
        <f>IF('Données projet'!$A$62&gt;35,AI52+AH53-AQ52,IF(A53&lt;'Données projet'!$A$62,$AF$205^A53,IF(A53='Données projet'!$A$62,'Données projet'!$B$62,AI52+AH53-AQ52)))</f>
        <v>0</v>
      </c>
      <c r="AJ53" s="13">
        <f>AI53*VLOOKUP('Données projet'!$B$10,Paramètres!$A$1:$I$89,3,0)*VLOOKUP('Données projet'!$B$10,Paramètres!$A$1:$I$89,5,0)</f>
        <v>0</v>
      </c>
      <c r="AK53" s="13" t="e">
        <f t="shared" si="35"/>
        <v>#NUM!</v>
      </c>
      <c r="AL53" s="20" t="e">
        <f t="shared" si="4"/>
        <v>#NUM!</v>
      </c>
      <c r="AM53" s="59" t="e">
        <f t="shared" si="5"/>
        <v>#NUM!</v>
      </c>
      <c r="AN53" s="59">
        <f ca="1">AVERAGE(OFFSET($AM$3,0,0,'Données projet'!$E$10+1,1))-AVERAGE(OFFSET($H$3,0,0,'Données projet'!$E$10+1,1))</f>
        <v>101.15586831191774</v>
      </c>
      <c r="AO53" s="59">
        <f t="shared" si="36"/>
        <v>346.96347336689064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27.422828420757853</v>
      </c>
      <c r="AV53" s="21">
        <f>EXP(-LN(2)/25)*AV52+(1-EXP(-LN(2)/25))/(LN(2)/25)*Calculateur!AQ53*Calculateur!AS53*VLOOKUP('Données projet'!$B$10,Paramètres!$A$1:$I$89,3,0)*0.475*44/12</f>
        <v>9.4717309940245062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36.894559414782357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231</v>
      </c>
      <c r="BB53" s="12">
        <f>VLOOKUP(A53,'Données projet'!$A$87:$I$107,9,0)</f>
        <v>11</v>
      </c>
      <c r="BC53" s="12">
        <f t="array" ref="BC53">INDEX(BB:BB,MIN(IF(ISNUMBER(BB53:BB249),ROW(BB53:BB249),"")))</f>
        <v>11</v>
      </c>
      <c r="BD53" s="12">
        <f>IF('Données projet'!$A$88&gt;35,BD52+BC53-BL52,IF(A53&lt;'Données projet'!$A$88,$BA$205^A53,IF(A53='Données projet'!$A$88,'Données projet'!$B$88,BD52+BC53-BL52)))</f>
        <v>231</v>
      </c>
      <c r="BE53" s="13">
        <f>BD53*VLOOKUP('Données projet'!$B$11,Paramètres!$A$1:$I$89,3,0)*VLOOKUP('Données projet'!$B$11,Paramètres!$A$1:$I$89,5,0)</f>
        <v>209.00879999999998</v>
      </c>
      <c r="BF53" s="13">
        <f t="shared" si="37"/>
        <v>51.718923953824202</v>
      </c>
      <c r="BG53" s="20">
        <f t="shared" si="7"/>
        <v>454.10078588624373</v>
      </c>
      <c r="BH53" s="59">
        <f t="shared" si="8"/>
        <v>747.43411921957704</v>
      </c>
      <c r="BI53" s="59">
        <f ca="1">AVERAGE(OFFSET($BH$3,0,0,'Données projet'!$E$11+1,1))-AVERAGE(OFFSET($H$3,0,0,'Données projet'!$E$11+1,1))</f>
        <v>352.62747127358324</v>
      </c>
      <c r="BJ53" s="59">
        <f t="shared" si="38"/>
        <v>283.16932763435011</v>
      </c>
      <c r="BK53" s="15">
        <f>IF(ISNA(VLOOKUP(A53,'Données projet'!$A$87:$I$107,3,0)),0,VLOOKUP(A53,'Données projet'!$A$87:$I$107,3,0))</f>
        <v>7</v>
      </c>
      <c r="BL53" s="15">
        <f>IF(ISNA(VLOOKUP(A53,'Données projet'!$A$87:$I$107,4,0)),0,VLOOKUP(A53,'Données projet'!$A$87:$I$107,4,0))</f>
        <v>28</v>
      </c>
      <c r="BM53" s="16">
        <f>IF(ISNA(VLOOKUP(A53,'Données projet'!$A$87:$I$107,5,0)),0%,VLOOKUP(A53,'Données projet'!$A$87:$I$107,5,0)*VLOOKUP('Données projet'!$B$11,Paramètres!$A$1:$I$89,7,0))</f>
        <v>0.129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7.7701337293515849</v>
      </c>
      <c r="BQ53" s="21">
        <f>EXP(-LN(2)/25)*BQ52+(1-EXP(-LN(2)/25))/(LN(2)/25)*Calculateur!BL53*Calculateur!BN53*VLOOKUP('Données projet'!$B$11,Paramètres!$A$1:$I$89,3,0)*0.475*44/12</f>
        <v>0</v>
      </c>
      <c r="BR53" s="21">
        <f>EXP(-LN(2)/2)*BR52+(1-EXP(-LN(2)/2))/(LN(2)/2)*BL53*BO53*VLOOKUP('Données projet'!$B$11,Paramètres!$A$1:$I$89,3,0)*0.475*44/12</f>
        <v>0</v>
      </c>
      <c r="BS53" s="22">
        <f t="shared" si="9"/>
        <v>7.7701337293515849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231</v>
      </c>
      <c r="BW53" s="12">
        <f>VLOOKUP(A53,'Données projet'!$A$113:$I$133,9,0)</f>
        <v>11</v>
      </c>
      <c r="BX53" s="12">
        <f t="array" ref="BX53">INDEX(BW:BW,MIN(IF(ISNUMBER(BW53:BW249),ROW(BW53:BW249),"")))</f>
        <v>11</v>
      </c>
      <c r="BY53" s="12">
        <f>IF('Données projet'!$A$114&gt;35,BY52+BX53-CG52,IF(A53&lt;'Données projet'!$A$114,$BV$205^A53,IF(A53='Données projet'!$A$114,'Données projet'!$B$114,BY52+BX53-CG52)))</f>
        <v>231</v>
      </c>
      <c r="BZ53" s="13">
        <f>BY53*VLOOKUP('Données projet'!$B$12,Paramètres!$A$1:$I$89,3,0)*VLOOKUP('Données projet'!$B$12,Paramètres!$A$1:$I$89,5,0)</f>
        <v>241.44120000000004</v>
      </c>
      <c r="CA53" s="13">
        <f t="shared" si="39"/>
        <v>58.749503553680732</v>
      </c>
      <c r="CB53" s="20">
        <f t="shared" si="10"/>
        <v>522.83214202266061</v>
      </c>
      <c r="CC53" s="59">
        <f t="shared" si="11"/>
        <v>816.16547535599398</v>
      </c>
      <c r="CD53" s="59">
        <f ca="1">AVERAGE(OFFSET($CC$3,0,0,'Données projet'!$E$12+1,1))-AVERAGE(OFFSET($H$3,0,0,'Données projet'!$E$12+1,1))</f>
        <v>423.49657671419374</v>
      </c>
      <c r="CE53" s="59">
        <f t="shared" si="40"/>
        <v>329.6783569381081</v>
      </c>
      <c r="CF53" s="15">
        <f>IF(ISNA(VLOOKUP(A53,'Données projet'!$A$113:$I$133,3,0)),0,VLOOKUP(A53,'Données projet'!$A$113:$I$133,3,0))</f>
        <v>7</v>
      </c>
      <c r="CG53" s="15">
        <f>IF(ISNA(VLOOKUP(A53,'Données projet'!$A$113:$I$133,4,0)),0,VLOOKUP(A53,'Données projet'!$A$113:$I$133,4,0))</f>
        <v>28</v>
      </c>
      <c r="CH53" s="16">
        <f>IF(ISNA(VLOOKUP(A53,'Données projet'!$A$113:$I$133,5,0)),0%,VLOOKUP(A53,'Données projet'!$A$113:$I$133,5,0)*VLOOKUP('Données projet'!$B$12,Paramètres!$A$1:$I$89,7,0))</f>
        <v>0.129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8.9758441356302807</v>
      </c>
      <c r="CL53" s="21">
        <f>EXP(-LN(2)/25)*CL52+(1-EXP(-LN(2)/25))/(LN(2)/25)*Calculateur!CG53*Calculateur!CI53*VLOOKUP('Données projet'!$B$12,Paramètres!$A$1:$I$89,3,0)*0.475*44/12</f>
        <v>0</v>
      </c>
      <c r="CM53" s="21">
        <f>EXP(-LN(2)/2)*CM52+(1-EXP(-LN(2)/2))/(LN(2)/2)*CG53*CJ53*VLOOKUP('Données projet'!$B$12,Paramètres!$A$1:$I$89,3,0)*0.475*44/12</f>
        <v>0</v>
      </c>
      <c r="CN53" s="22">
        <f t="shared" si="12"/>
        <v>8.9758441356302807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>
        <f>VLOOKUP(A53,'Données projet'!$A$139:$I$159,2,0)</f>
        <v>231</v>
      </c>
      <c r="CR53" s="12">
        <f>VLOOKUP(A53,'Données projet'!$A$139:$I$159,9,0)</f>
        <v>11</v>
      </c>
      <c r="CS53" s="12">
        <f t="array" ref="CS53">INDEX(CR:CR,MIN(IF(ISNUMBER(CR53:CR249),ROW(CR53:CR249),"")))</f>
        <v>11</v>
      </c>
      <c r="CT53" s="12">
        <f>IF('Données projet'!$A$140&gt;35,CT52+CS53-DB52,IF(A53&lt;'Données projet'!$A$140,$CQ$205^A53,IF(A53='Données projet'!$A$140,'Données projet'!$B$140,CT52+CS53-DB52)))</f>
        <v>231</v>
      </c>
      <c r="CU53" s="17">
        <f>CT53*VLOOKUP('Données projet'!$B$13,Paramètres!$A$1:$I$89,3,0)*VLOOKUP('Données projet'!$B$13,Paramètres!$A$1:$I$89,5,0)</f>
        <v>234.23400000000001</v>
      </c>
      <c r="CV53" s="13">
        <f t="shared" si="41"/>
        <v>57.197197133603488</v>
      </c>
      <c r="CW53" s="20">
        <f t="shared" si="13"/>
        <v>507.57600167435936</v>
      </c>
      <c r="CX53" s="59">
        <f t="shared" si="14"/>
        <v>800.90933500769268</v>
      </c>
      <c r="CY53" s="59">
        <f ca="1">AVERAGE(OFFSET($CX$3,0,0,'Données projet'!$E$13+1,1))-AVERAGE(OFFSET($H$3,0,0,'Données projet'!$E$13+1,1))</f>
        <v>407.76560346703042</v>
      </c>
      <c r="CZ53" s="59">
        <f t="shared" si="42"/>
        <v>319.35531375725202</v>
      </c>
      <c r="DA53" s="15">
        <f>IF(ISNA(VLOOKUP(A53,'Données projet'!$A$139:$I$159,3,0)),0,VLOOKUP(A53,'Données projet'!$A$139:$I$159,3,0))</f>
        <v>7</v>
      </c>
      <c r="DB53" s="15">
        <f>IF(ISNA(VLOOKUP(A53,'Données projet'!$A$139:$I$159,4,0)),0,VLOOKUP(A53,'Données projet'!$A$139:$I$159,4,0))</f>
        <v>28</v>
      </c>
      <c r="DC53" s="16">
        <f>IF(ISNA(VLOOKUP(A53,'Données projet'!$A$139:$I$159,5,0)),0%,VLOOKUP(A53,'Données projet'!$A$139:$I$159,5,0)*VLOOKUP('Données projet'!$B$13,Paramètres!$A$1:$I$89,7,0))</f>
        <v>0.129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>
        <f>EXP(-LN(2)/35)*DF52+(1-EXP(-LN(2)/35))/(LN(2)/35)*DB53*DC53*VLOOKUP('Données projet'!$B$13,Paramètres!$A$1:$I$89,3,0)*0.475*44/12</f>
        <v>8.7079084897905723</v>
      </c>
      <c r="DG53" s="21">
        <f>EXP(-LN(2)/25)*DG52+(1-EXP(-LN(2)/25))/(LN(2)/25)*Calculateur!DB53*Calculateur!DD53*VLOOKUP('Données projet'!$B$13,Paramètres!$A$1:$I$89,3,0)*0.475*44/12</f>
        <v>0</v>
      </c>
      <c r="DH53" s="21">
        <f>EXP(-LN(2)/2)*DH52+(1-EXP(-LN(2)/2))/(LN(2)/2)*DB53*DE53*VLOOKUP('Données projet'!$B$13,Paramètres!$A$1:$I$89,3,0)*0.475*44/12</f>
        <v>0</v>
      </c>
      <c r="DI53" s="22">
        <f t="shared" si="15"/>
        <v>8.7079084897905723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2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45.349200000000025</v>
      </c>
      <c r="D54" s="11">
        <f t="shared" si="32"/>
        <v>13.405931317559242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453.54838210045756</v>
      </c>
      <c r="H54" s="67">
        <f t="shared" si="1"/>
        <v>358.99852037808239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0</v>
      </c>
      <c r="N54" s="13">
        <f>IF('Données projet'!$A$36&gt;35,N53+M54-V53,IF(A54&lt;'Données projet'!$A$36,$K$205^A54,IF(A54='Données projet'!$A$36,'Données projet'!$B$36,N53+M54-V53)))</f>
        <v>0</v>
      </c>
      <c r="O54" s="13">
        <f>N54*VLOOKUP('Données projet'!$B$9,Paramètres!$A$1:$I$89,3,0)*VLOOKUP('Données projet'!$B$9,Paramètres!$A$1:$I$89,5,0)</f>
        <v>0</v>
      </c>
      <c r="P54" s="13" t="e">
        <f t="shared" si="33"/>
        <v>#NUM!</v>
      </c>
      <c r="Q54" s="20" t="e">
        <f t="shared" si="53"/>
        <v>#NUM!</v>
      </c>
      <c r="R54" s="59" t="e">
        <f t="shared" si="0"/>
        <v>#NUM!</v>
      </c>
      <c r="S54" s="59">
        <f ca="1">AVERAGE(OFFSET($R$3,0,0,'Données projet'!$E$9+1,1))-AVERAGE(OFFSET($H$3,0,0,'Données projet'!$E$9+1,1))</f>
        <v>101.15586831191774</v>
      </c>
      <c r="T54" s="59">
        <f t="shared" si="34"/>
        <v>346.96347336689064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26.885083481700544</v>
      </c>
      <c r="AA54" s="21">
        <f>EXP(-LN(2)/25)*AA53+(1-EXP(-LN(2)/25))/(LN(2)/25)*Calculateur!V54*Calculateur!X54*VLOOKUP('Données projet'!$B$9,Paramètres!$A$1:$I$89,3,0)*0.475*44/12</f>
        <v>9.2127260118962209</v>
      </c>
      <c r="AB54" s="21">
        <f>EXP(-LN(2)/2)*AB53+(1-EXP(-LN(2)/2))/(LN(2)/2)*V54*Y54*VLOOKUP('Données projet'!$B$9,Paramètres!$A$1:$I$89,3,0)*0.475*44/12</f>
        <v>0</v>
      </c>
      <c r="AC54" s="22">
        <f t="shared" si="3"/>
        <v>36.097809493596763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0</v>
      </c>
      <c r="AI54" s="13">
        <f>IF('Données projet'!$A$62&gt;35,AI53+AH54-AQ53,IF(A54&lt;'Données projet'!$A$62,$AF$205^A54,IF(A54='Données projet'!$A$62,'Données projet'!$B$62,AI53+AH54-AQ53)))</f>
        <v>0</v>
      </c>
      <c r="AJ54" s="13">
        <f>AI54*VLOOKUP('Données projet'!$B$10,Paramètres!$A$1:$I$89,3,0)*VLOOKUP('Données projet'!$B$10,Paramètres!$A$1:$I$89,5,0)</f>
        <v>0</v>
      </c>
      <c r="AK54" s="13" t="e">
        <f t="shared" si="35"/>
        <v>#NUM!</v>
      </c>
      <c r="AL54" s="20" t="e">
        <f t="shared" si="4"/>
        <v>#NUM!</v>
      </c>
      <c r="AM54" s="59" t="e">
        <f t="shared" si="5"/>
        <v>#NUM!</v>
      </c>
      <c r="AN54" s="59">
        <f ca="1">AVERAGE(OFFSET($AM$3,0,0,'Données projet'!$E$10+1,1))-AVERAGE(OFFSET($H$3,0,0,'Données projet'!$E$10+1,1))</f>
        <v>101.15586831191774</v>
      </c>
      <c r="AO54" s="59">
        <f t="shared" si="36"/>
        <v>346.96347336689064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26.885083481700544</v>
      </c>
      <c r="AV54" s="21">
        <f>EXP(-LN(2)/25)*AV53+(1-EXP(-LN(2)/25))/(LN(2)/25)*Calculateur!AQ54*Calculateur!AS54*VLOOKUP('Données projet'!$B$10,Paramètres!$A$1:$I$89,3,0)*0.475*44/12</f>
        <v>9.2127260118962209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36.097809493596763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10.199999999999999</v>
      </c>
      <c r="BD54" s="12">
        <f>IF('Données projet'!$A$88&gt;35,BD53+BC54-BL53,IF(A54&lt;'Données projet'!$A$88,$BA$205^A54,IF(A54='Données projet'!$A$88,'Données projet'!$B$88,BD53+BC54-BL53)))</f>
        <v>213.2</v>
      </c>
      <c r="BE54" s="13">
        <f>BD54*VLOOKUP('Données projet'!$B$11,Paramètres!$A$1:$I$89,3,0)*VLOOKUP('Données projet'!$B$11,Paramètres!$A$1:$I$89,5,0)</f>
        <v>192.90335999999999</v>
      </c>
      <c r="BF54" s="13">
        <f t="shared" si="37"/>
        <v>48.181276881765257</v>
      </c>
      <c r="BG54" s="20">
        <f t="shared" si="7"/>
        <v>419.8890759024078</v>
      </c>
      <c r="BH54" s="59">
        <f t="shared" si="8"/>
        <v>713.22240923574111</v>
      </c>
      <c r="BI54" s="59">
        <f ca="1">AVERAGE(OFFSET($BH$3,0,0,'Données projet'!$E$11+1,1))-AVERAGE(OFFSET($H$3,0,0,'Données projet'!$E$11+1,1))</f>
        <v>352.62747127358324</v>
      </c>
      <c r="BJ54" s="59">
        <f t="shared" si="38"/>
        <v>283.16932763435011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7.6177661462326069</v>
      </c>
      <c r="BQ54" s="21">
        <f>EXP(-LN(2)/25)*BQ53+(1-EXP(-LN(2)/25))/(LN(2)/25)*Calculateur!BL54*Calculateur!BN54*VLOOKUP('Données projet'!$B$11,Paramètres!$A$1:$I$89,3,0)*0.475*44/12</f>
        <v>0</v>
      </c>
      <c r="BR54" s="21">
        <f>EXP(-LN(2)/2)*BR53+(1-EXP(-LN(2)/2))/(LN(2)/2)*BL54*BO54*VLOOKUP('Données projet'!$B$11,Paramètres!$A$1:$I$89,3,0)*0.475*44/12</f>
        <v>0</v>
      </c>
      <c r="BS54" s="22">
        <f t="shared" si="9"/>
        <v>7.6177661462326069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10.199999999999999</v>
      </c>
      <c r="BY54" s="12">
        <f>IF('Données projet'!$A$114&gt;35,BY53+BX54-CG53,IF(A54&lt;'Données projet'!$A$114,$BV$205^A54,IF(A54='Données projet'!$A$114,'Données projet'!$B$114,BY53+BX54-CG53)))</f>
        <v>213.2</v>
      </c>
      <c r="BZ54" s="13">
        <f>BY54*VLOOKUP('Données projet'!$B$12,Paramètres!$A$1:$I$89,3,0)*VLOOKUP('Données projet'!$B$12,Paramètres!$A$1:$I$89,5,0)</f>
        <v>222.83663999999999</v>
      </c>
      <c r="CA54" s="13">
        <f t="shared" si="39"/>
        <v>54.730954957867816</v>
      </c>
      <c r="CB54" s="20">
        <f t="shared" si="10"/>
        <v>483.43022788495313</v>
      </c>
      <c r="CC54" s="59">
        <f t="shared" si="11"/>
        <v>776.76356121828644</v>
      </c>
      <c r="CD54" s="59">
        <f ca="1">AVERAGE(OFFSET($CC$3,0,0,'Données projet'!$E$12+1,1))-AVERAGE(OFFSET($H$3,0,0,'Données projet'!$E$12+1,1))</f>
        <v>423.49657671419374</v>
      </c>
      <c r="CE54" s="59">
        <f t="shared" si="40"/>
        <v>329.6783569381081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8.7998333068549091</v>
      </c>
      <c r="CL54" s="21">
        <f>EXP(-LN(2)/25)*CL53+(1-EXP(-LN(2)/25))/(LN(2)/25)*Calculateur!CG54*Calculateur!CI54*VLOOKUP('Données projet'!$B$12,Paramètres!$A$1:$I$89,3,0)*0.475*44/12</f>
        <v>0</v>
      </c>
      <c r="CM54" s="21">
        <f>EXP(-LN(2)/2)*CM53+(1-EXP(-LN(2)/2))/(LN(2)/2)*CG54*CJ54*VLOOKUP('Données projet'!$B$12,Paramètres!$A$1:$I$89,3,0)*0.475*44/12</f>
        <v>0</v>
      </c>
      <c r="CN54" s="22">
        <f t="shared" si="12"/>
        <v>8.7998333068549091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10.199999999999999</v>
      </c>
      <c r="CT54" s="12">
        <f>IF('Données projet'!$A$140&gt;35,CT53+CS54-DB53,IF(A54&lt;'Données projet'!$A$140,$CQ$205^A54,IF(A54='Données projet'!$A$140,'Données projet'!$B$140,CT53+CS54-DB53)))</f>
        <v>213.2</v>
      </c>
      <c r="CU54" s="17">
        <f>CT54*VLOOKUP('Données projet'!$B$13,Paramètres!$A$1:$I$89,3,0)*VLOOKUP('Données projet'!$B$13,Paramètres!$A$1:$I$89,5,0)</f>
        <v>216.1848</v>
      </c>
      <c r="CV54" s="13">
        <f t="shared" si="41"/>
        <v>53.284828478170375</v>
      </c>
      <c r="CW54" s="20">
        <f t="shared" si="13"/>
        <v>469.32626959947999</v>
      </c>
      <c r="CX54" s="59">
        <f t="shared" si="14"/>
        <v>762.6596029328133</v>
      </c>
      <c r="CY54" s="59">
        <f ca="1">AVERAGE(OFFSET($CX$3,0,0,'Données projet'!$E$13+1,1))-AVERAGE(OFFSET($H$3,0,0,'Données projet'!$E$13+1,1))</f>
        <v>407.76560346703042</v>
      </c>
      <c r="CZ54" s="59">
        <f t="shared" si="42"/>
        <v>319.35531375725202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8.5371517156055106</v>
      </c>
      <c r="DG54" s="21">
        <f>EXP(-LN(2)/25)*DG53+(1-EXP(-LN(2)/25))/(LN(2)/25)*Calculateur!DB54*Calculateur!DD54*VLOOKUP('Données projet'!$B$13,Paramètres!$A$1:$I$89,3,0)*0.475*44/12</f>
        <v>0</v>
      </c>
      <c r="DH54" s="21">
        <f>EXP(-LN(2)/2)*DH53+(1-EXP(-LN(2)/2))/(LN(2)/2)*DB54*DE54*VLOOKUP('Données projet'!$B$13,Paramètres!$A$1:$I$89,3,0)*0.475*44/12</f>
        <v>0</v>
      </c>
      <c r="DI54" s="22">
        <f t="shared" si="15"/>
        <v>8.5371517156055106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2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46.238400000000027</v>
      </c>
      <c r="D55" s="11">
        <f t="shared" si="32"/>
        <v>13.637932508790366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462.20326848890824</v>
      </c>
      <c r="H55" s="67">
        <f t="shared" si="1"/>
        <v>360.95127911947662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0</v>
      </c>
      <c r="N55" s="13">
        <f>IF('Données projet'!$A$36&gt;35,N54+M55-V54,IF(A55&lt;'Données projet'!$A$36,$K$205^A55,IF(A55='Données projet'!$A$36,'Données projet'!$B$36,N54+M55-V54)))</f>
        <v>0</v>
      </c>
      <c r="O55" s="13">
        <f>N55*VLOOKUP('Données projet'!$B$9,Paramètres!$A$1:$I$89,3,0)*VLOOKUP('Données projet'!$B$9,Paramètres!$A$1:$I$89,5,0)</f>
        <v>0</v>
      </c>
      <c r="P55" s="13" t="e">
        <f t="shared" si="33"/>
        <v>#NUM!</v>
      </c>
      <c r="Q55" s="20" t="e">
        <f t="shared" si="53"/>
        <v>#NUM!</v>
      </c>
      <c r="R55" s="59" t="e">
        <f t="shared" si="0"/>
        <v>#NUM!</v>
      </c>
      <c r="S55" s="59">
        <f ca="1">AVERAGE(OFFSET($R$3,0,0,'Données projet'!$E$9+1,1))-AVERAGE(OFFSET($H$3,0,0,'Données projet'!$E$9+1,1))</f>
        <v>101.15586831191774</v>
      </c>
      <c r="T55" s="59">
        <f t="shared" si="34"/>
        <v>346.96347336689064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26.357883392906125</v>
      </c>
      <c r="AA55" s="21">
        <f>EXP(-LN(2)/25)*AA54+(1-EXP(-LN(2)/25))/(LN(2)/25)*Calculateur!V55*Calculateur!X55*VLOOKUP('Données projet'!$B$9,Paramètres!$A$1:$I$89,3,0)*0.475*44/12</f>
        <v>8.9608035346247146</v>
      </c>
      <c r="AB55" s="21">
        <f>EXP(-LN(2)/2)*AB54+(1-EXP(-LN(2)/2))/(LN(2)/2)*V55*Y55*VLOOKUP('Données projet'!$B$9,Paramètres!$A$1:$I$89,3,0)*0.475*44/12</f>
        <v>0</v>
      </c>
      <c r="AC55" s="22">
        <f t="shared" si="3"/>
        <v>35.318686927530841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0</v>
      </c>
      <c r="AI55" s="13">
        <f>IF('Données projet'!$A$62&gt;35,AI54+AH55-AQ54,IF(A55&lt;'Données projet'!$A$62,$AF$205^A55,IF(A55='Données projet'!$A$62,'Données projet'!$B$62,AI54+AH55-AQ54)))</f>
        <v>0</v>
      </c>
      <c r="AJ55" s="13">
        <f>AI55*VLOOKUP('Données projet'!$B$10,Paramètres!$A$1:$I$89,3,0)*VLOOKUP('Données projet'!$B$10,Paramètres!$A$1:$I$89,5,0)</f>
        <v>0</v>
      </c>
      <c r="AK55" s="13" t="e">
        <f t="shared" si="35"/>
        <v>#NUM!</v>
      </c>
      <c r="AL55" s="20" t="e">
        <f t="shared" si="4"/>
        <v>#NUM!</v>
      </c>
      <c r="AM55" s="59" t="e">
        <f t="shared" si="5"/>
        <v>#NUM!</v>
      </c>
      <c r="AN55" s="59">
        <f ca="1">AVERAGE(OFFSET($AM$3,0,0,'Données projet'!$E$10+1,1))-AVERAGE(OFFSET($H$3,0,0,'Données projet'!$E$10+1,1))</f>
        <v>101.15586831191774</v>
      </c>
      <c r="AO55" s="59">
        <f t="shared" si="36"/>
        <v>346.96347336689064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26.357883392906125</v>
      </c>
      <c r="AV55" s="21">
        <f>EXP(-LN(2)/25)*AV54+(1-EXP(-LN(2)/25))/(LN(2)/25)*Calculateur!AQ55*Calculateur!AS55*VLOOKUP('Données projet'!$B$10,Paramètres!$A$1:$I$89,3,0)*0.475*44/12</f>
        <v>8.9608035346247146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35.318686927530841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10.199999999999999</v>
      </c>
      <c r="BD55" s="12">
        <f>IF('Données projet'!$A$88&gt;35,BD54+BC55-BL54,IF(A55&lt;'Données projet'!$A$88,$BA$205^A55,IF(A55='Données projet'!$A$88,'Données projet'!$B$88,BD54+BC55-BL54)))</f>
        <v>223.39999999999998</v>
      </c>
      <c r="BE55" s="13">
        <f>BD55*VLOOKUP('Données projet'!$B$11,Paramètres!$A$1:$I$89,3,0)*VLOOKUP('Données projet'!$B$11,Paramètres!$A$1:$I$89,5,0)</f>
        <v>202.13231999999996</v>
      </c>
      <c r="BF55" s="13">
        <f t="shared" si="37"/>
        <v>50.212497488959627</v>
      </c>
      <c r="BG55" s="20">
        <f t="shared" si="7"/>
        <v>439.50055712660463</v>
      </c>
      <c r="BH55" s="59">
        <f t="shared" si="8"/>
        <v>732.83389045993795</v>
      </c>
      <c r="BI55" s="59">
        <f ca="1">AVERAGE(OFFSET($BH$3,0,0,'Données projet'!$E$11+1,1))-AVERAGE(OFFSET($H$3,0,0,'Données projet'!$E$11+1,1))</f>
        <v>352.62747127358324</v>
      </c>
      <c r="BJ55" s="59">
        <f t="shared" si="38"/>
        <v>283.16932763435011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7.4683863984835428</v>
      </c>
      <c r="BQ55" s="21">
        <f>EXP(-LN(2)/25)*BQ54+(1-EXP(-LN(2)/25))/(LN(2)/25)*Calculateur!BL55*Calculateur!BN55*VLOOKUP('Données projet'!$B$11,Paramètres!$A$1:$I$89,3,0)*0.475*44/12</f>
        <v>0</v>
      </c>
      <c r="BR55" s="21">
        <f>EXP(-LN(2)/2)*BR54+(1-EXP(-LN(2)/2))/(LN(2)/2)*BL55*BO55*VLOOKUP('Données projet'!$B$11,Paramètres!$A$1:$I$89,3,0)*0.475*44/12</f>
        <v>0</v>
      </c>
      <c r="BS55" s="22">
        <f t="shared" si="9"/>
        <v>7.4683863984835428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10.199999999999999</v>
      </c>
      <c r="BY55" s="12">
        <f>IF('Données projet'!$A$114&gt;35,BY54+BX55-CG54,IF(A55&lt;'Données projet'!$A$114,$BV$205^A55,IF(A55='Données projet'!$A$114,'Données projet'!$B$114,BY54+BX55-CG54)))</f>
        <v>223.39999999999998</v>
      </c>
      <c r="BZ55" s="13">
        <f>BY55*VLOOKUP('Données projet'!$B$12,Paramètres!$A$1:$I$89,3,0)*VLOOKUP('Données projet'!$B$12,Paramètres!$A$1:$I$89,5,0)</f>
        <v>233.49768</v>
      </c>
      <c r="CA55" s="13">
        <f t="shared" si="39"/>
        <v>57.038296123496387</v>
      </c>
      <c r="CB55" s="20">
        <f t="shared" si="10"/>
        <v>506.01682508175617</v>
      </c>
      <c r="CC55" s="59">
        <f t="shared" si="11"/>
        <v>799.35015841508948</v>
      </c>
      <c r="CD55" s="59">
        <f ca="1">AVERAGE(OFFSET($CC$3,0,0,'Données projet'!$E$12+1,1))-AVERAGE(OFFSET($H$3,0,0,'Données projet'!$E$12+1,1))</f>
        <v>423.49657671419374</v>
      </c>
      <c r="CE55" s="59">
        <f t="shared" si="40"/>
        <v>329.6783569381081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8.6272739430758172</v>
      </c>
      <c r="CL55" s="21">
        <f>EXP(-LN(2)/25)*CL54+(1-EXP(-LN(2)/25))/(LN(2)/25)*Calculateur!CG55*Calculateur!CI55*VLOOKUP('Données projet'!$B$12,Paramètres!$A$1:$I$89,3,0)*0.475*44/12</f>
        <v>0</v>
      </c>
      <c r="CM55" s="21">
        <f>EXP(-LN(2)/2)*CM54+(1-EXP(-LN(2)/2))/(LN(2)/2)*CG55*CJ55*VLOOKUP('Données projet'!$B$12,Paramètres!$A$1:$I$89,3,0)*0.475*44/12</f>
        <v>0</v>
      </c>
      <c r="CN55" s="22">
        <f t="shared" si="12"/>
        <v>8.6272739430758172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10.199999999999999</v>
      </c>
      <c r="CT55" s="12">
        <f>IF('Données projet'!$A$140&gt;35,CT54+CS55-DB54,IF(A55&lt;'Données projet'!$A$140,$CQ$205^A55,IF(A55='Données projet'!$A$140,'Données projet'!$B$140,CT54+CS55-DB54)))</f>
        <v>223.39999999999998</v>
      </c>
      <c r="CU55" s="17">
        <f>CT55*VLOOKUP('Données projet'!$B$13,Paramètres!$A$1:$I$89,3,0)*VLOOKUP('Données projet'!$B$13,Paramètres!$A$1:$I$89,5,0)</f>
        <v>226.52759999999998</v>
      </c>
      <c r="CV55" s="13">
        <f t="shared" si="41"/>
        <v>55.531204013656371</v>
      </c>
      <c r="CW55" s="20">
        <f t="shared" si="13"/>
        <v>491.25241699045142</v>
      </c>
      <c r="CX55" s="59">
        <f t="shared" si="14"/>
        <v>784.58575032378474</v>
      </c>
      <c r="CY55" s="59">
        <f ca="1">AVERAGE(OFFSET($CX$3,0,0,'Données projet'!$E$13+1,1))-AVERAGE(OFFSET($H$3,0,0,'Données projet'!$E$13+1,1))</f>
        <v>407.76560346703042</v>
      </c>
      <c r="CZ55" s="59">
        <f t="shared" si="42"/>
        <v>319.35531375725202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>
        <f>EXP(-LN(2)/35)*DF54+(1-EXP(-LN(2)/35))/(LN(2)/35)*DB55*DC55*VLOOKUP('Données projet'!$B$13,Paramètres!$A$1:$I$89,3,0)*0.475*44/12</f>
        <v>8.3697433776108703</v>
      </c>
      <c r="DG55" s="21">
        <f>EXP(-LN(2)/25)*DG54+(1-EXP(-LN(2)/25))/(LN(2)/25)*Calculateur!DB55*Calculateur!DD55*VLOOKUP('Données projet'!$B$13,Paramètres!$A$1:$I$89,3,0)*0.475*44/12</f>
        <v>0</v>
      </c>
      <c r="DH55" s="21">
        <f>EXP(-LN(2)/2)*DH54+(1-EXP(-LN(2)/2))/(LN(2)/2)*DB55*DE55*VLOOKUP('Données projet'!$B$13,Paramètres!$A$1:$I$89,3,0)*0.475*44/12</f>
        <v>0</v>
      </c>
      <c r="DI55" s="22">
        <f t="shared" si="15"/>
        <v>8.3697433776108703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2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47.127600000000029</v>
      </c>
      <c r="D56" s="11">
        <f t="shared" si="32"/>
        <v>13.869414921287754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470.85415026958998</v>
      </c>
      <c r="H56" s="67">
        <f t="shared" si="1"/>
        <v>362.90313432124293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0</v>
      </c>
      <c r="N56" s="13">
        <f>IF('Données projet'!$A$36&gt;35,N55+M56-V55,IF(A56&lt;'Données projet'!$A$36,$K$205^A56,IF(A56='Données projet'!$A$36,'Données projet'!$B$36,N55+M56-V55)))</f>
        <v>0</v>
      </c>
      <c r="O56" s="13">
        <f>N56*VLOOKUP('Données projet'!$B$9,Paramètres!$A$1:$I$89,3,0)*VLOOKUP('Données projet'!$B$9,Paramètres!$A$1:$I$89,5,0)</f>
        <v>0</v>
      </c>
      <c r="P56" s="13" t="e">
        <f t="shared" si="33"/>
        <v>#NUM!</v>
      </c>
      <c r="Q56" s="20" t="e">
        <f t="shared" si="53"/>
        <v>#NUM!</v>
      </c>
      <c r="R56" s="59" t="e">
        <f t="shared" si="0"/>
        <v>#NUM!</v>
      </c>
      <c r="S56" s="59">
        <f ca="1">AVERAGE(OFFSET($R$3,0,0,'Données projet'!$E$9+1,1))-AVERAGE(OFFSET($H$3,0,0,'Données projet'!$E$9+1,1))</f>
        <v>101.15586831191774</v>
      </c>
      <c r="T56" s="59">
        <f t="shared" si="34"/>
        <v>346.96347336689064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25.841021376292662</v>
      </c>
      <c r="AA56" s="21">
        <f>EXP(-LN(2)/25)*AA55+(1-EXP(-LN(2)/25))/(LN(2)/25)*Calculateur!V56*Calculateur!X56*VLOOKUP('Données projet'!$B$9,Paramètres!$A$1:$I$89,3,0)*0.475*44/12</f>
        <v>8.7157698907422247</v>
      </c>
      <c r="AB56" s="21">
        <f>EXP(-LN(2)/2)*AB55+(1-EXP(-LN(2)/2))/(LN(2)/2)*V56*Y56*VLOOKUP('Données projet'!$B$9,Paramètres!$A$1:$I$89,3,0)*0.475*44/12</f>
        <v>0</v>
      </c>
      <c r="AC56" s="22">
        <f t="shared" si="3"/>
        <v>34.556791267034889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0</v>
      </c>
      <c r="AI56" s="13">
        <f>IF('Données projet'!$A$62&gt;35,AI55+AH56-AQ55,IF(A56&lt;'Données projet'!$A$62,$AF$205^A56,IF(A56='Données projet'!$A$62,'Données projet'!$B$62,AI55+AH56-AQ55)))</f>
        <v>0</v>
      </c>
      <c r="AJ56" s="13">
        <f>AI56*VLOOKUP('Données projet'!$B$10,Paramètres!$A$1:$I$89,3,0)*VLOOKUP('Données projet'!$B$10,Paramètres!$A$1:$I$89,5,0)</f>
        <v>0</v>
      </c>
      <c r="AK56" s="13" t="e">
        <f t="shared" si="35"/>
        <v>#NUM!</v>
      </c>
      <c r="AL56" s="20" t="e">
        <f t="shared" si="4"/>
        <v>#NUM!</v>
      </c>
      <c r="AM56" s="59" t="e">
        <f t="shared" si="5"/>
        <v>#NUM!</v>
      </c>
      <c r="AN56" s="59">
        <f ca="1">AVERAGE(OFFSET($AM$3,0,0,'Données projet'!$E$10+1,1))-AVERAGE(OFFSET($H$3,0,0,'Données projet'!$E$10+1,1))</f>
        <v>101.15586831191774</v>
      </c>
      <c r="AO56" s="59">
        <f t="shared" si="36"/>
        <v>346.96347336689064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25.841021376292662</v>
      </c>
      <c r="AV56" s="21">
        <f>EXP(-LN(2)/25)*AV55+(1-EXP(-LN(2)/25))/(LN(2)/25)*Calculateur!AQ56*Calculateur!AS56*VLOOKUP('Données projet'!$B$10,Paramètres!$A$1:$I$89,3,0)*0.475*44/12</f>
        <v>8.7157698907422247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34.556791267034889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10.199999999999999</v>
      </c>
      <c r="BD56" s="12">
        <f>IF('Données projet'!$A$88&gt;35,BD55+BC56-BL55,IF(A56&lt;'Données projet'!$A$88,$BA$205^A56,IF(A56='Données projet'!$A$88,'Données projet'!$B$88,BD55+BC56-BL55)))</f>
        <v>233.59999999999997</v>
      </c>
      <c r="BE56" s="13">
        <f>BD56*VLOOKUP('Données projet'!$B$11,Paramètres!$A$1:$I$89,3,0)*VLOOKUP('Données projet'!$B$11,Paramètres!$A$1:$I$89,5,0)</f>
        <v>211.36127999999997</v>
      </c>
      <c r="BF56" s="13">
        <f t="shared" si="37"/>
        <v>52.232947669705631</v>
      </c>
      <c r="BG56" s="20">
        <f t="shared" si="7"/>
        <v>459.09327985807062</v>
      </c>
      <c r="BH56" s="59">
        <f t="shared" si="8"/>
        <v>752.42661319140393</v>
      </c>
      <c r="BI56" s="59">
        <f ca="1">AVERAGE(OFFSET($BH$3,0,0,'Données projet'!$E$11+1,1))-AVERAGE(OFFSET($H$3,0,0,'Données projet'!$E$11+1,1))</f>
        <v>352.62747127358324</v>
      </c>
      <c r="BJ56" s="59">
        <f t="shared" si="38"/>
        <v>283.16932763435011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7.3219358964751882</v>
      </c>
      <c r="BQ56" s="21">
        <f>EXP(-LN(2)/25)*BQ55+(1-EXP(-LN(2)/25))/(LN(2)/25)*Calculateur!BL56*Calculateur!BN56*VLOOKUP('Données projet'!$B$11,Paramètres!$A$1:$I$89,3,0)*0.475*44/12</f>
        <v>0</v>
      </c>
      <c r="BR56" s="21">
        <f>EXP(-LN(2)/2)*BR55+(1-EXP(-LN(2)/2))/(LN(2)/2)*BL56*BO56*VLOOKUP('Données projet'!$B$11,Paramètres!$A$1:$I$89,3,0)*0.475*44/12</f>
        <v>0</v>
      </c>
      <c r="BS56" s="22">
        <f t="shared" si="9"/>
        <v>7.3219358964751882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10.199999999999999</v>
      </c>
      <c r="BY56" s="12">
        <f>IF('Données projet'!$A$114&gt;35,BY55+BX56-CG55,IF(A56&lt;'Données projet'!$A$114,$BV$205^A56,IF(A56='Données projet'!$A$114,'Données projet'!$B$114,BY55+BX56-CG55)))</f>
        <v>233.59999999999997</v>
      </c>
      <c r="BZ56" s="13">
        <f>BY56*VLOOKUP('Données projet'!$B$12,Paramètres!$A$1:$I$89,3,0)*VLOOKUP('Données projet'!$B$12,Paramètres!$A$1:$I$89,5,0)</f>
        <v>244.15872000000002</v>
      </c>
      <c r="CA56" s="13">
        <f t="shared" si="39"/>
        <v>59.333402749839792</v>
      </c>
      <c r="CB56" s="20">
        <f t="shared" si="10"/>
        <v>528.58211378930434</v>
      </c>
      <c r="CC56" s="59">
        <f t="shared" si="11"/>
        <v>821.91544712263772</v>
      </c>
      <c r="CD56" s="59">
        <f ca="1">AVERAGE(OFFSET($CC$3,0,0,'Données projet'!$E$12+1,1))-AVERAGE(OFFSET($H$3,0,0,'Données projet'!$E$12+1,1))</f>
        <v>423.49657671419374</v>
      </c>
      <c r="CE56" s="59">
        <f t="shared" si="40"/>
        <v>329.6783569381081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8.4580983631696149</v>
      </c>
      <c r="CL56" s="21">
        <f>EXP(-LN(2)/25)*CL55+(1-EXP(-LN(2)/25))/(LN(2)/25)*Calculateur!CG56*Calculateur!CI56*VLOOKUP('Données projet'!$B$12,Paramètres!$A$1:$I$89,3,0)*0.475*44/12</f>
        <v>0</v>
      </c>
      <c r="CM56" s="21">
        <f>EXP(-LN(2)/2)*CM55+(1-EXP(-LN(2)/2))/(LN(2)/2)*CG56*CJ56*VLOOKUP('Données projet'!$B$12,Paramètres!$A$1:$I$89,3,0)*0.475*44/12</f>
        <v>0</v>
      </c>
      <c r="CN56" s="22">
        <f t="shared" si="12"/>
        <v>8.4580983631696149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10.199999999999999</v>
      </c>
      <c r="CT56" s="12">
        <f>IF('Données projet'!$A$140&gt;35,CT55+CS56-DB55,IF(A56&lt;'Données projet'!$A$140,$CQ$205^A56,IF(A56='Données projet'!$A$140,'Données projet'!$B$140,CT55+CS56-DB55)))</f>
        <v>233.59999999999997</v>
      </c>
      <c r="CU56" s="17">
        <f>CT56*VLOOKUP('Données projet'!$B$13,Paramètres!$A$1:$I$89,3,0)*VLOOKUP('Données projet'!$B$13,Paramètres!$A$1:$I$89,5,0)</f>
        <v>236.87039999999996</v>
      </c>
      <c r="CV56" s="13">
        <f t="shared" si="41"/>
        <v>57.765668276484661</v>
      </c>
      <c r="CW56" s="20">
        <f t="shared" si="13"/>
        <v>513.15781891487734</v>
      </c>
      <c r="CX56" s="59">
        <f t="shared" si="14"/>
        <v>806.49115224821071</v>
      </c>
      <c r="CY56" s="59">
        <f ca="1">AVERAGE(OFFSET($CX$3,0,0,'Données projet'!$E$13+1,1))-AVERAGE(OFFSET($H$3,0,0,'Données projet'!$E$13+1,1))</f>
        <v>407.76560346703042</v>
      </c>
      <c r="CZ56" s="59">
        <f t="shared" si="42"/>
        <v>319.35531375725202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8.2056178150152999</v>
      </c>
      <c r="DG56" s="21">
        <f>EXP(-LN(2)/25)*DG55+(1-EXP(-LN(2)/25))/(LN(2)/25)*Calculateur!DB56*Calculateur!DD56*VLOOKUP('Données projet'!$B$13,Paramètres!$A$1:$I$89,3,0)*0.475*44/12</f>
        <v>0</v>
      </c>
      <c r="DH56" s="21">
        <f>EXP(-LN(2)/2)*DH55+(1-EXP(-LN(2)/2))/(LN(2)/2)*DB56*DE56*VLOOKUP('Données projet'!$B$13,Paramètres!$A$1:$I$89,3,0)*0.475*44/12</f>
        <v>0</v>
      </c>
      <c r="DI56" s="22">
        <f t="shared" si="15"/>
        <v>8.2056178150152999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2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48.016800000000032</v>
      </c>
      <c r="D57" s="11">
        <f t="shared" si="32"/>
        <v>14.100389472000563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479.50111171368889</v>
      </c>
      <c r="H57" s="67">
        <f t="shared" si="1"/>
        <v>364.85410499706774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0</v>
      </c>
      <c r="N57" s="13">
        <f>IF('Données projet'!$A$36&gt;35,N56+M57-V56,IF(A57&lt;'Données projet'!$A$36,$K$205^A57,IF(A57='Données projet'!$A$36,'Données projet'!$B$36,N56+M57-V56)))</f>
        <v>0</v>
      </c>
      <c r="O57" s="13">
        <f>N57*VLOOKUP('Données projet'!$B$9,Paramètres!$A$1:$I$89,3,0)*VLOOKUP('Données projet'!$B$9,Paramètres!$A$1:$I$89,5,0)</f>
        <v>0</v>
      </c>
      <c r="P57" s="13" t="e">
        <f t="shared" si="33"/>
        <v>#NUM!</v>
      </c>
      <c r="Q57" s="20" t="e">
        <f t="shared" si="53"/>
        <v>#NUM!</v>
      </c>
      <c r="R57" s="59" t="e">
        <f t="shared" si="0"/>
        <v>#NUM!</v>
      </c>
      <c r="S57" s="59">
        <f ca="1">AVERAGE(OFFSET($R$3,0,0,'Données projet'!$E$9+1,1))-AVERAGE(OFFSET($H$3,0,0,'Données projet'!$E$9+1,1))</f>
        <v>101.15586831191774</v>
      </c>
      <c r="T57" s="59">
        <f t="shared" si="34"/>
        <v>346.96347336689064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25.334294708570287</v>
      </c>
      <c r="AA57" s="21">
        <f>EXP(-LN(2)/25)*AA56+(1-EXP(-LN(2)/25))/(LN(2)/25)*Calculateur!V57*Calculateur!X57*VLOOKUP('Données projet'!$B$9,Paramètres!$A$1:$I$89,3,0)*0.475*44/12</f>
        <v>8.4774367047374604</v>
      </c>
      <c r="AB57" s="21">
        <f>EXP(-LN(2)/2)*AB56+(1-EXP(-LN(2)/2))/(LN(2)/2)*V57*Y57*VLOOKUP('Données projet'!$B$9,Paramètres!$A$1:$I$89,3,0)*0.475*44/12</f>
        <v>0</v>
      </c>
      <c r="AC57" s="22">
        <f t="shared" si="3"/>
        <v>33.811731413307747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0</v>
      </c>
      <c r="AI57" s="13">
        <f>IF('Données projet'!$A$62&gt;35,AI56+AH57-AQ56,IF(A57&lt;'Données projet'!$A$62,$AF$205^A57,IF(A57='Données projet'!$A$62,'Données projet'!$B$62,AI56+AH57-AQ56)))</f>
        <v>0</v>
      </c>
      <c r="AJ57" s="13">
        <f>AI57*VLOOKUP('Données projet'!$B$10,Paramètres!$A$1:$I$89,3,0)*VLOOKUP('Données projet'!$B$10,Paramètres!$A$1:$I$89,5,0)</f>
        <v>0</v>
      </c>
      <c r="AK57" s="13" t="e">
        <f t="shared" si="35"/>
        <v>#NUM!</v>
      </c>
      <c r="AL57" s="20" t="e">
        <f t="shared" si="4"/>
        <v>#NUM!</v>
      </c>
      <c r="AM57" s="59" t="e">
        <f t="shared" si="5"/>
        <v>#NUM!</v>
      </c>
      <c r="AN57" s="59">
        <f ca="1">AVERAGE(OFFSET($AM$3,0,0,'Données projet'!$E$10+1,1))-AVERAGE(OFFSET($H$3,0,0,'Données projet'!$E$10+1,1))</f>
        <v>101.15586831191774</v>
      </c>
      <c r="AO57" s="59">
        <f t="shared" si="36"/>
        <v>346.96347336689064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25.334294708570287</v>
      </c>
      <c r="AV57" s="21">
        <f>EXP(-LN(2)/25)*AV56+(1-EXP(-LN(2)/25))/(LN(2)/25)*Calculateur!AQ57*Calculateur!AS57*VLOOKUP('Données projet'!$B$10,Paramètres!$A$1:$I$89,3,0)*0.475*44/12</f>
        <v>8.4774367047374604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33.811731413307747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10.199999999999999</v>
      </c>
      <c r="BD57" s="12">
        <f>IF('Données projet'!$A$88&gt;35,BD56+BC57-BL56,IF(A57&lt;'Données projet'!$A$88,$BA$205^A57,IF(A57='Données projet'!$A$88,'Données projet'!$B$88,BD56+BC57-BL56)))</f>
        <v>243.79999999999995</v>
      </c>
      <c r="BE57" s="13">
        <f>BD57*VLOOKUP('Données projet'!$B$11,Paramètres!$A$1:$I$89,3,0)*VLOOKUP('Données projet'!$B$11,Paramètres!$A$1:$I$89,5,0)</f>
        <v>220.59023999999997</v>
      </c>
      <c r="BF57" s="13">
        <f t="shared" si="37"/>
        <v>54.24315145708789</v>
      </c>
      <c r="BG57" s="20">
        <f t="shared" si="7"/>
        <v>478.66815678776129</v>
      </c>
      <c r="BH57" s="59">
        <f t="shared" si="8"/>
        <v>772.00149012109455</v>
      </c>
      <c r="BI57" s="59">
        <f ca="1">AVERAGE(OFFSET($BH$3,0,0,'Données projet'!$E$11+1,1))-AVERAGE(OFFSET($H$3,0,0,'Données projet'!$E$11+1,1))</f>
        <v>352.62747127358324</v>
      </c>
      <c r="BJ57" s="59">
        <f t="shared" si="38"/>
        <v>283.16932763435011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7.178357199485232</v>
      </c>
      <c r="BQ57" s="21">
        <f>EXP(-LN(2)/25)*BQ56+(1-EXP(-LN(2)/25))/(LN(2)/25)*Calculateur!BL57*Calculateur!BN57*VLOOKUP('Données projet'!$B$11,Paramètres!$A$1:$I$89,3,0)*0.475*44/12</f>
        <v>0</v>
      </c>
      <c r="BR57" s="21">
        <f>EXP(-LN(2)/2)*BR56+(1-EXP(-LN(2)/2))/(LN(2)/2)*BL57*BO57*VLOOKUP('Données projet'!$B$11,Paramètres!$A$1:$I$89,3,0)*0.475*44/12</f>
        <v>0</v>
      </c>
      <c r="BS57" s="22">
        <f t="shared" si="9"/>
        <v>7.178357199485232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10.199999999999999</v>
      </c>
      <c r="BY57" s="12">
        <f>IF('Données projet'!$A$114&gt;35,BY56+BX57-CG56,IF(A57&lt;'Données projet'!$A$114,$BV$205^A57,IF(A57='Données projet'!$A$114,'Données projet'!$B$114,BY56+BX57-CG56)))</f>
        <v>243.79999999999995</v>
      </c>
      <c r="BZ57" s="13">
        <f>BY57*VLOOKUP('Données projet'!$B$12,Paramètres!$A$1:$I$89,3,0)*VLOOKUP('Données projet'!$B$12,Paramètres!$A$1:$I$89,5,0)</f>
        <v>254.81975999999997</v>
      </c>
      <c r="CA57" s="13">
        <f t="shared" si="39"/>
        <v>61.616870106118846</v>
      </c>
      <c r="CB57" s="20">
        <f t="shared" si="10"/>
        <v>551.12713076815692</v>
      </c>
      <c r="CC57" s="59">
        <f t="shared" si="11"/>
        <v>844.46046410149029</v>
      </c>
      <c r="CD57" s="59">
        <f ca="1">AVERAGE(OFFSET($CC$3,0,0,'Données projet'!$E$12+1,1))-AVERAGE(OFFSET($H$3,0,0,'Données projet'!$E$12+1,1))</f>
        <v>423.49657671419374</v>
      </c>
      <c r="CE57" s="59">
        <f t="shared" si="40"/>
        <v>329.6783569381081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8.2922402131984576</v>
      </c>
      <c r="CL57" s="21">
        <f>EXP(-LN(2)/25)*CL56+(1-EXP(-LN(2)/25))/(LN(2)/25)*Calculateur!CG57*Calculateur!CI57*VLOOKUP('Données projet'!$B$12,Paramètres!$A$1:$I$89,3,0)*0.475*44/12</f>
        <v>0</v>
      </c>
      <c r="CM57" s="21">
        <f>EXP(-LN(2)/2)*CM56+(1-EXP(-LN(2)/2))/(LN(2)/2)*CG57*CJ57*VLOOKUP('Données projet'!$B$12,Paramètres!$A$1:$I$89,3,0)*0.475*44/12</f>
        <v>0</v>
      </c>
      <c r="CN57" s="22">
        <f t="shared" si="12"/>
        <v>8.2922402131984576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10.199999999999999</v>
      </c>
      <c r="CT57" s="12">
        <f>IF('Données projet'!$A$140&gt;35,CT56+CS57-DB56,IF(A57&lt;'Données projet'!$A$140,$CQ$205^A57,IF(A57='Données projet'!$A$140,'Données projet'!$B$140,CT56+CS57-DB56)))</f>
        <v>243.79999999999995</v>
      </c>
      <c r="CU57" s="17">
        <f>CT57*VLOOKUP('Données projet'!$B$13,Paramètres!$A$1:$I$89,3,0)*VLOOKUP('Données projet'!$B$13,Paramètres!$A$1:$I$89,5,0)</f>
        <v>247.21319999999997</v>
      </c>
      <c r="CV57" s="13">
        <f t="shared" si="41"/>
        <v>59.988800807398761</v>
      </c>
      <c r="CW57" s="20">
        <f t="shared" si="13"/>
        <v>535.04348473955281</v>
      </c>
      <c r="CX57" s="59">
        <f t="shared" si="14"/>
        <v>828.37681807288618</v>
      </c>
      <c r="CY57" s="59">
        <f ca="1">AVERAGE(OFFSET($CX$3,0,0,'Données projet'!$E$13+1,1))-AVERAGE(OFFSET($H$3,0,0,'Données projet'!$E$13+1,1))</f>
        <v>407.76560346703042</v>
      </c>
      <c r="CZ57" s="59">
        <f t="shared" si="42"/>
        <v>319.35531375725202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8.0447106545955211</v>
      </c>
      <c r="DG57" s="21">
        <f>EXP(-LN(2)/25)*DG56+(1-EXP(-LN(2)/25))/(LN(2)/25)*Calculateur!DB57*Calculateur!DD57*VLOOKUP('Données projet'!$B$13,Paramètres!$A$1:$I$89,3,0)*0.475*44/12</f>
        <v>0</v>
      </c>
      <c r="DH57" s="21">
        <f>EXP(-LN(2)/2)*DH56+(1-EXP(-LN(2)/2))/(LN(2)/2)*DB57*DE57*VLOOKUP('Données projet'!$B$13,Paramètres!$A$1:$I$89,3,0)*0.475*44/12</f>
        <v>0</v>
      </c>
      <c r="DI57" s="22">
        <f t="shared" si="15"/>
        <v>8.0447106545955211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2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48.906000000000034</v>
      </c>
      <c r="D58" s="11">
        <f t="shared" si="32"/>
        <v>14.330866650402033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488.14423379257738</v>
      </c>
      <c r="H58" s="67">
        <f t="shared" si="1"/>
        <v>366.80420941611692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0</v>
      </c>
      <c r="N58" s="13">
        <f>IF('Données projet'!$A$36&gt;35,N57+M58-V57,IF(A58&lt;'Données projet'!$A$36,$K$205^A58,IF(A58='Données projet'!$A$36,'Données projet'!$B$36,N57+M58-V57)))</f>
        <v>0</v>
      </c>
      <c r="O58" s="13">
        <f>N58*VLOOKUP('Données projet'!$B$9,Paramètres!$A$1:$I$89,3,0)*VLOOKUP('Données projet'!$B$9,Paramètres!$A$1:$I$89,5,0)</f>
        <v>0</v>
      </c>
      <c r="P58" s="13" t="e">
        <f t="shared" si="33"/>
        <v>#NUM!</v>
      </c>
      <c r="Q58" s="20" t="e">
        <f t="shared" si="53"/>
        <v>#NUM!</v>
      </c>
      <c r="R58" s="59" t="e">
        <f t="shared" si="0"/>
        <v>#NUM!</v>
      </c>
      <c r="S58" s="59">
        <f ca="1">AVERAGE(OFFSET($R$3,0,0,'Données projet'!$E$9+1,1))-AVERAGE(OFFSET($H$3,0,0,'Données projet'!$E$9+1,1))</f>
        <v>101.15586831191774</v>
      </c>
      <c r="T58" s="59">
        <f t="shared" si="34"/>
        <v>346.96347336689064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24.837504641729197</v>
      </c>
      <c r="AA58" s="21">
        <f>EXP(-LN(2)/25)*AA57+(1-EXP(-LN(2)/25))/(LN(2)/25)*Calculateur!V58*Calculateur!X58*VLOOKUP('Données projet'!$B$9,Paramètres!$A$1:$I$89,3,0)*0.475*44/12</f>
        <v>8.245620752237393</v>
      </c>
      <c r="AB58" s="21">
        <f>EXP(-LN(2)/2)*AB57+(1-EXP(-LN(2)/2))/(LN(2)/2)*V58*Y58*VLOOKUP('Données projet'!$B$9,Paramètres!$A$1:$I$89,3,0)*0.475*44/12</f>
        <v>0</v>
      </c>
      <c r="AC58" s="22">
        <f t="shared" si="3"/>
        <v>33.08312539396659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0</v>
      </c>
      <c r="AI58" s="13">
        <f>IF('Données projet'!$A$62&gt;35,AI57+AH58-AQ57,IF(A58&lt;'Données projet'!$A$62,$AF$205^A58,IF(A58='Données projet'!$A$62,'Données projet'!$B$62,AI57+AH58-AQ57)))</f>
        <v>0</v>
      </c>
      <c r="AJ58" s="13">
        <f>AI58*VLOOKUP('Données projet'!$B$10,Paramètres!$A$1:$I$89,3,0)*VLOOKUP('Données projet'!$B$10,Paramètres!$A$1:$I$89,5,0)</f>
        <v>0</v>
      </c>
      <c r="AK58" s="13" t="e">
        <f t="shared" si="35"/>
        <v>#NUM!</v>
      </c>
      <c r="AL58" s="20" t="e">
        <f t="shared" si="4"/>
        <v>#NUM!</v>
      </c>
      <c r="AM58" s="59" t="e">
        <f t="shared" si="5"/>
        <v>#NUM!</v>
      </c>
      <c r="AN58" s="59">
        <f ca="1">AVERAGE(OFFSET($AM$3,0,0,'Données projet'!$E$10+1,1))-AVERAGE(OFFSET($H$3,0,0,'Données projet'!$E$10+1,1))</f>
        <v>101.15586831191774</v>
      </c>
      <c r="AO58" s="59">
        <f t="shared" si="36"/>
        <v>346.96347336689064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24.837504641729197</v>
      </c>
      <c r="AV58" s="21">
        <f>EXP(-LN(2)/25)*AV57+(1-EXP(-LN(2)/25))/(LN(2)/25)*Calculateur!AQ58*Calculateur!AS58*VLOOKUP('Données projet'!$B$10,Paramètres!$A$1:$I$89,3,0)*0.475*44/12</f>
        <v>8.245620752237393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33.08312539396659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>
        <f>VLOOKUP(A58,'Données projet'!$A$87:$I$107,2,0)</f>
        <v>254</v>
      </c>
      <c r="BB58" s="12">
        <f>VLOOKUP(A58,'Données projet'!$A$87:$I$107,9,0)</f>
        <v>10.199999999999999</v>
      </c>
      <c r="BC58" s="12">
        <f t="array" ref="BC58">INDEX(BB:BB,MIN(IF(ISNUMBER(BB58:BB254),ROW(BB58:BB254),"")))</f>
        <v>10.199999999999999</v>
      </c>
      <c r="BD58" s="12">
        <f>IF('Données projet'!$A$88&gt;35,BD57+BC58-BL57,IF(A58&lt;'Données projet'!$A$88,$BA$205^A58,IF(A58='Données projet'!$A$88,'Données projet'!$B$88,BD57+BC58-BL57)))</f>
        <v>253.99999999999994</v>
      </c>
      <c r="BE58" s="13">
        <f>BD58*VLOOKUP('Données projet'!$B$11,Paramètres!$A$1:$I$89,3,0)*VLOOKUP('Données projet'!$B$11,Paramètres!$A$1:$I$89,5,0)</f>
        <v>229.81919999999997</v>
      </c>
      <c r="BF58" s="13">
        <f t="shared" si="37"/>
        <v>56.243586554989342</v>
      </c>
      <c r="BG58" s="20">
        <f t="shared" si="7"/>
        <v>498.22601991660639</v>
      </c>
      <c r="BH58" s="59">
        <f t="shared" si="8"/>
        <v>791.5593532499397</v>
      </c>
      <c r="BI58" s="59">
        <f ca="1">AVERAGE(OFFSET($BH$3,0,0,'Données projet'!$E$11+1,1))-AVERAGE(OFFSET($H$3,0,0,'Données projet'!$E$11+1,1))</f>
        <v>352.62747127358324</v>
      </c>
      <c r="BJ58" s="59">
        <f t="shared" si="38"/>
        <v>283.16932763435011</v>
      </c>
      <c r="BK58" s="15">
        <f>IF(ISNA(VLOOKUP(A58,'Données projet'!$A$87:$I$107,3,0)),0,VLOOKUP(A58,'Données projet'!$A$87:$I$107,3,0))</f>
        <v>8</v>
      </c>
      <c r="BL58" s="15">
        <f>IF(ISNA(VLOOKUP(A58,'Données projet'!$A$87:$I$107,4,0)),0,VLOOKUP(A58,'Données projet'!$A$87:$I$107,4,0))</f>
        <v>28</v>
      </c>
      <c r="BM58" s="16">
        <f>IF(ISNA(VLOOKUP(A58,'Données projet'!$A$87:$I$107,5,0)),0%,VLOOKUP(A58,'Données projet'!$A$87:$I$107,5,0)*VLOOKUP('Données projet'!$B$11,Paramètres!$A$1:$I$89,7,0))</f>
        <v>0.129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10.650423306206795</v>
      </c>
      <c r="BQ58" s="21">
        <f>EXP(-LN(2)/25)*BQ57+(1-EXP(-LN(2)/25))/(LN(2)/25)*Calculateur!BL58*Calculateur!BN58*VLOOKUP('Données projet'!$B$11,Paramètres!$A$1:$I$89,3,0)*0.475*44/12</f>
        <v>0</v>
      </c>
      <c r="BR58" s="21">
        <f>EXP(-LN(2)/2)*BR57+(1-EXP(-LN(2)/2))/(LN(2)/2)*BL58*BO58*VLOOKUP('Données projet'!$B$11,Paramètres!$A$1:$I$89,3,0)*0.475*44/12</f>
        <v>0</v>
      </c>
      <c r="BS58" s="22">
        <f t="shared" si="9"/>
        <v>10.650423306206795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>
        <f>VLOOKUP(A58,'Données projet'!$A$113:$I$133,2,0)</f>
        <v>254</v>
      </c>
      <c r="BW58" s="12">
        <f>VLOOKUP(A58,'Données projet'!$A$113:$I$133,9,0)</f>
        <v>10.199999999999999</v>
      </c>
      <c r="BX58" s="12">
        <f t="array" ref="BX58">INDEX(BW:BW,MIN(IF(ISNUMBER(BW58:BW254),ROW(BW58:BW254),"")))</f>
        <v>10.199999999999999</v>
      </c>
      <c r="BY58" s="12">
        <f>IF('Données projet'!$A$114&gt;35,BY57+BX58-CG57,IF(A58&lt;'Données projet'!$A$114,$BV$205^A58,IF(A58='Données projet'!$A$114,'Données projet'!$B$114,BY57+BX58-CG57)))</f>
        <v>253.99999999999994</v>
      </c>
      <c r="BZ58" s="13">
        <f>BY58*VLOOKUP('Données projet'!$B$12,Paramètres!$A$1:$I$89,3,0)*VLOOKUP('Données projet'!$B$12,Paramètres!$A$1:$I$89,5,0)</f>
        <v>265.48079999999999</v>
      </c>
      <c r="CA58" s="13">
        <f t="shared" si="39"/>
        <v>63.889240834442589</v>
      </c>
      <c r="CB58" s="20">
        <f t="shared" si="10"/>
        <v>573.65282111998749</v>
      </c>
      <c r="CC58" s="59">
        <f t="shared" si="11"/>
        <v>866.98615445332075</v>
      </c>
      <c r="CD58" s="59">
        <f ca="1">AVERAGE(OFFSET($CC$3,0,0,'Données projet'!$E$12+1,1))-AVERAGE(OFFSET($H$3,0,0,'Données projet'!$E$12+1,1))</f>
        <v>423.49657671419374</v>
      </c>
      <c r="CE58" s="59">
        <f t="shared" si="40"/>
        <v>329.6783569381081</v>
      </c>
      <c r="CF58" s="15">
        <f>IF(ISNA(VLOOKUP(A58,'Données projet'!$A$113:$I$133,3,0)),0,VLOOKUP(A58,'Données projet'!$A$113:$I$133,3,0))</f>
        <v>8</v>
      </c>
      <c r="CG58" s="15">
        <f>IF(ISNA(VLOOKUP(A58,'Données projet'!$A$113:$I$133,4,0)),0,VLOOKUP(A58,'Données projet'!$A$113:$I$133,4,0))</f>
        <v>28</v>
      </c>
      <c r="CH58" s="16">
        <f>IF(ISNA(VLOOKUP(A58,'Données projet'!$A$113:$I$133,5,0)),0%,VLOOKUP(A58,'Données projet'!$A$113:$I$133,5,0)*VLOOKUP('Données projet'!$B$12,Paramètres!$A$1:$I$89,7,0))</f>
        <v>0.129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12.303075198549228</v>
      </c>
      <c r="CL58" s="21">
        <f>EXP(-LN(2)/25)*CL57+(1-EXP(-LN(2)/25))/(LN(2)/25)*Calculateur!CG58*Calculateur!CI58*VLOOKUP('Données projet'!$B$12,Paramètres!$A$1:$I$89,3,0)*0.475*44/12</f>
        <v>0</v>
      </c>
      <c r="CM58" s="21">
        <f>EXP(-LN(2)/2)*CM57+(1-EXP(-LN(2)/2))/(LN(2)/2)*CG58*CJ58*VLOOKUP('Données projet'!$B$12,Paramètres!$A$1:$I$89,3,0)*0.475*44/12</f>
        <v>0</v>
      </c>
      <c r="CN58" s="22">
        <f t="shared" si="12"/>
        <v>12.303075198549228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>
        <f>VLOOKUP(A58,'Données projet'!$A$139:$I$159,2,0)</f>
        <v>254</v>
      </c>
      <c r="CR58" s="12">
        <f>VLOOKUP(A58,'Données projet'!$A$139:$I$159,9,0)</f>
        <v>10.199999999999999</v>
      </c>
      <c r="CS58" s="12">
        <f t="array" ref="CS58">INDEX(CR:CR,MIN(IF(ISNUMBER(CR58:CR254),ROW(CR58:CR254),"")))</f>
        <v>10.199999999999999</v>
      </c>
      <c r="CT58" s="12">
        <f>IF('Données projet'!$A$140&gt;35,CT57+CS58-DB57,IF(A58&lt;'Données projet'!$A$140,$CQ$205^A58,IF(A58='Données projet'!$A$140,'Données projet'!$B$140,CT57+CS58-DB57)))</f>
        <v>253.99999999999994</v>
      </c>
      <c r="CU58" s="17">
        <f>CT58*VLOOKUP('Données projet'!$B$13,Paramètres!$A$1:$I$89,3,0)*VLOOKUP('Données projet'!$B$13,Paramètres!$A$1:$I$89,5,0)</f>
        <v>257.55599999999998</v>
      </c>
      <c r="CV58" s="13">
        <f t="shared" si="41"/>
        <v>62.201129910568184</v>
      </c>
      <c r="CW58" s="20">
        <f t="shared" si="13"/>
        <v>556.91033459423954</v>
      </c>
      <c r="CX58" s="59">
        <f t="shared" si="14"/>
        <v>850.24366792757291</v>
      </c>
      <c r="CY58" s="59">
        <f ca="1">AVERAGE(OFFSET($CX$3,0,0,'Données projet'!$E$13+1,1))-AVERAGE(OFFSET($H$3,0,0,'Données projet'!$E$13+1,1))</f>
        <v>407.76560346703042</v>
      </c>
      <c r="CZ58" s="59">
        <f t="shared" si="42"/>
        <v>319.35531375725202</v>
      </c>
      <c r="DA58" s="15">
        <f>IF(ISNA(VLOOKUP(A58,'Données projet'!$A$139:$I$159,3,0)),0,VLOOKUP(A58,'Données projet'!$A$139:$I$159,3,0))</f>
        <v>8</v>
      </c>
      <c r="DB58" s="15">
        <f>IF(ISNA(VLOOKUP(A58,'Données projet'!$A$139:$I$159,4,0)),0,VLOOKUP(A58,'Données projet'!$A$139:$I$159,4,0))</f>
        <v>28</v>
      </c>
      <c r="DC58" s="16">
        <f>IF(ISNA(VLOOKUP(A58,'Données projet'!$A$139:$I$159,5,0)),0%,VLOOKUP(A58,'Données projet'!$A$139:$I$159,5,0)*VLOOKUP('Données projet'!$B$13,Paramètres!$A$1:$I$89,7,0))</f>
        <v>0.129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>
        <f>EXP(-LN(2)/35)*DF57+(1-EXP(-LN(2)/35))/(LN(2)/35)*DB58*DC58*VLOOKUP('Données projet'!$B$13,Paramètres!$A$1:$I$89,3,0)*0.475*44/12</f>
        <v>11.935819222473135</v>
      </c>
      <c r="DG58" s="21">
        <f>EXP(-LN(2)/25)*DG57+(1-EXP(-LN(2)/25))/(LN(2)/25)*Calculateur!DB58*Calculateur!DD58*VLOOKUP('Données projet'!$B$13,Paramètres!$A$1:$I$89,3,0)*0.475*44/12</f>
        <v>0</v>
      </c>
      <c r="DH58" s="21">
        <f>EXP(-LN(2)/2)*DH57+(1-EXP(-LN(2)/2))/(LN(2)/2)*DB58*DE58*VLOOKUP('Données projet'!$B$13,Paramètres!$A$1:$I$89,3,0)*0.475*44/12</f>
        <v>0</v>
      </c>
      <c r="DI58" s="22">
        <f t="shared" si="15"/>
        <v>11.935819222473135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2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49.795200000000037</v>
      </c>
      <c r="D59" s="11">
        <f t="shared" si="32"/>
        <v>14.560856542690786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496.78359436463097</v>
      </c>
      <c r="H59" s="67">
        <f t="shared" si="1"/>
        <v>368.75346514518651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0</v>
      </c>
      <c r="N59" s="13">
        <f>IF('Données projet'!$A$36&gt;35,N58+M59-V58,IF(A59&lt;'Données projet'!$A$36,$K$205^A59,IF(A59='Données projet'!$A$36,'Données projet'!$B$36,N58+M59-V58)))</f>
        <v>0</v>
      </c>
      <c r="O59" s="13">
        <f>N59*VLOOKUP('Données projet'!$B$9,Paramètres!$A$1:$I$89,3,0)*VLOOKUP('Données projet'!$B$9,Paramètres!$A$1:$I$89,5,0)</f>
        <v>0</v>
      </c>
      <c r="P59" s="13" t="e">
        <f t="shared" si="33"/>
        <v>#NUM!</v>
      </c>
      <c r="Q59" s="20" t="e">
        <f t="shared" si="53"/>
        <v>#NUM!</v>
      </c>
      <c r="R59" s="59" t="e">
        <f t="shared" si="0"/>
        <v>#NUM!</v>
      </c>
      <c r="S59" s="59">
        <f ca="1">AVERAGE(OFFSET($R$3,0,0,'Données projet'!$E$9+1,1))-AVERAGE(OFFSET($H$3,0,0,'Données projet'!$E$9+1,1))</f>
        <v>101.15586831191774</v>
      </c>
      <c r="T59" s="59">
        <f t="shared" si="34"/>
        <v>346.96347336689064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24.350456325086842</v>
      </c>
      <c r="AA59" s="21">
        <f>EXP(-LN(2)/25)*AA58+(1-EXP(-LN(2)/25))/(LN(2)/25)*Calculateur!V59*Calculateur!X59*VLOOKUP('Données projet'!$B$9,Paramètres!$A$1:$I$89,3,0)*0.475*44/12</f>
        <v>8.0201438191491121</v>
      </c>
      <c r="AB59" s="21">
        <f>EXP(-LN(2)/2)*AB58+(1-EXP(-LN(2)/2))/(LN(2)/2)*V59*Y59*VLOOKUP('Données projet'!$B$9,Paramètres!$A$1:$I$89,3,0)*0.475*44/12</f>
        <v>0</v>
      </c>
      <c r="AC59" s="22">
        <f t="shared" si="3"/>
        <v>32.370600144235951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0</v>
      </c>
      <c r="AI59" s="13">
        <f>IF('Données projet'!$A$62&gt;35,AI58+AH59-AQ58,IF(A59&lt;'Données projet'!$A$62,$AF$205^A59,IF(A59='Données projet'!$A$62,'Données projet'!$B$62,AI58+AH59-AQ58)))</f>
        <v>0</v>
      </c>
      <c r="AJ59" s="13">
        <f>AI59*VLOOKUP('Données projet'!$B$10,Paramètres!$A$1:$I$89,3,0)*VLOOKUP('Données projet'!$B$10,Paramètres!$A$1:$I$89,5,0)</f>
        <v>0</v>
      </c>
      <c r="AK59" s="13" t="e">
        <f t="shared" si="35"/>
        <v>#NUM!</v>
      </c>
      <c r="AL59" s="20" t="e">
        <f t="shared" si="4"/>
        <v>#NUM!</v>
      </c>
      <c r="AM59" s="59" t="e">
        <f t="shared" si="5"/>
        <v>#NUM!</v>
      </c>
      <c r="AN59" s="59">
        <f ca="1">AVERAGE(OFFSET($AM$3,0,0,'Données projet'!$E$10+1,1))-AVERAGE(OFFSET($H$3,0,0,'Données projet'!$E$10+1,1))</f>
        <v>101.15586831191774</v>
      </c>
      <c r="AO59" s="59">
        <f t="shared" si="36"/>
        <v>346.96347336689064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24.350456325086842</v>
      </c>
      <c r="AV59" s="21">
        <f>EXP(-LN(2)/25)*AV58+(1-EXP(-LN(2)/25))/(LN(2)/25)*Calculateur!AQ59*Calculateur!AS59*VLOOKUP('Données projet'!$B$10,Paramètres!$A$1:$I$89,3,0)*0.475*44/12</f>
        <v>8.0201438191491121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32.370600144235951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9.4</v>
      </c>
      <c r="BD59" s="12">
        <f>IF('Données projet'!$A$88&gt;35,BD58+BC59-BL58,IF(A59&lt;'Données projet'!$A$88,$BA$205^A59,IF(A59='Données projet'!$A$88,'Données projet'!$B$88,BD58+BC59-BL58)))</f>
        <v>235.39999999999992</v>
      </c>
      <c r="BE59" s="13">
        <f>BD59*VLOOKUP('Données projet'!$B$11,Paramètres!$A$1:$I$89,3,0)*VLOOKUP('Données projet'!$B$11,Paramètres!$A$1:$I$89,5,0)</f>
        <v>212.98991999999993</v>
      </c>
      <c r="BF59" s="13">
        <f t="shared" si="37"/>
        <v>52.588419883221121</v>
      </c>
      <c r="BG59" s="20">
        <f t="shared" si="7"/>
        <v>462.5489419632766</v>
      </c>
      <c r="BH59" s="59">
        <f t="shared" si="8"/>
        <v>755.88227529660992</v>
      </c>
      <c r="BI59" s="59">
        <f ca="1">AVERAGE(OFFSET($BH$3,0,0,'Données projet'!$E$11+1,1))-AVERAGE(OFFSET($H$3,0,0,'Données projet'!$E$11+1,1))</f>
        <v>352.62747127358324</v>
      </c>
      <c r="BJ59" s="59">
        <f t="shared" si="38"/>
        <v>283.16932763435011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10.441575001288859</v>
      </c>
      <c r="BQ59" s="21">
        <f>EXP(-LN(2)/25)*BQ58+(1-EXP(-LN(2)/25))/(LN(2)/25)*Calculateur!BL59*Calculateur!BN59*VLOOKUP('Données projet'!$B$11,Paramètres!$A$1:$I$89,3,0)*0.475*44/12</f>
        <v>0</v>
      </c>
      <c r="BR59" s="21">
        <f>EXP(-LN(2)/2)*BR58+(1-EXP(-LN(2)/2))/(LN(2)/2)*BL59*BO59*VLOOKUP('Données projet'!$B$11,Paramètres!$A$1:$I$89,3,0)*0.475*44/12</f>
        <v>0</v>
      </c>
      <c r="BS59" s="22">
        <f t="shared" si="9"/>
        <v>10.441575001288859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9.4</v>
      </c>
      <c r="BY59" s="12">
        <f>IF('Données projet'!$A$114&gt;35,BY58+BX59-CG58,IF(A59&lt;'Données projet'!$A$114,$BV$205^A59,IF(A59='Données projet'!$A$114,'Données projet'!$B$114,BY58+BX59-CG58)))</f>
        <v>235.39999999999992</v>
      </c>
      <c r="BZ59" s="13">
        <f>BY59*VLOOKUP('Données projet'!$B$12,Paramètres!$A$1:$I$89,3,0)*VLOOKUP('Données projet'!$B$12,Paramètres!$A$1:$I$89,5,0)</f>
        <v>246.04007999999996</v>
      </c>
      <c r="CA59" s="13">
        <f t="shared" si="39"/>
        <v>59.737197231136641</v>
      </c>
      <c r="CB59" s="20">
        <f t="shared" si="10"/>
        <v>532.56209117756305</v>
      </c>
      <c r="CC59" s="59">
        <f t="shared" si="11"/>
        <v>825.89542451089642</v>
      </c>
      <c r="CD59" s="59">
        <f ca="1">AVERAGE(OFFSET($CC$3,0,0,'Données projet'!$E$12+1,1))-AVERAGE(OFFSET($H$3,0,0,'Données projet'!$E$12+1,1))</f>
        <v>423.49657671419374</v>
      </c>
      <c r="CE59" s="59">
        <f t="shared" si="40"/>
        <v>329.6783569381081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12.061819398040578</v>
      </c>
      <c r="CL59" s="21">
        <f>EXP(-LN(2)/25)*CL58+(1-EXP(-LN(2)/25))/(LN(2)/25)*Calculateur!CG59*Calculateur!CI59*VLOOKUP('Données projet'!$B$12,Paramètres!$A$1:$I$89,3,0)*0.475*44/12</f>
        <v>0</v>
      </c>
      <c r="CM59" s="21">
        <f>EXP(-LN(2)/2)*CM58+(1-EXP(-LN(2)/2))/(LN(2)/2)*CG59*CJ59*VLOOKUP('Données projet'!$B$12,Paramètres!$A$1:$I$89,3,0)*0.475*44/12</f>
        <v>0</v>
      </c>
      <c r="CN59" s="22">
        <f t="shared" si="12"/>
        <v>12.061819398040578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9.4</v>
      </c>
      <c r="CT59" s="12">
        <f>IF('Données projet'!$A$140&gt;35,CT58+CS59-DB58,IF(A59&lt;'Données projet'!$A$140,$CQ$205^A59,IF(A59='Données projet'!$A$140,'Données projet'!$B$140,CT58+CS59-DB58)))</f>
        <v>235.39999999999992</v>
      </c>
      <c r="CU59" s="17">
        <f>CT59*VLOOKUP('Données projet'!$B$13,Paramètres!$A$1:$I$89,3,0)*VLOOKUP('Données projet'!$B$13,Paramètres!$A$1:$I$89,5,0)</f>
        <v>238.69559999999996</v>
      </c>
      <c r="CV59" s="13">
        <f t="shared" si="41"/>
        <v>58.158793514165929</v>
      </c>
      <c r="CW59" s="20">
        <f t="shared" si="13"/>
        <v>517.02140203717238</v>
      </c>
      <c r="CX59" s="59">
        <f t="shared" si="14"/>
        <v>810.35473537050575</v>
      </c>
      <c r="CY59" s="59">
        <f ca="1">AVERAGE(OFFSET($CX$3,0,0,'Données projet'!$E$13+1,1))-AVERAGE(OFFSET($H$3,0,0,'Données projet'!$E$13+1,1))</f>
        <v>407.76560346703042</v>
      </c>
      <c r="CZ59" s="59">
        <f t="shared" si="42"/>
        <v>319.35531375725202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projet'!$B$13,Paramètres!$A$1:$I$89,3,0)*0.475*44/12</f>
        <v>11.70176508765131</v>
      </c>
      <c r="DG59" s="21">
        <f>EXP(-LN(2)/25)*DG58+(1-EXP(-LN(2)/25))/(LN(2)/25)*Calculateur!DB59*Calculateur!DD59*VLOOKUP('Données projet'!$B$13,Paramètres!$A$1:$I$89,3,0)*0.475*44/12</f>
        <v>0</v>
      </c>
      <c r="DH59" s="21">
        <f>EXP(-LN(2)/2)*DH58+(1-EXP(-LN(2)/2))/(LN(2)/2)*DB59*DE59*VLOOKUP('Données projet'!$B$13,Paramètres!$A$1:$I$89,3,0)*0.475*44/12</f>
        <v>0</v>
      </c>
      <c r="DI59" s="22">
        <f t="shared" si="15"/>
        <v>11.70176508765131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2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50.684400000000039</v>
      </c>
      <c r="D60" s="11">
        <f t="shared" si="32"/>
        <v>14.790368854214481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505.41926834832265</v>
      </c>
      <c r="H60" s="67">
        <f t="shared" si="1"/>
        <v>370.70188908775697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0</v>
      </c>
      <c r="O60" s="13">
        <f>N60*VLOOKUP('Données projet'!$B$9,Paramètres!$A$1:$I$89,3,0)*VLOOKUP('Données projet'!$B$9,Paramètres!$A$1:$I$89,5,0)</f>
        <v>0</v>
      </c>
      <c r="P60" s="13" t="e">
        <f t="shared" si="33"/>
        <v>#NUM!</v>
      </c>
      <c r="Q60" s="20" t="e">
        <f t="shared" si="53"/>
        <v>#NUM!</v>
      </c>
      <c r="R60" s="59" t="e">
        <f t="shared" si="0"/>
        <v>#NUM!</v>
      </c>
      <c r="S60" s="59">
        <f ca="1">AVERAGE(OFFSET($R$3,0,0,'Données projet'!$E$9+1,1))-AVERAGE(OFFSET($H$3,0,0,'Données projet'!$E$9+1,1))</f>
        <v>101.15586831191774</v>
      </c>
      <c r="T60" s="59">
        <f t="shared" si="34"/>
        <v>346.96347336689064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23.872958728863704</v>
      </c>
      <c r="AA60" s="21">
        <f>EXP(-LN(2)/25)*AA59+(1-EXP(-LN(2)/25))/(LN(2)/25)*Calculateur!V60*Calculateur!X60*VLOOKUP('Données projet'!$B$9,Paramètres!$A$1:$I$89,3,0)*0.475*44/12</f>
        <v>7.8008325646534464</v>
      </c>
      <c r="AB60" s="21">
        <f>EXP(-LN(2)/2)*AB59+(1-EXP(-LN(2)/2))/(LN(2)/2)*V60*Y60*VLOOKUP('Données projet'!$B$9,Paramètres!$A$1:$I$89,3,0)*0.475*44/12</f>
        <v>0</v>
      </c>
      <c r="AC60" s="22">
        <f t="shared" si="3"/>
        <v>31.673791293517152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0</v>
      </c>
      <c r="AI60" s="13">
        <f>IF('Données projet'!$A$62&gt;35,AI59+AH60-AQ59,IF(A60&lt;'Données projet'!$A$62,$AF$205^A60,IF(A60='Données projet'!$A$62,'Données projet'!$B$62,AI59+AH60-AQ59)))</f>
        <v>0</v>
      </c>
      <c r="AJ60" s="13">
        <f>AI60*VLOOKUP('Données projet'!$B$10,Paramètres!$A$1:$I$89,3,0)*VLOOKUP('Données projet'!$B$10,Paramètres!$A$1:$I$89,5,0)</f>
        <v>0</v>
      </c>
      <c r="AK60" s="13" t="e">
        <f t="shared" si="35"/>
        <v>#NUM!</v>
      </c>
      <c r="AL60" s="20" t="e">
        <f t="shared" si="4"/>
        <v>#NUM!</v>
      </c>
      <c r="AM60" s="59" t="e">
        <f t="shared" si="5"/>
        <v>#NUM!</v>
      </c>
      <c r="AN60" s="59">
        <f ca="1">AVERAGE(OFFSET($AM$3,0,0,'Données projet'!$E$10+1,1))-AVERAGE(OFFSET($H$3,0,0,'Données projet'!$E$10+1,1))</f>
        <v>101.15586831191774</v>
      </c>
      <c r="AO60" s="59">
        <f t="shared" si="36"/>
        <v>346.96347336689064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23.872958728863704</v>
      </c>
      <c r="AV60" s="21">
        <f>EXP(-LN(2)/25)*AV59+(1-EXP(-LN(2)/25))/(LN(2)/25)*Calculateur!AQ60*Calculateur!AS60*VLOOKUP('Données projet'!$B$10,Paramètres!$A$1:$I$89,3,0)*0.475*44/12</f>
        <v>7.8008325646534464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31.673791293517152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9.4</v>
      </c>
      <c r="BD60" s="12">
        <f>IF('Données projet'!$A$88&gt;35,BD59+BC60-BL59,IF(A60&lt;'Données projet'!$A$88,$BA$205^A60,IF(A60='Données projet'!$A$88,'Données projet'!$B$88,BD59+BC60-BL59)))</f>
        <v>244.79999999999993</v>
      </c>
      <c r="BE60" s="13">
        <f>BD60*VLOOKUP('Données projet'!$B$11,Paramètres!$A$1:$I$89,3,0)*VLOOKUP('Données projet'!$B$11,Paramètres!$A$1:$I$89,5,0)</f>
        <v>221.49503999999993</v>
      </c>
      <c r="BF60" s="13">
        <f t="shared" si="37"/>
        <v>54.439697086174412</v>
      </c>
      <c r="BG60" s="20">
        <f t="shared" si="7"/>
        <v>480.58633375842027</v>
      </c>
      <c r="BH60" s="59">
        <f t="shared" si="8"/>
        <v>773.91966709175358</v>
      </c>
      <c r="BI60" s="59">
        <f ca="1">AVERAGE(OFFSET($BH$3,0,0,'Données projet'!$E$11+1,1))-AVERAGE(OFFSET($H$3,0,0,'Données projet'!$E$11+1,1))</f>
        <v>352.62747127358324</v>
      </c>
      <c r="BJ60" s="59">
        <f t="shared" si="38"/>
        <v>283.16932763435011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10.236822084245475</v>
      </c>
      <c r="BQ60" s="21">
        <f>EXP(-LN(2)/25)*BQ59+(1-EXP(-LN(2)/25))/(LN(2)/25)*Calculateur!BL60*Calculateur!BN60*VLOOKUP('Données projet'!$B$11,Paramètres!$A$1:$I$89,3,0)*0.475*44/12</f>
        <v>0</v>
      </c>
      <c r="BR60" s="21">
        <f>EXP(-LN(2)/2)*BR59+(1-EXP(-LN(2)/2))/(LN(2)/2)*BL60*BO60*VLOOKUP('Données projet'!$B$11,Paramètres!$A$1:$I$89,3,0)*0.475*44/12</f>
        <v>0</v>
      </c>
      <c r="BS60" s="22">
        <f t="shared" si="9"/>
        <v>10.236822084245475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9.4</v>
      </c>
      <c r="BY60" s="12">
        <f>IF('Données projet'!$A$114&gt;35,BY59+BX60-CG59,IF(A60&lt;'Données projet'!$A$114,$BV$205^A60,IF(A60='Données projet'!$A$114,'Données projet'!$B$114,BY59+BX60-CG59)))</f>
        <v>244.79999999999993</v>
      </c>
      <c r="BZ60" s="13">
        <f>BY60*VLOOKUP('Données projet'!$B$12,Paramètres!$A$1:$I$89,3,0)*VLOOKUP('Données projet'!$B$12,Paramètres!$A$1:$I$89,5,0)</f>
        <v>255.86495999999994</v>
      </c>
      <c r="CA60" s="13">
        <f t="shared" si="39"/>
        <v>61.840133802494101</v>
      </c>
      <c r="CB60" s="20">
        <f t="shared" si="10"/>
        <v>553.33637170601048</v>
      </c>
      <c r="CC60" s="59">
        <f t="shared" si="11"/>
        <v>846.66970503934385</v>
      </c>
      <c r="CD60" s="59">
        <f ca="1">AVERAGE(OFFSET($CC$3,0,0,'Données projet'!$E$12+1,1))-AVERAGE(OFFSET($H$3,0,0,'Données projet'!$E$12+1,1))</f>
        <v>423.49657671419374</v>
      </c>
      <c r="CE60" s="59">
        <f t="shared" si="40"/>
        <v>329.6783569381081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11.825294476628393</v>
      </c>
      <c r="CL60" s="21">
        <f>EXP(-LN(2)/25)*CL59+(1-EXP(-LN(2)/25))/(LN(2)/25)*Calculateur!CG60*Calculateur!CI60*VLOOKUP('Données projet'!$B$12,Paramètres!$A$1:$I$89,3,0)*0.475*44/12</f>
        <v>0</v>
      </c>
      <c r="CM60" s="21">
        <f>EXP(-LN(2)/2)*CM59+(1-EXP(-LN(2)/2))/(LN(2)/2)*CG60*CJ60*VLOOKUP('Données projet'!$B$12,Paramètres!$A$1:$I$89,3,0)*0.475*44/12</f>
        <v>0</v>
      </c>
      <c r="CN60" s="22">
        <f t="shared" si="12"/>
        <v>11.825294476628393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9.4</v>
      </c>
      <c r="CT60" s="12">
        <f>IF('Données projet'!$A$140&gt;35,CT59+CS60-DB59,IF(A60&lt;'Données projet'!$A$140,$CQ$205^A60,IF(A60='Données projet'!$A$140,'Données projet'!$B$140,CT59+CS60-DB59)))</f>
        <v>244.79999999999993</v>
      </c>
      <c r="CU60" s="17">
        <f>CT60*VLOOKUP('Données projet'!$B$13,Paramètres!$A$1:$I$89,3,0)*VLOOKUP('Données projet'!$B$13,Paramètres!$A$1:$I$89,5,0)</f>
        <v>248.22719999999993</v>
      </c>
      <c r="CV60" s="13">
        <f t="shared" si="41"/>
        <v>60.20616532763993</v>
      </c>
      <c r="CW60" s="20">
        <f t="shared" si="13"/>
        <v>537.18811127897277</v>
      </c>
      <c r="CX60" s="59">
        <f t="shared" si="14"/>
        <v>830.52144461230614</v>
      </c>
      <c r="CY60" s="59">
        <f ca="1">AVERAGE(OFFSET($CX$3,0,0,'Données projet'!$E$13+1,1))-AVERAGE(OFFSET($H$3,0,0,'Données projet'!$E$13+1,1))</f>
        <v>407.76560346703042</v>
      </c>
      <c r="CZ60" s="59">
        <f t="shared" si="42"/>
        <v>319.35531375725202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11.472300611654415</v>
      </c>
      <c r="DG60" s="21">
        <f>EXP(-LN(2)/25)*DG59+(1-EXP(-LN(2)/25))/(LN(2)/25)*Calculateur!DB60*Calculateur!DD60*VLOOKUP('Données projet'!$B$13,Paramètres!$A$1:$I$89,3,0)*0.475*44/12</f>
        <v>0</v>
      </c>
      <c r="DH60" s="21">
        <f>EXP(-LN(2)/2)*DH59+(1-EXP(-LN(2)/2))/(LN(2)/2)*DB60*DE60*VLOOKUP('Données projet'!$B$13,Paramètres!$A$1:$I$89,3,0)*0.475*44/12</f>
        <v>0</v>
      </c>
      <c r="DI60" s="22">
        <f t="shared" si="15"/>
        <v>11.472300611654415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2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51.573600000000042</v>
      </c>
      <c r="D61" s="11">
        <f t="shared" si="32"/>
        <v>15.01941293027533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514.05132788282742</v>
      </c>
      <c r="H61" s="67">
        <f t="shared" si="1"/>
        <v>372.6494975202296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0</v>
      </c>
      <c r="O61" s="13">
        <f>N61*VLOOKUP('Données projet'!$B$9,Paramètres!$A$1:$I$89,3,0)*VLOOKUP('Données projet'!$B$9,Paramètres!$A$1:$I$89,5,0)</f>
        <v>0</v>
      </c>
      <c r="P61" s="13" t="e">
        <f t="shared" si="33"/>
        <v>#NUM!</v>
      </c>
      <c r="Q61" s="20" t="e">
        <f t="shared" si="53"/>
        <v>#NUM!</v>
      </c>
      <c r="R61" s="59" t="e">
        <f t="shared" si="0"/>
        <v>#NUM!</v>
      </c>
      <c r="S61" s="59">
        <f ca="1">AVERAGE(OFFSET($R$3,0,0,'Données projet'!$E$9+1,1))-AVERAGE(OFFSET($H$3,0,0,'Données projet'!$E$9+1,1))</f>
        <v>101.15586831191774</v>
      </c>
      <c r="T61" s="59">
        <f t="shared" si="34"/>
        <v>346.96347336689064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23.404824569257727</v>
      </c>
      <c r="AA61" s="21">
        <f>EXP(-LN(2)/25)*AA60+(1-EXP(-LN(2)/25))/(LN(2)/25)*Calculateur!V61*Calculateur!X61*VLOOKUP('Données projet'!$B$9,Paramètres!$A$1:$I$89,3,0)*0.475*44/12</f>
        <v>7.5875183879450425</v>
      </c>
      <c r="AB61" s="21">
        <f>EXP(-LN(2)/2)*AB60+(1-EXP(-LN(2)/2))/(LN(2)/2)*V61*Y61*VLOOKUP('Données projet'!$B$9,Paramètres!$A$1:$I$89,3,0)*0.475*44/12</f>
        <v>0</v>
      </c>
      <c r="AC61" s="22">
        <f t="shared" si="3"/>
        <v>30.992342957202769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0</v>
      </c>
      <c r="AI61" s="13">
        <f>IF('Données projet'!$A$62&gt;35,AI60+AH61-AQ60,IF(A61&lt;'Données projet'!$A$62,$AF$205^A61,IF(A61='Données projet'!$A$62,'Données projet'!$B$62,AI60+AH61-AQ60)))</f>
        <v>0</v>
      </c>
      <c r="AJ61" s="13">
        <f>AI61*VLOOKUP('Données projet'!$B$10,Paramètres!$A$1:$I$89,3,0)*VLOOKUP('Données projet'!$B$10,Paramètres!$A$1:$I$89,5,0)</f>
        <v>0</v>
      </c>
      <c r="AK61" s="13" t="e">
        <f t="shared" si="35"/>
        <v>#NUM!</v>
      </c>
      <c r="AL61" s="20" t="e">
        <f t="shared" si="4"/>
        <v>#NUM!</v>
      </c>
      <c r="AM61" s="59" t="e">
        <f t="shared" si="5"/>
        <v>#NUM!</v>
      </c>
      <c r="AN61" s="59">
        <f ca="1">AVERAGE(OFFSET($AM$3,0,0,'Données projet'!$E$10+1,1))-AVERAGE(OFFSET($H$3,0,0,'Données projet'!$E$10+1,1))</f>
        <v>101.15586831191774</v>
      </c>
      <c r="AO61" s="59">
        <f t="shared" si="36"/>
        <v>346.96347336689064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23.404824569257727</v>
      </c>
      <c r="AV61" s="21">
        <f>EXP(-LN(2)/25)*AV60+(1-EXP(-LN(2)/25))/(LN(2)/25)*Calculateur!AQ61*Calculateur!AS61*VLOOKUP('Données projet'!$B$10,Paramètres!$A$1:$I$89,3,0)*0.475*44/12</f>
        <v>7.5875183879450425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30.992342957202769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9.4</v>
      </c>
      <c r="BD61" s="12">
        <f>IF('Données projet'!$A$88&gt;35,BD60+BC61-BL60,IF(A61&lt;'Données projet'!$A$88,$BA$205^A61,IF(A61='Données projet'!$A$88,'Données projet'!$B$88,BD60+BC61-BL60)))</f>
        <v>254.19999999999993</v>
      </c>
      <c r="BE61" s="13">
        <f>BD61*VLOOKUP('Données projet'!$B$11,Paramètres!$A$1:$I$89,3,0)*VLOOKUP('Données projet'!$B$11,Paramètres!$A$1:$I$89,5,0)</f>
        <v>230.00015999999994</v>
      </c>
      <c r="BF61" s="13">
        <f t="shared" si="37"/>
        <v>56.282716126880423</v>
      </c>
      <c r="BG61" s="20">
        <f t="shared" si="7"/>
        <v>498.60934258764996</v>
      </c>
      <c r="BH61" s="59">
        <f t="shared" si="8"/>
        <v>791.94267592098322</v>
      </c>
      <c r="BI61" s="59">
        <f ca="1">AVERAGE(OFFSET($BH$3,0,0,'Données projet'!$E$11+1,1))-AVERAGE(OFFSET($H$3,0,0,'Données projet'!$E$11+1,1))</f>
        <v>352.62747127358324</v>
      </c>
      <c r="BJ61" s="59">
        <f t="shared" si="38"/>
        <v>283.16932763435011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10.036084247018364</v>
      </c>
      <c r="BQ61" s="21">
        <f>EXP(-LN(2)/25)*BQ60+(1-EXP(-LN(2)/25))/(LN(2)/25)*Calculateur!BL61*Calculateur!BN61*VLOOKUP('Données projet'!$B$11,Paramètres!$A$1:$I$89,3,0)*0.475*44/12</f>
        <v>0</v>
      </c>
      <c r="BR61" s="21">
        <f>EXP(-LN(2)/2)*BR60+(1-EXP(-LN(2)/2))/(LN(2)/2)*BL61*BO61*VLOOKUP('Données projet'!$B$11,Paramètres!$A$1:$I$89,3,0)*0.475*44/12</f>
        <v>0</v>
      </c>
      <c r="BS61" s="22">
        <f t="shared" si="9"/>
        <v>10.036084247018364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9.4</v>
      </c>
      <c r="BY61" s="12">
        <f>IF('Données projet'!$A$114&gt;35,BY60+BX61-CG60,IF(A61&lt;'Données projet'!$A$114,$BV$205^A61,IF(A61='Données projet'!$A$114,'Données projet'!$B$114,BY60+BX61-CG60)))</f>
        <v>254.19999999999993</v>
      </c>
      <c r="BZ61" s="13">
        <f>BY61*VLOOKUP('Données projet'!$B$12,Paramètres!$A$1:$I$89,3,0)*VLOOKUP('Données projet'!$B$12,Paramètres!$A$1:$I$89,5,0)</f>
        <v>265.68983999999995</v>
      </c>
      <c r="CA61" s="13">
        <f t="shared" si="39"/>
        <v>63.933689611546271</v>
      </c>
      <c r="CB61" s="20">
        <f t="shared" si="10"/>
        <v>574.094314073443</v>
      </c>
      <c r="CC61" s="59">
        <f t="shared" si="11"/>
        <v>867.42764740677626</v>
      </c>
      <c r="CD61" s="59">
        <f ca="1">AVERAGE(OFFSET($CC$3,0,0,'Données projet'!$E$12+1,1))-AVERAGE(OFFSET($H$3,0,0,'Données projet'!$E$12+1,1))</f>
        <v>423.49657671419374</v>
      </c>
      <c r="CE61" s="59">
        <f t="shared" si="40"/>
        <v>329.6783569381081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11.593407664659145</v>
      </c>
      <c r="CL61" s="21">
        <f>EXP(-LN(2)/25)*CL60+(1-EXP(-LN(2)/25))/(LN(2)/25)*Calculateur!CG61*Calculateur!CI61*VLOOKUP('Données projet'!$B$12,Paramètres!$A$1:$I$89,3,0)*0.475*44/12</f>
        <v>0</v>
      </c>
      <c r="CM61" s="21">
        <f>EXP(-LN(2)/2)*CM60+(1-EXP(-LN(2)/2))/(LN(2)/2)*CG61*CJ61*VLOOKUP('Données projet'!$B$12,Paramètres!$A$1:$I$89,3,0)*0.475*44/12</f>
        <v>0</v>
      </c>
      <c r="CN61" s="22">
        <f t="shared" si="12"/>
        <v>11.593407664659145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9.4</v>
      </c>
      <c r="CT61" s="12">
        <f>IF('Données projet'!$A$140&gt;35,CT60+CS61-DB60,IF(A61&lt;'Données projet'!$A$140,$CQ$205^A61,IF(A61='Données projet'!$A$140,'Données projet'!$B$140,CT60+CS61-DB60)))</f>
        <v>254.19999999999993</v>
      </c>
      <c r="CU61" s="17">
        <f>CT61*VLOOKUP('Données projet'!$B$13,Paramètres!$A$1:$I$89,3,0)*VLOOKUP('Données projet'!$B$13,Paramètres!$A$1:$I$89,5,0)</f>
        <v>257.75879999999995</v>
      </c>
      <c r="CV61" s="13">
        <f t="shared" si="41"/>
        <v>62.244404241627407</v>
      </c>
      <c r="CW61" s="20">
        <f t="shared" si="13"/>
        <v>557.33891405416773</v>
      </c>
      <c r="CX61" s="59">
        <f t="shared" si="14"/>
        <v>850.6722473875011</v>
      </c>
      <c r="CY61" s="59">
        <f ca="1">AVERAGE(OFFSET($CX$3,0,0,'Données projet'!$E$13+1,1))-AVERAGE(OFFSET($H$3,0,0,'Données projet'!$E$13+1,1))</f>
        <v>407.76560346703042</v>
      </c>
      <c r="CZ61" s="59">
        <f t="shared" si="42"/>
        <v>319.35531375725202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>
        <f>EXP(-LN(2)/35)*DF60+(1-EXP(-LN(2)/35))/(LN(2)/35)*DB61*DC61*VLOOKUP('Données projet'!$B$13,Paramètres!$A$1:$I$89,3,0)*0.475*44/12</f>
        <v>11.247335794072308</v>
      </c>
      <c r="DG61" s="21">
        <f>EXP(-LN(2)/25)*DG60+(1-EXP(-LN(2)/25))/(LN(2)/25)*Calculateur!DB61*Calculateur!DD61*VLOOKUP('Données projet'!$B$13,Paramètres!$A$1:$I$89,3,0)*0.475*44/12</f>
        <v>0</v>
      </c>
      <c r="DH61" s="21">
        <f>EXP(-LN(2)/2)*DH60+(1-EXP(-LN(2)/2))/(LN(2)/2)*DB61*DE61*VLOOKUP('Données projet'!$B$13,Paramètres!$A$1:$I$89,3,0)*0.475*44/12</f>
        <v>0</v>
      </c>
      <c r="DI61" s="22">
        <f t="shared" si="15"/>
        <v>11.247335794072308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2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52.462800000000044</v>
      </c>
      <c r="D62" s="11">
        <f t="shared" si="32"/>
        <v>15.247997775460181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522.67984247723678</v>
      </c>
      <c r="H62" s="67">
        <f t="shared" si="1"/>
        <v>374.59630612559323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0</v>
      </c>
      <c r="O62" s="13">
        <f>N62*VLOOKUP('Données projet'!$B$9,Paramètres!$A$1:$I$89,3,0)*VLOOKUP('Données projet'!$B$9,Paramètres!$A$1:$I$89,5,0)</f>
        <v>0</v>
      </c>
      <c r="P62" s="13" t="e">
        <f t="shared" si="33"/>
        <v>#NUM!</v>
      </c>
      <c r="Q62" s="20" t="e">
        <f t="shared" si="53"/>
        <v>#NUM!</v>
      </c>
      <c r="R62" s="59" t="e">
        <f t="shared" si="0"/>
        <v>#NUM!</v>
      </c>
      <c r="S62" s="59">
        <f ca="1">AVERAGE(OFFSET($R$3,0,0,'Données projet'!$E$9+1,1))-AVERAGE(OFFSET($H$3,0,0,'Données projet'!$E$9+1,1))</f>
        <v>101.15586831191774</v>
      </c>
      <c r="T62" s="59">
        <f t="shared" si="34"/>
        <v>346.96347336689064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22.945870234987979</v>
      </c>
      <c r="AA62" s="21">
        <f>EXP(-LN(2)/25)*AA61+(1-EXP(-LN(2)/25))/(LN(2)/25)*Calculateur!V62*Calculateur!X62*VLOOKUP('Données projet'!$B$9,Paramètres!$A$1:$I$89,3,0)*0.475*44/12</f>
        <v>7.3800372986164344</v>
      </c>
      <c r="AB62" s="21">
        <f>EXP(-LN(2)/2)*AB61+(1-EXP(-LN(2)/2))/(LN(2)/2)*V62*Y62*VLOOKUP('Données projet'!$B$9,Paramètres!$A$1:$I$89,3,0)*0.475*44/12</f>
        <v>0</v>
      </c>
      <c r="AC62" s="22">
        <f t="shared" si="3"/>
        <v>30.325907533604415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0</v>
      </c>
      <c r="AI62" s="13">
        <f>IF('Données projet'!$A$62&gt;35,AI61+AH62-AQ61,IF(A62&lt;'Données projet'!$A$62,$AF$205^A62,IF(A62='Données projet'!$A$62,'Données projet'!$B$62,AI61+AH62-AQ61)))</f>
        <v>0</v>
      </c>
      <c r="AJ62" s="13">
        <f>AI62*VLOOKUP('Données projet'!$B$10,Paramètres!$A$1:$I$89,3,0)*VLOOKUP('Données projet'!$B$10,Paramètres!$A$1:$I$89,5,0)</f>
        <v>0</v>
      </c>
      <c r="AK62" s="13" t="e">
        <f t="shared" si="35"/>
        <v>#NUM!</v>
      </c>
      <c r="AL62" s="20" t="e">
        <f t="shared" si="4"/>
        <v>#NUM!</v>
      </c>
      <c r="AM62" s="59" t="e">
        <f t="shared" si="5"/>
        <v>#NUM!</v>
      </c>
      <c r="AN62" s="59">
        <f ca="1">AVERAGE(OFFSET($AM$3,0,0,'Données projet'!$E$10+1,1))-AVERAGE(OFFSET($H$3,0,0,'Données projet'!$E$10+1,1))</f>
        <v>101.15586831191774</v>
      </c>
      <c r="AO62" s="59">
        <f t="shared" si="36"/>
        <v>346.96347336689064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22.945870234987979</v>
      </c>
      <c r="AV62" s="21">
        <f>EXP(-LN(2)/25)*AV61+(1-EXP(-LN(2)/25))/(LN(2)/25)*Calculateur!AQ62*Calculateur!AS62*VLOOKUP('Données projet'!$B$10,Paramètres!$A$1:$I$89,3,0)*0.475*44/12</f>
        <v>7.3800372986164344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30.325907533604415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9.4</v>
      </c>
      <c r="BD62" s="12">
        <f>IF('Données projet'!$A$88&gt;35,BD61+BC62-BL61,IF(A62&lt;'Données projet'!$A$88,$BA$205^A62,IF(A62='Données projet'!$A$88,'Données projet'!$B$88,BD61+BC62-BL61)))</f>
        <v>263.59999999999991</v>
      </c>
      <c r="BE62" s="13">
        <f>BD62*VLOOKUP('Données projet'!$B$11,Paramètres!$A$1:$I$89,3,0)*VLOOKUP('Données projet'!$B$11,Paramètres!$A$1:$I$89,5,0)</f>
        <v>238.50527999999991</v>
      </c>
      <c r="BF62" s="13">
        <f t="shared" si="37"/>
        <v>58.117817352909881</v>
      </c>
      <c r="BG62" s="20">
        <f t="shared" si="7"/>
        <v>516.61856122298445</v>
      </c>
      <c r="BH62" s="59">
        <f t="shared" si="8"/>
        <v>809.95189455631771</v>
      </c>
      <c r="BI62" s="59">
        <f ca="1">AVERAGE(OFFSET($BH$3,0,0,'Données projet'!$E$11+1,1))-AVERAGE(OFFSET($H$3,0,0,'Données projet'!$E$11+1,1))</f>
        <v>352.62747127358324</v>
      </c>
      <c r="BJ62" s="59">
        <f t="shared" si="38"/>
        <v>283.16932763435011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9.8392827563412855</v>
      </c>
      <c r="BQ62" s="21">
        <f>EXP(-LN(2)/25)*BQ61+(1-EXP(-LN(2)/25))/(LN(2)/25)*Calculateur!BL62*Calculateur!BN62*VLOOKUP('Données projet'!$B$11,Paramètres!$A$1:$I$89,3,0)*0.475*44/12</f>
        <v>0</v>
      </c>
      <c r="BR62" s="21">
        <f>EXP(-LN(2)/2)*BR61+(1-EXP(-LN(2)/2))/(LN(2)/2)*BL62*BO62*VLOOKUP('Données projet'!$B$11,Paramètres!$A$1:$I$89,3,0)*0.475*44/12</f>
        <v>0</v>
      </c>
      <c r="BS62" s="22">
        <f t="shared" si="9"/>
        <v>9.8392827563412855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9.4</v>
      </c>
      <c r="BY62" s="12">
        <f>IF('Données projet'!$A$114&gt;35,BY61+BX62-CG61,IF(A62&lt;'Données projet'!$A$114,$BV$205^A62,IF(A62='Données projet'!$A$114,'Données projet'!$B$114,BY61+BX62-CG61)))</f>
        <v>263.59999999999991</v>
      </c>
      <c r="BZ62" s="13">
        <f>BY62*VLOOKUP('Données projet'!$B$12,Paramètres!$A$1:$I$89,3,0)*VLOOKUP('Données projet'!$B$12,Paramètres!$A$1:$I$89,5,0)</f>
        <v>275.5147199999999</v>
      </c>
      <c r="CA62" s="13">
        <f t="shared" si="39"/>
        <v>66.018251272114483</v>
      </c>
      <c r="CB62" s="20">
        <f t="shared" si="10"/>
        <v>594.83659163226582</v>
      </c>
      <c r="CC62" s="59">
        <f t="shared" si="11"/>
        <v>888.16992496559919</v>
      </c>
      <c r="CD62" s="59">
        <f ca="1">AVERAGE(OFFSET($CC$3,0,0,'Données projet'!$E$12+1,1))-AVERAGE(OFFSET($H$3,0,0,'Données projet'!$E$12+1,1))</f>
        <v>423.49657671419374</v>
      </c>
      <c r="CE62" s="59">
        <f t="shared" si="40"/>
        <v>329.6783569381081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11.366068011635623</v>
      </c>
      <c r="CL62" s="21">
        <f>EXP(-LN(2)/25)*CL61+(1-EXP(-LN(2)/25))/(LN(2)/25)*Calculateur!CG62*Calculateur!CI62*VLOOKUP('Données projet'!$B$12,Paramètres!$A$1:$I$89,3,0)*0.475*44/12</f>
        <v>0</v>
      </c>
      <c r="CM62" s="21">
        <f>EXP(-LN(2)/2)*CM61+(1-EXP(-LN(2)/2))/(LN(2)/2)*CG62*CJ62*VLOOKUP('Données projet'!$B$12,Paramètres!$A$1:$I$89,3,0)*0.475*44/12</f>
        <v>0</v>
      </c>
      <c r="CN62" s="22">
        <f t="shared" si="12"/>
        <v>11.366068011635623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9.4</v>
      </c>
      <c r="CT62" s="12">
        <f>IF('Données projet'!$A$140&gt;35,CT61+CS62-DB61,IF(A62&lt;'Données projet'!$A$140,$CQ$205^A62,IF(A62='Données projet'!$A$140,'Données projet'!$B$140,CT61+CS62-DB61)))</f>
        <v>263.59999999999991</v>
      </c>
      <c r="CU62" s="17">
        <f>CT62*VLOOKUP('Données projet'!$B$13,Paramètres!$A$1:$I$89,3,0)*VLOOKUP('Données projet'!$B$13,Paramètres!$A$1:$I$89,5,0)</f>
        <v>267.29039999999992</v>
      </c>
      <c r="CV62" s="13">
        <f t="shared" si="41"/>
        <v>64.273886654661325</v>
      </c>
      <c r="CW62" s="20">
        <f t="shared" si="13"/>
        <v>577.47446592353504</v>
      </c>
      <c r="CX62" s="59">
        <f t="shared" si="14"/>
        <v>870.80779925686829</v>
      </c>
      <c r="CY62" s="59">
        <f ca="1">AVERAGE(OFFSET($CX$3,0,0,'Données projet'!$E$13+1,1))-AVERAGE(OFFSET($H$3,0,0,'Données projet'!$E$13+1,1))</f>
        <v>407.76560346703042</v>
      </c>
      <c r="CZ62" s="59">
        <f t="shared" si="42"/>
        <v>319.35531375725202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projet'!$B$13,Paramètres!$A$1:$I$89,3,0)*0.475*44/12</f>
        <v>11.026782399347995</v>
      </c>
      <c r="DG62" s="21">
        <f>EXP(-LN(2)/25)*DG61+(1-EXP(-LN(2)/25))/(LN(2)/25)*Calculateur!DB62*Calculateur!DD62*VLOOKUP('Données projet'!$B$13,Paramètres!$A$1:$I$89,3,0)*0.475*44/12</f>
        <v>0</v>
      </c>
      <c r="DH62" s="21">
        <f>EXP(-LN(2)/2)*DH61+(1-EXP(-LN(2)/2))/(LN(2)/2)*DB62*DE62*VLOOKUP('Données projet'!$B$13,Paramètres!$A$1:$I$89,3,0)*0.475*44/12</f>
        <v>0</v>
      </c>
      <c r="DI62" s="22">
        <f t="shared" si="15"/>
        <v>11.026782399347995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2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53.352000000000046</v>
      </c>
      <c r="D63" s="11">
        <f t="shared" si="32"/>
        <v>15.476132071622855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531.30487914936975</v>
      </c>
      <c r="H63" s="67">
        <f t="shared" si="1"/>
        <v>376.54233002474325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0</v>
      </c>
      <c r="O63" s="13">
        <f>N63*VLOOKUP('Données projet'!$B$9,Paramètres!$A$1:$I$89,3,0)*VLOOKUP('Données projet'!$B$9,Paramètres!$A$1:$I$89,5,0)</f>
        <v>0</v>
      </c>
      <c r="P63" s="13" t="e">
        <f t="shared" si="33"/>
        <v>#NUM!</v>
      </c>
      <c r="Q63" s="20" t="e">
        <f t="shared" si="53"/>
        <v>#NUM!</v>
      </c>
      <c r="R63" s="59" t="e">
        <f t="shared" si="0"/>
        <v>#NUM!</v>
      </c>
      <c r="S63" s="59">
        <f ca="1">AVERAGE(OFFSET($R$3,0,0,'Données projet'!$E$9+1,1))-AVERAGE(OFFSET($H$3,0,0,'Données projet'!$E$9+1,1))</f>
        <v>101.15586831191774</v>
      </c>
      <c r="T63" s="59">
        <f t="shared" si="34"/>
        <v>346.96347336689064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22.495915715278755</v>
      </c>
      <c r="AA63" s="21">
        <f>EXP(-LN(2)/25)*AA62+(1-EXP(-LN(2)/25))/(LN(2)/25)*Calculateur!V63*Calculateur!X63*VLOOKUP('Données projet'!$B$9,Paramètres!$A$1:$I$89,3,0)*0.475*44/12</f>
        <v>7.1782297905864736</v>
      </c>
      <c r="AB63" s="21">
        <f>EXP(-LN(2)/2)*AB62+(1-EXP(-LN(2)/2))/(LN(2)/2)*V63*Y63*VLOOKUP('Données projet'!$B$9,Paramètres!$A$1:$I$89,3,0)*0.475*44/12</f>
        <v>0</v>
      </c>
      <c r="AC63" s="22">
        <f t="shared" si="3"/>
        <v>29.67414550586523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0</v>
      </c>
      <c r="AI63" s="13">
        <f>IF('Données projet'!$A$62&gt;35,AI62+AH63-AQ62,IF(A63&lt;'Données projet'!$A$62,$AF$205^A63,IF(A63='Données projet'!$A$62,'Données projet'!$B$62,AI62+AH63-AQ62)))</f>
        <v>0</v>
      </c>
      <c r="AJ63" s="13">
        <f>AI63*VLOOKUP('Données projet'!$B$10,Paramètres!$A$1:$I$89,3,0)*VLOOKUP('Données projet'!$B$10,Paramètres!$A$1:$I$89,5,0)</f>
        <v>0</v>
      </c>
      <c r="AK63" s="13" t="e">
        <f t="shared" si="35"/>
        <v>#NUM!</v>
      </c>
      <c r="AL63" s="20" t="e">
        <f t="shared" si="4"/>
        <v>#NUM!</v>
      </c>
      <c r="AM63" s="59" t="e">
        <f t="shared" si="5"/>
        <v>#NUM!</v>
      </c>
      <c r="AN63" s="59">
        <f ca="1">AVERAGE(OFFSET($AM$3,0,0,'Données projet'!$E$10+1,1))-AVERAGE(OFFSET($H$3,0,0,'Données projet'!$E$10+1,1))</f>
        <v>101.15586831191774</v>
      </c>
      <c r="AO63" s="59">
        <f t="shared" si="36"/>
        <v>346.96347336689064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22.495915715278755</v>
      </c>
      <c r="AV63" s="21">
        <f>EXP(-LN(2)/25)*AV62+(1-EXP(-LN(2)/25))/(LN(2)/25)*Calculateur!AQ63*Calculateur!AS63*VLOOKUP('Données projet'!$B$10,Paramètres!$A$1:$I$89,3,0)*0.475*44/12</f>
        <v>7.1782297905864736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29.67414550586523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273</v>
      </c>
      <c r="BB63" s="12">
        <f>VLOOKUP(A63,'Données projet'!$A$87:$I$107,9,0)</f>
        <v>9.4</v>
      </c>
      <c r="BC63" s="12">
        <f t="array" ref="BC63">INDEX(BB:BB,MIN(IF(ISNUMBER(BB63:BB259),ROW(BB63:BB259),"")))</f>
        <v>9.4</v>
      </c>
      <c r="BD63" s="12">
        <f>IF('Données projet'!$A$88&gt;35,BD62+BC63-BL62,IF(A63&lt;'Données projet'!$A$88,$BA$205^A63,IF(A63='Données projet'!$A$88,'Données projet'!$B$88,BD62+BC63-BL62)))</f>
        <v>272.99999999999989</v>
      </c>
      <c r="BE63" s="13">
        <f>BD63*VLOOKUP('Données projet'!$B$11,Paramètres!$A$1:$I$89,3,0)*VLOOKUP('Données projet'!$B$11,Paramètres!$A$1:$I$89,5,0)</f>
        <v>247.01039999999989</v>
      </c>
      <c r="BF63" s="13">
        <f t="shared" si="37"/>
        <v>59.945315462121812</v>
      </c>
      <c r="BG63" s="20">
        <f t="shared" si="7"/>
        <v>534.61453776319524</v>
      </c>
      <c r="BH63" s="59">
        <f t="shared" si="8"/>
        <v>827.94787109652862</v>
      </c>
      <c r="BI63" s="59">
        <f ca="1">AVERAGE(OFFSET($BH$3,0,0,'Données projet'!$E$11+1,1))-AVERAGE(OFFSET($H$3,0,0,'Données projet'!$E$11+1,1))</f>
        <v>352.62747127358324</v>
      </c>
      <c r="BJ63" s="59">
        <f t="shared" si="38"/>
        <v>283.16932763435011</v>
      </c>
      <c r="BK63" s="15">
        <f>IF(ISNA(VLOOKUP(A63,'Données projet'!$A$87:$I$107,3,0)),0,VLOOKUP(A63,'Données projet'!$A$87:$I$107,3,0))</f>
        <v>9</v>
      </c>
      <c r="BL63" s="15">
        <f>IF(ISNA(VLOOKUP(A63,'Données projet'!$A$87:$I$107,4,0)),0,VLOOKUP(A63,'Données projet'!$A$87:$I$107,4,0))</f>
        <v>28</v>
      </c>
      <c r="BM63" s="16">
        <f>IF(ISNA(VLOOKUP(A63,'Données projet'!$A$87:$I$107,5,0)),0%,VLOOKUP(A63,'Données projet'!$A$87:$I$107,5,0)*VLOOKUP('Données projet'!$B$11,Paramètres!$A$1:$I$89,7,0))</f>
        <v>0.17200000000000001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14.463446173576536</v>
      </c>
      <c r="BQ63" s="21">
        <f>EXP(-LN(2)/25)*BQ62+(1-EXP(-LN(2)/25))/(LN(2)/25)*Calculateur!BL63*Calculateur!BN63*VLOOKUP('Données projet'!$B$11,Paramètres!$A$1:$I$89,3,0)*0.475*44/12</f>
        <v>0</v>
      </c>
      <c r="BR63" s="21">
        <f>EXP(-LN(2)/2)*BR62+(1-EXP(-LN(2)/2))/(LN(2)/2)*BL63*BO63*VLOOKUP('Données projet'!$B$11,Paramètres!$A$1:$I$89,3,0)*0.475*44/12</f>
        <v>0</v>
      </c>
      <c r="BS63" s="22">
        <f t="shared" si="9"/>
        <v>14.463446173576536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>
        <f>VLOOKUP(A63,'Données projet'!$A$113:$I$133,2,0)</f>
        <v>273</v>
      </c>
      <c r="BW63" s="12">
        <f>VLOOKUP(A63,'Données projet'!$A$113:$I$133,9,0)</f>
        <v>9.4</v>
      </c>
      <c r="BX63" s="12">
        <f t="array" ref="BX63">INDEX(BW:BW,MIN(IF(ISNUMBER(BW63:BW259),ROW(BW63:BW259),"")))</f>
        <v>9.4</v>
      </c>
      <c r="BY63" s="12">
        <f>IF('Données projet'!$A$114&gt;35,BY62+BX63-CG62,IF(A63&lt;'Données projet'!$A$114,$BV$205^A63,IF(A63='Données projet'!$A$114,'Données projet'!$B$114,BY62+BX63-CG62)))</f>
        <v>272.99999999999989</v>
      </c>
      <c r="BZ63" s="13">
        <f>BY63*VLOOKUP('Données projet'!$B$12,Paramètres!$A$1:$I$89,3,0)*VLOOKUP('Données projet'!$B$12,Paramètres!$A$1:$I$89,5,0)</f>
        <v>285.3395999999999</v>
      </c>
      <c r="CA63" s="13">
        <f t="shared" si="39"/>
        <v>68.094176261531288</v>
      </c>
      <c r="CB63" s="20">
        <f t="shared" si="10"/>
        <v>615.56382698883351</v>
      </c>
      <c r="CC63" s="59">
        <f t="shared" si="11"/>
        <v>908.89716032216688</v>
      </c>
      <c r="CD63" s="59">
        <f ca="1">AVERAGE(OFFSET($CC$3,0,0,'Données projet'!$E$12+1,1))-AVERAGE(OFFSET($H$3,0,0,'Données projet'!$E$12+1,1))</f>
        <v>423.49657671419374</v>
      </c>
      <c r="CE63" s="59">
        <f t="shared" si="40"/>
        <v>329.6783569381081</v>
      </c>
      <c r="CF63" s="15">
        <f>IF(ISNA(VLOOKUP(A63,'Données projet'!$A$113:$I$133,3,0)),0,VLOOKUP(A63,'Données projet'!$A$113:$I$133,3,0))</f>
        <v>9</v>
      </c>
      <c r="CG63" s="15">
        <f>IF(ISNA(VLOOKUP(A63,'Données projet'!$A$113:$I$133,4,0)),0,VLOOKUP(A63,'Données projet'!$A$113:$I$133,4,0))</f>
        <v>28</v>
      </c>
      <c r="CH63" s="16">
        <f>IF(ISNA(VLOOKUP(A63,'Données projet'!$A$113:$I$133,5,0)),0%,VLOOKUP(A63,'Données projet'!$A$113:$I$133,5,0)*VLOOKUP('Données projet'!$B$12,Paramètres!$A$1:$I$89,7,0))</f>
        <v>0.17200000000000001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16.707774028097031</v>
      </c>
      <c r="CL63" s="21">
        <f>EXP(-LN(2)/25)*CL62+(1-EXP(-LN(2)/25))/(LN(2)/25)*Calculateur!CG63*Calculateur!CI63*VLOOKUP('Données projet'!$B$12,Paramètres!$A$1:$I$89,3,0)*0.475*44/12</f>
        <v>0</v>
      </c>
      <c r="CM63" s="21">
        <f>EXP(-LN(2)/2)*CM62+(1-EXP(-LN(2)/2))/(LN(2)/2)*CG63*CJ63*VLOOKUP('Données projet'!$B$12,Paramètres!$A$1:$I$89,3,0)*0.475*44/12</f>
        <v>0</v>
      </c>
      <c r="CN63" s="22">
        <f t="shared" si="12"/>
        <v>16.707774028097031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>
        <f>VLOOKUP(A63,'Données projet'!$A$139:$I$159,2,0)</f>
        <v>273</v>
      </c>
      <c r="CR63" s="12">
        <f>VLOOKUP(A63,'Données projet'!$A$139:$I$159,9,0)</f>
        <v>9.4</v>
      </c>
      <c r="CS63" s="12">
        <f t="array" ref="CS63">INDEX(CR:CR,MIN(IF(ISNUMBER(CR63:CR259),ROW(CR63:CR259),"")))</f>
        <v>9.4</v>
      </c>
      <c r="CT63" s="12">
        <f>IF('Données projet'!$A$140&gt;35,CT62+CS63-DB62,IF(A63&lt;'Données projet'!$A$140,$CQ$205^A63,IF(A63='Données projet'!$A$140,'Données projet'!$B$140,CT62+CS63-DB62)))</f>
        <v>272.99999999999989</v>
      </c>
      <c r="CU63" s="17">
        <f>CT63*VLOOKUP('Données projet'!$B$13,Paramètres!$A$1:$I$89,3,0)*VLOOKUP('Données projet'!$B$13,Paramètres!$A$1:$I$89,5,0)</f>
        <v>276.82199999999989</v>
      </c>
      <c r="CV63" s="13">
        <f t="shared" si="41"/>
        <v>66.29496059864374</v>
      </c>
      <c r="CW63" s="20">
        <f t="shared" si="13"/>
        <v>597.59537304263756</v>
      </c>
      <c r="CX63" s="59">
        <f t="shared" si="14"/>
        <v>890.92870637597093</v>
      </c>
      <c r="CY63" s="59">
        <f ca="1">AVERAGE(OFFSET($CX$3,0,0,'Données projet'!$E$13+1,1))-AVERAGE(OFFSET($H$3,0,0,'Données projet'!$E$13+1,1))</f>
        <v>407.76560346703042</v>
      </c>
      <c r="CZ63" s="59">
        <f t="shared" si="42"/>
        <v>319.35531375725202</v>
      </c>
      <c r="DA63" s="15">
        <f>IF(ISNA(VLOOKUP(A63,'Données projet'!$A$139:$I$159,3,0)),0,VLOOKUP(A63,'Données projet'!$A$139:$I$159,3,0))</f>
        <v>9</v>
      </c>
      <c r="DB63" s="15">
        <f>IF(ISNA(VLOOKUP(A63,'Données projet'!$A$139:$I$159,4,0)),0,VLOOKUP(A63,'Données projet'!$A$139:$I$159,4,0))</f>
        <v>28</v>
      </c>
      <c r="DC63" s="16">
        <f>IF(ISNA(VLOOKUP(A63,'Données projet'!$A$139:$I$159,5,0)),0%,VLOOKUP(A63,'Données projet'!$A$139:$I$159,5,0)*VLOOKUP('Données projet'!$B$13,Paramètres!$A$1:$I$89,7,0))</f>
        <v>0.17200000000000001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>
        <f>EXP(-LN(2)/35)*DF62+(1-EXP(-LN(2)/35))/(LN(2)/35)*DB63*DC63*VLOOKUP('Données projet'!$B$13,Paramètres!$A$1:$I$89,3,0)*0.475*44/12</f>
        <v>16.209034504870257</v>
      </c>
      <c r="DG63" s="21">
        <f>EXP(-LN(2)/25)*DG62+(1-EXP(-LN(2)/25))/(LN(2)/25)*Calculateur!DB63*Calculateur!DD63*VLOOKUP('Données projet'!$B$13,Paramètres!$A$1:$I$89,3,0)*0.475*44/12</f>
        <v>0</v>
      </c>
      <c r="DH63" s="21">
        <f>EXP(-LN(2)/2)*DH62+(1-EXP(-LN(2)/2))/(LN(2)/2)*DB63*DE63*VLOOKUP('Données projet'!$B$13,Paramètres!$A$1:$I$89,3,0)*0.475*44/12</f>
        <v>0</v>
      </c>
      <c r="DI63" s="22">
        <f t="shared" si="15"/>
        <v>16.209034504870257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2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54.241200000000049</v>
      </c>
      <c r="D64" s="11">
        <f t="shared" si="32"/>
        <v>15.703824194633762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539.92650255506805</v>
      </c>
      <c r="H64" s="67">
        <f t="shared" si="1"/>
        <v>378.48758380565391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0</v>
      </c>
      <c r="O64" s="13">
        <f>N64*VLOOKUP('Données projet'!$B$9,Paramètres!$A$1:$I$89,3,0)*VLOOKUP('Données projet'!$B$9,Paramètres!$A$1:$I$89,5,0)</f>
        <v>0</v>
      </c>
      <c r="P64" s="13" t="e">
        <f t="shared" si="33"/>
        <v>#NUM!</v>
      </c>
      <c r="Q64" s="20" t="e">
        <f t="shared" si="53"/>
        <v>#NUM!</v>
      </c>
      <c r="R64" s="59" t="e">
        <f t="shared" si="0"/>
        <v>#NUM!</v>
      </c>
      <c r="S64" s="59">
        <f ca="1">AVERAGE(OFFSET($R$3,0,0,'Données projet'!$E$9+1,1))-AVERAGE(OFFSET($H$3,0,0,'Données projet'!$E$9+1,1))</f>
        <v>101.15586831191774</v>
      </c>
      <c r="T64" s="59">
        <f t="shared" si="34"/>
        <v>346.96347336689064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22.054784529255873</v>
      </c>
      <c r="AA64" s="21">
        <f>EXP(-LN(2)/25)*AA63+(1-EXP(-LN(2)/25))/(LN(2)/25)*Calculateur!V64*Calculateur!X64*VLOOKUP('Données projet'!$B$9,Paramètres!$A$1:$I$89,3,0)*0.475*44/12</f>
        <v>6.9819407194761878</v>
      </c>
      <c r="AB64" s="21">
        <f>EXP(-LN(2)/2)*AB63+(1-EXP(-LN(2)/2))/(LN(2)/2)*V64*Y64*VLOOKUP('Données projet'!$B$9,Paramètres!$A$1:$I$89,3,0)*0.475*44/12</f>
        <v>0</v>
      </c>
      <c r="AC64" s="22">
        <f t="shared" si="3"/>
        <v>29.036725248732061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0</v>
      </c>
      <c r="AI64" s="13">
        <f>IF('Données projet'!$A$62&gt;35,AI63+AH64-AQ63,IF(A64&lt;'Données projet'!$A$62,$AF$205^A64,IF(A64='Données projet'!$A$62,'Données projet'!$B$62,AI63+AH64-AQ63)))</f>
        <v>0</v>
      </c>
      <c r="AJ64" s="13">
        <f>AI64*VLOOKUP('Données projet'!$B$10,Paramètres!$A$1:$I$89,3,0)*VLOOKUP('Données projet'!$B$10,Paramètres!$A$1:$I$89,5,0)</f>
        <v>0</v>
      </c>
      <c r="AK64" s="13" t="e">
        <f t="shared" si="35"/>
        <v>#NUM!</v>
      </c>
      <c r="AL64" s="20" t="e">
        <f t="shared" si="4"/>
        <v>#NUM!</v>
      </c>
      <c r="AM64" s="59" t="e">
        <f t="shared" si="5"/>
        <v>#NUM!</v>
      </c>
      <c r="AN64" s="59">
        <f ca="1">AVERAGE(OFFSET($AM$3,0,0,'Données projet'!$E$10+1,1))-AVERAGE(OFFSET($H$3,0,0,'Données projet'!$E$10+1,1))</f>
        <v>101.15586831191774</v>
      </c>
      <c r="AO64" s="59">
        <f t="shared" si="36"/>
        <v>346.96347336689064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22.054784529255873</v>
      </c>
      <c r="AV64" s="21">
        <f>EXP(-LN(2)/25)*AV63+(1-EXP(-LN(2)/25))/(LN(2)/25)*Calculateur!AQ64*Calculateur!AS64*VLOOKUP('Données projet'!$B$10,Paramètres!$A$1:$I$89,3,0)*0.475*44/12</f>
        <v>6.9819407194761878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29.036725248732061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8.8000000000000007</v>
      </c>
      <c r="BD64" s="12">
        <f>IF('Données projet'!$A$88&gt;35,BD63+BC64-BL63,IF(A64&lt;'Données projet'!$A$88,$BA$205^A64,IF(A64='Données projet'!$A$88,'Données projet'!$B$88,BD63+BC64-BL63)))</f>
        <v>253.7999999999999</v>
      </c>
      <c r="BE64" s="13">
        <f>BD64*VLOOKUP('Données projet'!$B$11,Paramètres!$A$1:$I$89,3,0)*VLOOKUP('Données projet'!$B$11,Paramètres!$A$1:$I$89,5,0)</f>
        <v>229.63823999999988</v>
      </c>
      <c r="BF64" s="13">
        <f t="shared" si="37"/>
        <v>56.204453396569633</v>
      </c>
      <c r="BG64" s="20">
        <f t="shared" si="7"/>
        <v>497.84269099902525</v>
      </c>
      <c r="BH64" s="59">
        <f t="shared" si="8"/>
        <v>791.17602433235857</v>
      </c>
      <c r="BI64" s="59">
        <f ca="1">AVERAGE(OFFSET($BH$3,0,0,'Données projet'!$E$11+1,1))-AVERAGE(OFFSET($H$3,0,0,'Données projet'!$E$11+1,1))</f>
        <v>352.62747127358324</v>
      </c>
      <c r="BJ64" s="59">
        <f t="shared" si="38"/>
        <v>283.16932763435011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14.179826815943782</v>
      </c>
      <c r="BQ64" s="21">
        <f>EXP(-LN(2)/25)*BQ63+(1-EXP(-LN(2)/25))/(LN(2)/25)*Calculateur!BL64*Calculateur!BN64*VLOOKUP('Données projet'!$B$11,Paramètres!$A$1:$I$89,3,0)*0.475*44/12</f>
        <v>0</v>
      </c>
      <c r="BR64" s="21">
        <f>EXP(-LN(2)/2)*BR63+(1-EXP(-LN(2)/2))/(LN(2)/2)*BL64*BO64*VLOOKUP('Données projet'!$B$11,Paramètres!$A$1:$I$89,3,0)*0.475*44/12</f>
        <v>0</v>
      </c>
      <c r="BS64" s="22">
        <f t="shared" si="9"/>
        <v>14.179826815943782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8.8000000000000007</v>
      </c>
      <c r="BY64" s="12">
        <f>IF('Données projet'!$A$114&gt;35,BY63+BX64-CG63,IF(A64&lt;'Données projet'!$A$114,$BV$205^A64,IF(A64='Données projet'!$A$114,'Données projet'!$B$114,BY63+BX64-CG63)))</f>
        <v>253.7999999999999</v>
      </c>
      <c r="BZ64" s="13">
        <f>BY64*VLOOKUP('Données projet'!$B$12,Paramètres!$A$1:$I$89,3,0)*VLOOKUP('Données projet'!$B$12,Paramètres!$A$1:$I$89,5,0)</f>
        <v>265.27175999999992</v>
      </c>
      <c r="CA64" s="13">
        <f t="shared" si="39"/>
        <v>63.844787983263814</v>
      </c>
      <c r="CB64" s="20">
        <f t="shared" si="10"/>
        <v>573.211321070851</v>
      </c>
      <c r="CC64" s="59">
        <f t="shared" si="11"/>
        <v>866.54465440418426</v>
      </c>
      <c r="CD64" s="59">
        <f ca="1">AVERAGE(OFFSET($CC$3,0,0,'Données projet'!$E$12+1,1))-AVERAGE(OFFSET($H$3,0,0,'Données projet'!$E$12+1,1))</f>
        <v>423.49657671419374</v>
      </c>
      <c r="CE64" s="59">
        <f t="shared" si="40"/>
        <v>329.6783569381081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16.380144770141953</v>
      </c>
      <c r="CL64" s="21">
        <f>EXP(-LN(2)/25)*CL63+(1-EXP(-LN(2)/25))/(LN(2)/25)*Calculateur!CG64*Calculateur!CI64*VLOOKUP('Données projet'!$B$12,Paramètres!$A$1:$I$89,3,0)*0.475*44/12</f>
        <v>0</v>
      </c>
      <c r="CM64" s="21">
        <f>EXP(-LN(2)/2)*CM63+(1-EXP(-LN(2)/2))/(LN(2)/2)*CG64*CJ64*VLOOKUP('Données projet'!$B$12,Paramètres!$A$1:$I$89,3,0)*0.475*44/12</f>
        <v>0</v>
      </c>
      <c r="CN64" s="22">
        <f t="shared" si="12"/>
        <v>16.380144770141953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8.8000000000000007</v>
      </c>
      <c r="CT64" s="12">
        <f>IF('Données projet'!$A$140&gt;35,CT63+CS64-DB63,IF(A64&lt;'Données projet'!$A$140,$CQ$205^A64,IF(A64='Données projet'!$A$140,'Données projet'!$B$140,CT63+CS64-DB63)))</f>
        <v>253.7999999999999</v>
      </c>
      <c r="CU64" s="17">
        <f>CT64*VLOOKUP('Données projet'!$B$13,Paramètres!$A$1:$I$89,3,0)*VLOOKUP('Données projet'!$B$13,Paramètres!$A$1:$I$89,5,0)</f>
        <v>257.3531999999999</v>
      </c>
      <c r="CV64" s="13">
        <f t="shared" si="41"/>
        <v>62.157851613080908</v>
      </c>
      <c r="CW64" s="20">
        <f t="shared" si="13"/>
        <v>556.48174822611566</v>
      </c>
      <c r="CX64" s="59">
        <f t="shared" si="14"/>
        <v>849.81508155944903</v>
      </c>
      <c r="CY64" s="59">
        <f ca="1">AVERAGE(OFFSET($CX$3,0,0,'Données projet'!$E$13+1,1))-AVERAGE(OFFSET($H$3,0,0,'Données projet'!$E$13+1,1))</f>
        <v>407.76560346703042</v>
      </c>
      <c r="CZ64" s="59">
        <f t="shared" si="42"/>
        <v>319.35531375725202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15.891185224764584</v>
      </c>
      <c r="DG64" s="21">
        <f>EXP(-LN(2)/25)*DG63+(1-EXP(-LN(2)/25))/(LN(2)/25)*Calculateur!DB64*Calculateur!DD64*VLOOKUP('Données projet'!$B$13,Paramètres!$A$1:$I$89,3,0)*0.475*44/12</f>
        <v>0</v>
      </c>
      <c r="DH64" s="21">
        <f>EXP(-LN(2)/2)*DH63+(1-EXP(-LN(2)/2))/(LN(2)/2)*DB64*DE64*VLOOKUP('Données projet'!$B$13,Paramètres!$A$1:$I$89,3,0)*0.475*44/12</f>
        <v>0</v>
      </c>
      <c r="DI64" s="22">
        <f t="shared" si="15"/>
        <v>15.891185224764584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2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55.130400000000051</v>
      </c>
      <c r="D65" s="11">
        <f t="shared" si="32"/>
        <v>15.931082230000042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548.54477510877268</v>
      </c>
      <c r="H65" s="67">
        <f t="shared" si="1"/>
        <v>380.43208155058352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0</v>
      </c>
      <c r="O65" s="13">
        <f>N65*VLOOKUP('Données projet'!$B$9,Paramètres!$A$1:$I$89,3,0)*VLOOKUP('Données projet'!$B$9,Paramètres!$A$1:$I$89,5,0)</f>
        <v>0</v>
      </c>
      <c r="P65" s="13" t="e">
        <f t="shared" si="33"/>
        <v>#NUM!</v>
      </c>
      <c r="Q65" s="20" t="e">
        <f t="shared" si="53"/>
        <v>#NUM!</v>
      </c>
      <c r="R65" s="59" t="e">
        <f t="shared" si="0"/>
        <v>#NUM!</v>
      </c>
      <c r="S65" s="59">
        <f ca="1">AVERAGE(OFFSET($R$3,0,0,'Données projet'!$E$9+1,1))-AVERAGE(OFFSET($H$3,0,0,'Données projet'!$E$9+1,1))</f>
        <v>101.15586831191774</v>
      </c>
      <c r="T65" s="59">
        <f t="shared" si="34"/>
        <v>346.96347336689064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21.622303656727443</v>
      </c>
      <c r="AA65" s="21">
        <f>EXP(-LN(2)/25)*AA64+(1-EXP(-LN(2)/25))/(LN(2)/25)*Calculateur!V65*Calculateur!X65*VLOOKUP('Données projet'!$B$9,Paramètres!$A$1:$I$89,3,0)*0.475*44/12</f>
        <v>6.7910191833378066</v>
      </c>
      <c r="AB65" s="21">
        <f>EXP(-LN(2)/2)*AB64+(1-EXP(-LN(2)/2))/(LN(2)/2)*V65*Y65*VLOOKUP('Données projet'!$B$9,Paramètres!$A$1:$I$89,3,0)*0.475*44/12</f>
        <v>0</v>
      </c>
      <c r="AC65" s="22">
        <f t="shared" si="3"/>
        <v>28.413322840065248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0</v>
      </c>
      <c r="AI65" s="13">
        <f>IF('Données projet'!$A$62&gt;35,AI64+AH65-AQ64,IF(A65&lt;'Données projet'!$A$62,$AF$205^A65,IF(A65='Données projet'!$A$62,'Données projet'!$B$62,AI64+AH65-AQ64)))</f>
        <v>0</v>
      </c>
      <c r="AJ65" s="13">
        <f>AI65*VLOOKUP('Données projet'!$B$10,Paramètres!$A$1:$I$89,3,0)*VLOOKUP('Données projet'!$B$10,Paramètres!$A$1:$I$89,5,0)</f>
        <v>0</v>
      </c>
      <c r="AK65" s="13" t="e">
        <f t="shared" si="35"/>
        <v>#NUM!</v>
      </c>
      <c r="AL65" s="20" t="e">
        <f t="shared" si="4"/>
        <v>#NUM!</v>
      </c>
      <c r="AM65" s="59" t="e">
        <f t="shared" si="5"/>
        <v>#NUM!</v>
      </c>
      <c r="AN65" s="59">
        <f ca="1">AVERAGE(OFFSET($AM$3,0,0,'Données projet'!$E$10+1,1))-AVERAGE(OFFSET($H$3,0,0,'Données projet'!$E$10+1,1))</f>
        <v>101.15586831191774</v>
      </c>
      <c r="AO65" s="59">
        <f t="shared" si="36"/>
        <v>346.96347336689064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21.622303656727443</v>
      </c>
      <c r="AV65" s="21">
        <f>EXP(-LN(2)/25)*AV64+(1-EXP(-LN(2)/25))/(LN(2)/25)*Calculateur!AQ65*Calculateur!AS65*VLOOKUP('Données projet'!$B$10,Paramètres!$A$1:$I$89,3,0)*0.475*44/12</f>
        <v>6.7910191833378066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28.413322840065248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8.8000000000000007</v>
      </c>
      <c r="BD65" s="12">
        <f>IF('Données projet'!$A$88&gt;35,BD64+BC65-BL64,IF(A65&lt;'Données projet'!$A$88,$BA$205^A65,IF(A65='Données projet'!$A$88,'Données projet'!$B$88,BD64+BC65-BL64)))</f>
        <v>262.59999999999991</v>
      </c>
      <c r="BE65" s="13">
        <f>BD65*VLOOKUP('Données projet'!$B$11,Paramètres!$A$1:$I$89,3,0)*VLOOKUP('Données projet'!$B$11,Paramètres!$A$1:$I$89,5,0)</f>
        <v>237.60047999999992</v>
      </c>
      <c r="BF65" s="13">
        <f t="shared" si="37"/>
        <v>57.922960533442058</v>
      </c>
      <c r="BG65" s="20">
        <f t="shared" si="7"/>
        <v>514.70332559574479</v>
      </c>
      <c r="BH65" s="59">
        <f t="shared" si="8"/>
        <v>808.03665892907816</v>
      </c>
      <c r="BI65" s="59">
        <f ca="1">AVERAGE(OFFSET($BH$3,0,0,'Données projet'!$E$11+1,1))-AVERAGE(OFFSET($H$3,0,0,'Données projet'!$E$11+1,1))</f>
        <v>352.62747127358324</v>
      </c>
      <c r="BJ65" s="59">
        <f t="shared" si="38"/>
        <v>283.16932763435011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13.901769060923479</v>
      </c>
      <c r="BQ65" s="21">
        <f>EXP(-LN(2)/25)*BQ64+(1-EXP(-LN(2)/25))/(LN(2)/25)*Calculateur!BL65*Calculateur!BN65*VLOOKUP('Données projet'!$B$11,Paramètres!$A$1:$I$89,3,0)*0.475*44/12</f>
        <v>0</v>
      </c>
      <c r="BR65" s="21">
        <f>EXP(-LN(2)/2)*BR64+(1-EXP(-LN(2)/2))/(LN(2)/2)*BL65*BO65*VLOOKUP('Données projet'!$B$11,Paramètres!$A$1:$I$89,3,0)*0.475*44/12</f>
        <v>0</v>
      </c>
      <c r="BS65" s="22">
        <f t="shared" si="9"/>
        <v>13.901769060923479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8.8000000000000007</v>
      </c>
      <c r="BY65" s="12">
        <f>IF('Données projet'!$A$114&gt;35,BY64+BX65-CG64,IF(A65&lt;'Données projet'!$A$114,$BV$205^A65,IF(A65='Données projet'!$A$114,'Données projet'!$B$114,BY64+BX65-CG64)))</f>
        <v>262.59999999999991</v>
      </c>
      <c r="BZ65" s="13">
        <f>BY65*VLOOKUP('Données projet'!$B$12,Paramètres!$A$1:$I$89,3,0)*VLOOKUP('Données projet'!$B$12,Paramètres!$A$1:$I$89,5,0)</f>
        <v>274.46951999999993</v>
      </c>
      <c r="CA65" s="13">
        <f t="shared" si="39"/>
        <v>65.796905959168527</v>
      </c>
      <c r="CB65" s="20">
        <f t="shared" si="10"/>
        <v>592.63069187888505</v>
      </c>
      <c r="CC65" s="59">
        <f t="shared" si="11"/>
        <v>885.9640252122183</v>
      </c>
      <c r="CD65" s="59">
        <f ca="1">AVERAGE(OFFSET($CC$3,0,0,'Données projet'!$E$12+1,1))-AVERAGE(OFFSET($H$3,0,0,'Données projet'!$E$12+1,1))</f>
        <v>423.49657671419374</v>
      </c>
      <c r="CE65" s="59">
        <f t="shared" si="40"/>
        <v>329.6783569381081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16.058940122101259</v>
      </c>
      <c r="CL65" s="21">
        <f>EXP(-LN(2)/25)*CL64+(1-EXP(-LN(2)/25))/(LN(2)/25)*Calculateur!CG65*Calculateur!CI65*VLOOKUP('Données projet'!$B$12,Paramètres!$A$1:$I$89,3,0)*0.475*44/12</f>
        <v>0</v>
      </c>
      <c r="CM65" s="21">
        <f>EXP(-LN(2)/2)*CM64+(1-EXP(-LN(2)/2))/(LN(2)/2)*CG65*CJ65*VLOOKUP('Données projet'!$B$12,Paramètres!$A$1:$I$89,3,0)*0.475*44/12</f>
        <v>0</v>
      </c>
      <c r="CN65" s="22">
        <f t="shared" si="12"/>
        <v>16.058940122101259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8.8000000000000007</v>
      </c>
      <c r="CT65" s="12">
        <f>IF('Données projet'!$A$140&gt;35,CT64+CS65-DB64,IF(A65&lt;'Données projet'!$A$140,$CQ$205^A65,IF(A65='Données projet'!$A$140,'Données projet'!$B$140,CT64+CS65-DB64)))</f>
        <v>262.59999999999991</v>
      </c>
      <c r="CU65" s="17">
        <f>CT65*VLOOKUP('Données projet'!$B$13,Paramètres!$A$1:$I$89,3,0)*VLOOKUP('Données projet'!$B$13,Paramètres!$A$1:$I$89,5,0)</f>
        <v>266.27639999999991</v>
      </c>
      <c r="CV65" s="13">
        <f t="shared" si="41"/>
        <v>64.05838982943969</v>
      </c>
      <c r="CW65" s="20">
        <f t="shared" si="13"/>
        <v>575.333092286274</v>
      </c>
      <c r="CX65" s="59">
        <f t="shared" si="14"/>
        <v>868.66642561960725</v>
      </c>
      <c r="CY65" s="59">
        <f ca="1">AVERAGE(OFFSET($CX$3,0,0,'Données projet'!$E$13+1,1))-AVERAGE(OFFSET($H$3,0,0,'Données projet'!$E$13+1,1))</f>
        <v>407.76560346703042</v>
      </c>
      <c r="CZ65" s="59">
        <f t="shared" si="42"/>
        <v>319.35531375725202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15.579568775172866</v>
      </c>
      <c r="DG65" s="21">
        <f>EXP(-LN(2)/25)*DG64+(1-EXP(-LN(2)/25))/(LN(2)/25)*Calculateur!DB65*Calculateur!DD65*VLOOKUP('Données projet'!$B$13,Paramètres!$A$1:$I$89,3,0)*0.475*44/12</f>
        <v>0</v>
      </c>
      <c r="DH65" s="21">
        <f>EXP(-LN(2)/2)*DH64+(1-EXP(-LN(2)/2))/(LN(2)/2)*DB65*DE65*VLOOKUP('Données projet'!$B$13,Paramètres!$A$1:$I$89,3,0)*0.475*44/12</f>
        <v>0</v>
      </c>
      <c r="DI65" s="22">
        <f t="shared" si="15"/>
        <v>15.579568775172866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2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56.019600000000054</v>
      </c>
      <c r="D66" s="11">
        <f t="shared" si="32"/>
        <v>16.157913987449295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557.15975709610018</v>
      </c>
      <c r="H66" s="67">
        <f t="shared" si="1"/>
        <v>382.37583686147428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0</v>
      </c>
      <c r="O66" s="13">
        <f>N66*VLOOKUP('Données projet'!$B$9,Paramètres!$A$1:$I$89,3,0)*VLOOKUP('Données projet'!$B$9,Paramètres!$A$1:$I$89,5,0)</f>
        <v>0</v>
      </c>
      <c r="P66" s="13" t="e">
        <f t="shared" si="33"/>
        <v>#NUM!</v>
      </c>
      <c r="Q66" s="20" t="e">
        <f t="shared" si="53"/>
        <v>#NUM!</v>
      </c>
      <c r="R66" s="59" t="e">
        <f t="shared" si="0"/>
        <v>#NUM!</v>
      </c>
      <c r="S66" s="59">
        <f ca="1">AVERAGE(OFFSET($R$3,0,0,'Données projet'!$E$9+1,1))-AVERAGE(OFFSET($H$3,0,0,'Données projet'!$E$9+1,1))</f>
        <v>101.15586831191774</v>
      </c>
      <c r="T66" s="59">
        <f t="shared" si="34"/>
        <v>346.96347336689064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21.19830347032201</v>
      </c>
      <c r="AA66" s="21">
        <f>EXP(-LN(2)/25)*AA65+(1-EXP(-LN(2)/25))/(LN(2)/25)*Calculateur!V66*Calculateur!X66*VLOOKUP('Données projet'!$B$9,Paramètres!$A$1:$I$89,3,0)*0.475*44/12</f>
        <v>6.6053184066452566</v>
      </c>
      <c r="AB66" s="21">
        <f>EXP(-LN(2)/2)*AB65+(1-EXP(-LN(2)/2))/(LN(2)/2)*V66*Y66*VLOOKUP('Données projet'!$B$9,Paramètres!$A$1:$I$89,3,0)*0.475*44/12</f>
        <v>0</v>
      </c>
      <c r="AC66" s="22">
        <f t="shared" si="3"/>
        <v>27.803621876967267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0</v>
      </c>
      <c r="AI66" s="13">
        <f>IF('Données projet'!$A$62&gt;35,AI65+AH66-AQ65,IF(A66&lt;'Données projet'!$A$62,$AF$205^A66,IF(A66='Données projet'!$A$62,'Données projet'!$B$62,AI65+AH66-AQ65)))</f>
        <v>0</v>
      </c>
      <c r="AJ66" s="13">
        <f>AI66*VLOOKUP('Données projet'!$B$10,Paramètres!$A$1:$I$89,3,0)*VLOOKUP('Données projet'!$B$10,Paramètres!$A$1:$I$89,5,0)</f>
        <v>0</v>
      </c>
      <c r="AK66" s="13" t="e">
        <f t="shared" si="35"/>
        <v>#NUM!</v>
      </c>
      <c r="AL66" s="20" t="e">
        <f t="shared" si="4"/>
        <v>#NUM!</v>
      </c>
      <c r="AM66" s="59" t="e">
        <f t="shared" si="5"/>
        <v>#NUM!</v>
      </c>
      <c r="AN66" s="59">
        <f ca="1">AVERAGE(OFFSET($AM$3,0,0,'Données projet'!$E$10+1,1))-AVERAGE(OFFSET($H$3,0,0,'Données projet'!$E$10+1,1))</f>
        <v>101.15586831191774</v>
      </c>
      <c r="AO66" s="59">
        <f t="shared" si="36"/>
        <v>346.96347336689064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21.19830347032201</v>
      </c>
      <c r="AV66" s="21">
        <f>EXP(-LN(2)/25)*AV65+(1-EXP(-LN(2)/25))/(LN(2)/25)*Calculateur!AQ66*Calculateur!AS66*VLOOKUP('Données projet'!$B$10,Paramètres!$A$1:$I$89,3,0)*0.475*44/12</f>
        <v>6.6053184066452566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27.803621876967267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8.8000000000000007</v>
      </c>
      <c r="BD66" s="12">
        <f>IF('Données projet'!$A$88&gt;35,BD65+BC66-BL65,IF(A66&lt;'Données projet'!$A$88,$BA$205^A66,IF(A66='Données projet'!$A$88,'Données projet'!$B$88,BD65+BC66-BL65)))</f>
        <v>271.39999999999992</v>
      </c>
      <c r="BE66" s="13">
        <f>BD66*VLOOKUP('Données projet'!$B$11,Paramètres!$A$1:$I$89,3,0)*VLOOKUP('Données projet'!$B$11,Paramètres!$A$1:$I$89,5,0)</f>
        <v>245.56271999999993</v>
      </c>
      <c r="BF66" s="13">
        <f t="shared" si="37"/>
        <v>59.634776048276898</v>
      </c>
      <c r="BG66" s="20">
        <f t="shared" si="7"/>
        <v>531.55230561741553</v>
      </c>
      <c r="BH66" s="59">
        <f t="shared" si="8"/>
        <v>824.8856389507489</v>
      </c>
      <c r="BI66" s="59">
        <f ca="1">AVERAGE(OFFSET($BH$3,0,0,'Données projet'!$E$11+1,1))-AVERAGE(OFFSET($H$3,0,0,'Données projet'!$E$11+1,1))</f>
        <v>352.62747127358324</v>
      </c>
      <c r="BJ66" s="59">
        <f t="shared" si="38"/>
        <v>283.16932763435011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13.629163848880642</v>
      </c>
      <c r="BQ66" s="21">
        <f>EXP(-LN(2)/25)*BQ65+(1-EXP(-LN(2)/25))/(LN(2)/25)*Calculateur!BL66*Calculateur!BN66*VLOOKUP('Données projet'!$B$11,Paramètres!$A$1:$I$89,3,0)*0.475*44/12</f>
        <v>0</v>
      </c>
      <c r="BR66" s="21">
        <f>EXP(-LN(2)/2)*BR65+(1-EXP(-LN(2)/2))/(LN(2)/2)*BL66*BO66*VLOOKUP('Données projet'!$B$11,Paramètres!$A$1:$I$89,3,0)*0.475*44/12</f>
        <v>0</v>
      </c>
      <c r="BS66" s="22">
        <f t="shared" si="9"/>
        <v>13.629163848880642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8.8000000000000007</v>
      </c>
      <c r="BY66" s="12">
        <f>IF('Données projet'!$A$114&gt;35,BY65+BX66-CG65,IF(A66&lt;'Données projet'!$A$114,$BV$205^A66,IF(A66='Données projet'!$A$114,'Données projet'!$B$114,BY65+BX66-CG65)))</f>
        <v>271.39999999999992</v>
      </c>
      <c r="BZ66" s="13">
        <f>BY66*VLOOKUP('Données projet'!$B$12,Paramètres!$A$1:$I$89,3,0)*VLOOKUP('Données projet'!$B$12,Paramètres!$A$1:$I$89,5,0)</f>
        <v>283.66727999999995</v>
      </c>
      <c r="CA66" s="13">
        <f t="shared" si="39"/>
        <v>67.741422665699872</v>
      </c>
      <c r="CB66" s="20">
        <f t="shared" si="10"/>
        <v>612.03682380942712</v>
      </c>
      <c r="CC66" s="59">
        <f t="shared" si="11"/>
        <v>905.37015714276049</v>
      </c>
      <c r="CD66" s="59">
        <f ca="1">AVERAGE(OFFSET($CC$3,0,0,'Données projet'!$E$12+1,1))-AVERAGE(OFFSET($H$3,0,0,'Données projet'!$E$12+1,1))</f>
        <v>423.49657671419374</v>
      </c>
      <c r="CE66" s="59">
        <f t="shared" si="40"/>
        <v>329.6783569381081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15.744034101293153</v>
      </c>
      <c r="CL66" s="21">
        <f>EXP(-LN(2)/25)*CL65+(1-EXP(-LN(2)/25))/(LN(2)/25)*Calculateur!CG66*Calculateur!CI66*VLOOKUP('Données projet'!$B$12,Paramètres!$A$1:$I$89,3,0)*0.475*44/12</f>
        <v>0</v>
      </c>
      <c r="CM66" s="21">
        <f>EXP(-LN(2)/2)*CM65+(1-EXP(-LN(2)/2))/(LN(2)/2)*CG66*CJ66*VLOOKUP('Données projet'!$B$12,Paramètres!$A$1:$I$89,3,0)*0.475*44/12</f>
        <v>0</v>
      </c>
      <c r="CN66" s="22">
        <f t="shared" si="12"/>
        <v>15.744034101293153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8.8000000000000007</v>
      </c>
      <c r="CT66" s="12">
        <f>IF('Données projet'!$A$140&gt;35,CT65+CS66-DB65,IF(A66&lt;'Données projet'!$A$140,$CQ$205^A66,IF(A66='Données projet'!$A$140,'Données projet'!$B$140,CT65+CS66-DB65)))</f>
        <v>271.39999999999992</v>
      </c>
      <c r="CU66" s="17">
        <f>CT66*VLOOKUP('Données projet'!$B$13,Paramètres!$A$1:$I$89,3,0)*VLOOKUP('Données projet'!$B$13,Paramètres!$A$1:$I$89,5,0)</f>
        <v>275.19959999999998</v>
      </c>
      <c r="CV66" s="13">
        <f t="shared" si="41"/>
        <v>65.951527620662617</v>
      </c>
      <c r="CW66" s="20">
        <f t="shared" si="13"/>
        <v>594.17154727265404</v>
      </c>
      <c r="CX66" s="59">
        <f t="shared" si="14"/>
        <v>887.50488060598741</v>
      </c>
      <c r="CY66" s="59">
        <f ca="1">AVERAGE(OFFSET($CX$3,0,0,'Données projet'!$E$13+1,1))-AVERAGE(OFFSET($H$3,0,0,'Données projet'!$E$13+1,1))</f>
        <v>407.76560346703042</v>
      </c>
      <c r="CZ66" s="59">
        <f t="shared" si="42"/>
        <v>319.35531375725202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15.274062934090376</v>
      </c>
      <c r="DG66" s="21">
        <f>EXP(-LN(2)/25)*DG65+(1-EXP(-LN(2)/25))/(LN(2)/25)*Calculateur!DB66*Calculateur!DD66*VLOOKUP('Données projet'!$B$13,Paramètres!$A$1:$I$89,3,0)*0.475*44/12</f>
        <v>0</v>
      </c>
      <c r="DH66" s="21">
        <f>EXP(-LN(2)/2)*DH65+(1-EXP(-LN(2)/2))/(LN(2)/2)*DB66*DE66*VLOOKUP('Données projet'!$B$13,Paramètres!$A$1:$I$89,3,0)*0.475*44/12</f>
        <v>0</v>
      </c>
      <c r="DI66" s="22">
        <f t="shared" si="15"/>
        <v>15.274062934090376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2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56.908800000000056</v>
      </c>
      <c r="D67" s="11">
        <f t="shared" si="32"/>
        <v>16.384327014561212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565.77150677906945</v>
      </c>
      <c r="H67" s="67">
        <f t="shared" si="1"/>
        <v>384.31886288369424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0</v>
      </c>
      <c r="O67" s="13">
        <f>N67*VLOOKUP('Données projet'!$B$9,Paramètres!$A$1:$I$89,3,0)*VLOOKUP('Données projet'!$B$9,Paramètres!$A$1:$I$89,5,0)</f>
        <v>0</v>
      </c>
      <c r="P67" s="13" t="e">
        <f t="shared" si="33"/>
        <v>#NUM!</v>
      </c>
      <c r="Q67" s="20" t="e">
        <f t="shared" ref="Q67:Q98" si="54">(O67+P67)*0.475*44/12</f>
        <v>#NUM!</v>
      </c>
      <c r="R67" s="59" t="e">
        <f t="shared" ref="R67:R130" si="55">Q67+(I67+J67)*44/12</f>
        <v>#NUM!</v>
      </c>
      <c r="S67" s="59">
        <f ca="1">AVERAGE(OFFSET($R$3,0,0,'Données projet'!$E$9+1,1))-AVERAGE(OFFSET($H$3,0,0,'Données projet'!$E$9+1,1))</f>
        <v>101.15586831191774</v>
      </c>
      <c r="T67" s="59">
        <f t="shared" si="34"/>
        <v>346.96347336689064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20.78261766895741</v>
      </c>
      <c r="AA67" s="21">
        <f>EXP(-LN(2)/25)*AA66+(1-EXP(-LN(2)/25))/(LN(2)/25)*Calculateur!V67*Calculateur!X67*VLOOKUP('Données projet'!$B$9,Paramètres!$A$1:$I$89,3,0)*0.475*44/12</f>
        <v>6.424695627456944</v>
      </c>
      <c r="AB67" s="21">
        <f>EXP(-LN(2)/2)*AB66+(1-EXP(-LN(2)/2))/(LN(2)/2)*V67*Y67*VLOOKUP('Données projet'!$B$9,Paramètres!$A$1:$I$89,3,0)*0.475*44/12</f>
        <v>0</v>
      </c>
      <c r="AC67" s="22">
        <f t="shared" si="3"/>
        <v>27.207313296414355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0</v>
      </c>
      <c r="AI67" s="13">
        <f>IF('Données projet'!$A$62&gt;35,AI66+AH67-AQ66,IF(A67&lt;'Données projet'!$A$62,$AF$205^A67,IF(A67='Données projet'!$A$62,'Données projet'!$B$62,AI66+AH67-AQ66)))</f>
        <v>0</v>
      </c>
      <c r="AJ67" s="13">
        <f>AI67*VLOOKUP('Données projet'!$B$10,Paramètres!$A$1:$I$89,3,0)*VLOOKUP('Données projet'!$B$10,Paramètres!$A$1:$I$89,5,0)</f>
        <v>0</v>
      </c>
      <c r="AK67" s="13" t="e">
        <f t="shared" si="35"/>
        <v>#NUM!</v>
      </c>
      <c r="AL67" s="20" t="e">
        <f t="shared" si="4"/>
        <v>#NUM!</v>
      </c>
      <c r="AM67" s="59" t="e">
        <f t="shared" si="5"/>
        <v>#NUM!</v>
      </c>
      <c r="AN67" s="59">
        <f ca="1">AVERAGE(OFFSET($AM$3,0,0,'Données projet'!$E$10+1,1))-AVERAGE(OFFSET($H$3,0,0,'Données projet'!$E$10+1,1))</f>
        <v>101.15586831191774</v>
      </c>
      <c r="AO67" s="59">
        <f t="shared" si="36"/>
        <v>346.96347336689064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20.78261766895741</v>
      </c>
      <c r="AV67" s="21">
        <f>EXP(-LN(2)/25)*AV66+(1-EXP(-LN(2)/25))/(LN(2)/25)*Calculateur!AQ67*Calculateur!AS67*VLOOKUP('Données projet'!$B$10,Paramètres!$A$1:$I$89,3,0)*0.475*44/12</f>
        <v>6.424695627456944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27.207313296414355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8.8000000000000007</v>
      </c>
      <c r="BD67" s="12">
        <f>IF('Données projet'!$A$88&gt;35,BD66+BC67-BL66,IF(A67&lt;'Données projet'!$A$88,$BA$205^A67,IF(A67='Données projet'!$A$88,'Données projet'!$B$88,BD66+BC67-BL66)))</f>
        <v>280.19999999999993</v>
      </c>
      <c r="BE67" s="13">
        <f>BD67*VLOOKUP('Données projet'!$B$11,Paramètres!$A$1:$I$89,3,0)*VLOOKUP('Données projet'!$B$11,Paramètres!$A$1:$I$89,5,0)</f>
        <v>253.52495999999996</v>
      </c>
      <c r="BF67" s="13">
        <f t="shared" si="37"/>
        <v>61.340141798422209</v>
      </c>
      <c r="BG67" s="20">
        <f t="shared" si="7"/>
        <v>548.39005229891859</v>
      </c>
      <c r="BH67" s="59">
        <f t="shared" si="8"/>
        <v>841.72338563225185</v>
      </c>
      <c r="BI67" s="59">
        <f ca="1">AVERAGE(OFFSET($BH$3,0,0,'Données projet'!$E$11+1,1))-AVERAGE(OFFSET($H$3,0,0,'Données projet'!$E$11+1,1))</f>
        <v>352.62747127358324</v>
      </c>
      <c r="BJ67" s="59">
        <f t="shared" si="38"/>
        <v>283.16932763435011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13.361904258773203</v>
      </c>
      <c r="BQ67" s="21">
        <f>EXP(-LN(2)/25)*BQ66+(1-EXP(-LN(2)/25))/(LN(2)/25)*Calculateur!BL67*Calculateur!BN67*VLOOKUP('Données projet'!$B$11,Paramètres!$A$1:$I$89,3,0)*0.475*44/12</f>
        <v>0</v>
      </c>
      <c r="BR67" s="21">
        <f>EXP(-LN(2)/2)*BR66+(1-EXP(-LN(2)/2))/(LN(2)/2)*BL67*BO67*VLOOKUP('Données projet'!$B$11,Paramètres!$A$1:$I$89,3,0)*0.475*44/12</f>
        <v>0</v>
      </c>
      <c r="BS67" s="22">
        <f t="shared" si="9"/>
        <v>13.361904258773203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8.8000000000000007</v>
      </c>
      <c r="BY67" s="12">
        <f>IF('Données projet'!$A$114&gt;35,BY66+BX67-CG66,IF(A67&lt;'Données projet'!$A$114,$BV$205^A67,IF(A67='Données projet'!$A$114,'Données projet'!$B$114,BY66+BX67-CG66)))</f>
        <v>280.19999999999993</v>
      </c>
      <c r="BZ67" s="13">
        <f>BY67*VLOOKUP('Données projet'!$B$12,Paramètres!$A$1:$I$89,3,0)*VLOOKUP('Données projet'!$B$12,Paramètres!$A$1:$I$89,5,0)</f>
        <v>292.86503999999991</v>
      </c>
      <c r="CA67" s="13">
        <f t="shared" si="39"/>
        <v>69.678612837868542</v>
      </c>
      <c r="CB67" s="20">
        <f t="shared" si="10"/>
        <v>631.4301953592875</v>
      </c>
      <c r="CC67" s="59">
        <f t="shared" si="11"/>
        <v>924.76352869262087</v>
      </c>
      <c r="CD67" s="59">
        <f ca="1">AVERAGE(OFFSET($CC$3,0,0,'Données projet'!$E$12+1,1))-AVERAGE(OFFSET($H$3,0,0,'Données projet'!$E$12+1,1))</f>
        <v>423.49657671419374</v>
      </c>
      <c r="CE67" s="59">
        <f t="shared" si="40"/>
        <v>329.6783569381081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15.435303195479387</v>
      </c>
      <c r="CL67" s="21">
        <f>EXP(-LN(2)/25)*CL66+(1-EXP(-LN(2)/25))/(LN(2)/25)*Calculateur!CG67*Calculateur!CI67*VLOOKUP('Données projet'!$B$12,Paramètres!$A$1:$I$89,3,0)*0.475*44/12</f>
        <v>0</v>
      </c>
      <c r="CM67" s="21">
        <f>EXP(-LN(2)/2)*CM66+(1-EXP(-LN(2)/2))/(LN(2)/2)*CG67*CJ67*VLOOKUP('Données projet'!$B$12,Paramètres!$A$1:$I$89,3,0)*0.475*44/12</f>
        <v>0</v>
      </c>
      <c r="CN67" s="22">
        <f t="shared" si="12"/>
        <v>15.435303195479387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8.8000000000000007</v>
      </c>
      <c r="CT67" s="12">
        <f>IF('Données projet'!$A$140&gt;35,CT66+CS67-DB66,IF(A67&lt;'Données projet'!$A$140,$CQ$205^A67,IF(A67='Données projet'!$A$140,'Données projet'!$B$140,CT66+CS67-DB66)))</f>
        <v>280.19999999999993</v>
      </c>
      <c r="CU67" s="17">
        <f>CT67*VLOOKUP('Données projet'!$B$13,Paramètres!$A$1:$I$89,3,0)*VLOOKUP('Données projet'!$B$13,Paramètres!$A$1:$I$89,5,0)</f>
        <v>284.12279999999998</v>
      </c>
      <c r="CV67" s="13">
        <f t="shared" si="41"/>
        <v>67.837532462585557</v>
      </c>
      <c r="CW67" s="20">
        <f t="shared" si="13"/>
        <v>612.99757903900309</v>
      </c>
      <c r="CX67" s="59">
        <f t="shared" si="14"/>
        <v>906.33091237233634</v>
      </c>
      <c r="CY67" s="59">
        <f ca="1">AVERAGE(OFFSET($CX$3,0,0,'Données projet'!$E$13+1,1))-AVERAGE(OFFSET($H$3,0,0,'Données projet'!$E$13+1,1))</f>
        <v>407.76560346703042</v>
      </c>
      <c r="CZ67" s="59">
        <f t="shared" si="42"/>
        <v>319.35531375725202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14.974547876211348</v>
      </c>
      <c r="DG67" s="21">
        <f>EXP(-LN(2)/25)*DG66+(1-EXP(-LN(2)/25))/(LN(2)/25)*Calculateur!DB67*Calculateur!DD67*VLOOKUP('Données projet'!$B$13,Paramètres!$A$1:$I$89,3,0)*0.475*44/12</f>
        <v>0</v>
      </c>
      <c r="DH67" s="21">
        <f>EXP(-LN(2)/2)*DH66+(1-EXP(-LN(2)/2))/(LN(2)/2)*DB67*DE67*VLOOKUP('Données projet'!$B$13,Paramètres!$A$1:$I$89,3,0)*0.475*44/12</f>
        <v>0</v>
      </c>
      <c r="DI67" s="22">
        <f t="shared" si="15"/>
        <v>14.974547876211348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2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57.798000000000059</v>
      </c>
      <c r="D68" s="11">
        <f t="shared" si="32"/>
        <v>16.610328609523005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574.38008049456403</v>
      </c>
      <c r="H68" s="67">
        <f t="shared" ref="H68:H131" si="56">(B68+E68+F68)*44/12+(C68+D68)*0.475*44/12</f>
        <v>386.26117232825266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0</v>
      </c>
      <c r="O68" s="13">
        <f>N68*VLOOKUP('Données projet'!$B$9,Paramètres!$A$1:$I$89,3,0)*VLOOKUP('Données projet'!$B$9,Paramètres!$A$1:$I$89,5,0)</f>
        <v>0</v>
      </c>
      <c r="P68" s="13" t="e">
        <f t="shared" si="33"/>
        <v>#NUM!</v>
      </c>
      <c r="Q68" s="20" t="e">
        <f t="shared" si="54"/>
        <v>#NUM!</v>
      </c>
      <c r="R68" s="59" t="e">
        <f t="shared" si="55"/>
        <v>#NUM!</v>
      </c>
      <c r="S68" s="59">
        <f ca="1">AVERAGE(OFFSET($R$3,0,0,'Données projet'!$E$9+1,1))-AVERAGE(OFFSET($H$3,0,0,'Données projet'!$E$9+1,1))</f>
        <v>101.15586831191774</v>
      </c>
      <c r="T68" s="59">
        <f t="shared" si="34"/>
        <v>346.96347336689064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20.375083212614268</v>
      </c>
      <c r="AA68" s="21">
        <f>EXP(-LN(2)/25)*AA67+(1-EXP(-LN(2)/25))/(LN(2)/25)*Calculateur!V68*Calculateur!X68*VLOOKUP('Données projet'!$B$9,Paramètres!$A$1:$I$89,3,0)*0.475*44/12</f>
        <v>6.2490119876640744</v>
      </c>
      <c r="AB68" s="21">
        <f>EXP(-LN(2)/2)*AB67+(1-EXP(-LN(2)/2))/(LN(2)/2)*V68*Y68*VLOOKUP('Données projet'!$B$9,Paramètres!$A$1:$I$89,3,0)*0.475*44/12</f>
        <v>0</v>
      </c>
      <c r="AC68" s="22">
        <f t="shared" ref="AC68:AC131" si="57">SUM(Z68:AB68)</f>
        <v>26.62409520027834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0</v>
      </c>
      <c r="AI68" s="13">
        <f>IF('Données projet'!$A$62&gt;35,AI67+AH68-AQ67,IF(A68&lt;'Données projet'!$A$62,$AF$205^A68,IF(A68='Données projet'!$A$62,'Données projet'!$B$62,AI67+AH68-AQ67)))</f>
        <v>0</v>
      </c>
      <c r="AJ68" s="13">
        <f>AI68*VLOOKUP('Données projet'!$B$10,Paramètres!$A$1:$I$89,3,0)*VLOOKUP('Données projet'!$B$10,Paramètres!$A$1:$I$89,5,0)</f>
        <v>0</v>
      </c>
      <c r="AK68" s="13" t="e">
        <f t="shared" si="35"/>
        <v>#NUM!</v>
      </c>
      <c r="AL68" s="20" t="e">
        <f t="shared" ref="AL68:AL131" si="58">(AJ68+AK68)*0.475*44/12</f>
        <v>#NUM!</v>
      </c>
      <c r="AM68" s="59" t="e">
        <f t="shared" ref="AM68:AM131" si="59">AL68+(AD68+AE68)*44/12</f>
        <v>#NUM!</v>
      </c>
      <c r="AN68" s="59">
        <f ca="1">AVERAGE(OFFSET($AM$3,0,0,'Données projet'!$E$10+1,1))-AVERAGE(OFFSET($H$3,0,0,'Données projet'!$E$10+1,1))</f>
        <v>101.15586831191774</v>
      </c>
      <c r="AO68" s="59">
        <f t="shared" si="36"/>
        <v>346.96347336689064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20.375083212614268</v>
      </c>
      <c r="AV68" s="21">
        <f>EXP(-LN(2)/25)*AV67+(1-EXP(-LN(2)/25))/(LN(2)/25)*Calculateur!AQ68*Calculateur!AS68*VLOOKUP('Données projet'!$B$10,Paramètres!$A$1:$I$89,3,0)*0.475*44/12</f>
        <v>6.2490119876640744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26.62409520027834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>
        <f>VLOOKUP(A68,'Données projet'!$A$87:$I$107,2,0)</f>
        <v>289</v>
      </c>
      <c r="BB68" s="12">
        <f>VLOOKUP(A68,'Données projet'!$A$87:$I$107,9,0)</f>
        <v>8.8000000000000007</v>
      </c>
      <c r="BC68" s="12">
        <f t="array" ref="BC68">INDEX(BB:BB,MIN(IF(ISNUMBER(BB68:BB264),ROW(BB68:BB264),"")))</f>
        <v>8.8000000000000007</v>
      </c>
      <c r="BD68" s="12">
        <f>IF('Données projet'!$A$88&gt;35,BD67+BC68-BL67,IF(A68&lt;'Données projet'!$A$88,$BA$205^A68,IF(A68='Données projet'!$A$88,'Données projet'!$B$88,BD67+BC68-BL67)))</f>
        <v>288.99999999999994</v>
      </c>
      <c r="BE68" s="13">
        <f>BD68*VLOOKUP('Données projet'!$B$11,Paramètres!$A$1:$I$89,3,0)*VLOOKUP('Données projet'!$B$11,Paramètres!$A$1:$I$89,5,0)</f>
        <v>261.48719999999992</v>
      </c>
      <c r="BF68" s="13">
        <f t="shared" si="37"/>
        <v>63.039283586802391</v>
      </c>
      <c r="BG68" s="20">
        <f t="shared" ref="BG68:BG131" si="61">(BE68+BF68)*0.475*44/12</f>
        <v>565.21695891368074</v>
      </c>
      <c r="BH68" s="59">
        <f t="shared" ref="BH68:BH131" si="62">BG68+(AY68+AZ68)*44/12</f>
        <v>858.55029224701411</v>
      </c>
      <c r="BI68" s="59">
        <f ca="1">AVERAGE(OFFSET($BH$3,0,0,'Données projet'!$E$11+1,1))-AVERAGE(OFFSET($H$3,0,0,'Données projet'!$E$11+1,1))</f>
        <v>352.62747127358324</v>
      </c>
      <c r="BJ68" s="59">
        <f t="shared" si="38"/>
        <v>283.16932763435011</v>
      </c>
      <c r="BK68" s="15">
        <f>IF(ISNA(VLOOKUP(A68,'Données projet'!$A$87:$I$107,3,0)),0,VLOOKUP(A68,'Données projet'!$A$87:$I$107,3,0))</f>
        <v>10</v>
      </c>
      <c r="BL68" s="15">
        <f>IF(ISNA(VLOOKUP(A68,'Données projet'!$A$87:$I$107,4,0)),0,VLOOKUP(A68,'Données projet'!$A$87:$I$107,4,0))</f>
        <v>28</v>
      </c>
      <c r="BM68" s="16">
        <f>IF(ISNA(VLOOKUP(A68,'Données projet'!$A$87:$I$107,5,0)),0%,VLOOKUP(A68,'Données projet'!$A$87:$I$107,5,0)*VLOOKUP('Données projet'!$B$11,Paramètres!$A$1:$I$89,7,0))</f>
        <v>0.17200000000000001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17.916991216932722</v>
      </c>
      <c r="BQ68" s="21">
        <f>EXP(-LN(2)/25)*BQ67+(1-EXP(-LN(2)/25))/(LN(2)/25)*Calculateur!BL68*Calculateur!BN68*VLOOKUP('Données projet'!$B$11,Paramètres!$A$1:$I$89,3,0)*0.475*44/12</f>
        <v>0</v>
      </c>
      <c r="BR68" s="21">
        <f>EXP(-LN(2)/2)*BR67+(1-EXP(-LN(2)/2))/(LN(2)/2)*BL68*BO68*VLOOKUP('Données projet'!$B$11,Paramètres!$A$1:$I$89,3,0)*0.475*44/12</f>
        <v>0</v>
      </c>
      <c r="BS68" s="22">
        <f t="shared" ref="BS68:BS131" si="63">SUM(BP68:BR68)</f>
        <v>17.916991216932722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>
        <f>VLOOKUP(A68,'Données projet'!$A$113:$I$133,2,0)</f>
        <v>289</v>
      </c>
      <c r="BW68" s="12">
        <f>VLOOKUP(A68,'Données projet'!$A$113:$I$133,9,0)</f>
        <v>8.8000000000000007</v>
      </c>
      <c r="BX68" s="12">
        <f t="array" ref="BX68">INDEX(BW:BW,MIN(IF(ISNUMBER(BW68:BW264),ROW(BW68:BW264),"")))</f>
        <v>8.8000000000000007</v>
      </c>
      <c r="BY68" s="12">
        <f>IF('Données projet'!$A$114&gt;35,BY67+BX68-CG67,IF(A68&lt;'Données projet'!$A$114,$BV$205^A68,IF(A68='Données projet'!$A$114,'Données projet'!$B$114,BY67+BX68-CG67)))</f>
        <v>288.99999999999994</v>
      </c>
      <c r="BZ68" s="13">
        <f>BY68*VLOOKUP('Données projet'!$B$12,Paramètres!$A$1:$I$89,3,0)*VLOOKUP('Données projet'!$B$12,Paramètres!$A$1:$I$89,5,0)</f>
        <v>302.06279999999998</v>
      </c>
      <c r="CA68" s="13">
        <f t="shared" si="39"/>
        <v>71.608732973851531</v>
      </c>
      <c r="CB68" s="20">
        <f t="shared" ref="CB68:CB131" si="64">(BZ68+CA68)*0.475*44/12</f>
        <v>650.81125326279141</v>
      </c>
      <c r="CC68" s="59">
        <f t="shared" ref="CC68:CC131" si="65">CB68+(BT68+BU68)*44/12</f>
        <v>944.14458659612478</v>
      </c>
      <c r="CD68" s="59">
        <f ca="1">AVERAGE(OFFSET($CC$3,0,0,'Données projet'!$E$12+1,1))-AVERAGE(OFFSET($H$3,0,0,'Données projet'!$E$12+1,1))</f>
        <v>423.49657671419374</v>
      </c>
      <c r="CE68" s="59">
        <f t="shared" si="40"/>
        <v>329.6783569381081</v>
      </c>
      <c r="CF68" s="15">
        <f>IF(ISNA(VLOOKUP(A68,'Données projet'!$A$113:$I$133,3,0)),0,VLOOKUP(A68,'Données projet'!$A$113:$I$133,3,0))</f>
        <v>10</v>
      </c>
      <c r="CG68" s="15">
        <f>IF(ISNA(VLOOKUP(A68,'Données projet'!$A$113:$I$133,4,0)),0,VLOOKUP(A68,'Données projet'!$A$113:$I$133,4,0))</f>
        <v>28</v>
      </c>
      <c r="CH68" s="16">
        <f>IF(ISNA(VLOOKUP(A68,'Données projet'!$A$113:$I$133,5,0)),0%,VLOOKUP(A68,'Données projet'!$A$113:$I$133,5,0)*VLOOKUP('Données projet'!$B$12,Paramètres!$A$1:$I$89,7,0))</f>
        <v>0.17200000000000001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20.697213991974007</v>
      </c>
      <c r="CL68" s="21">
        <f>EXP(-LN(2)/25)*CL67+(1-EXP(-LN(2)/25))/(LN(2)/25)*Calculateur!CG68*Calculateur!CI68*VLOOKUP('Données projet'!$B$12,Paramètres!$A$1:$I$89,3,0)*0.475*44/12</f>
        <v>0</v>
      </c>
      <c r="CM68" s="21">
        <f>EXP(-LN(2)/2)*CM67+(1-EXP(-LN(2)/2))/(LN(2)/2)*CG68*CJ68*VLOOKUP('Données projet'!$B$12,Paramètres!$A$1:$I$89,3,0)*0.475*44/12</f>
        <v>0</v>
      </c>
      <c r="CN68" s="22">
        <f t="shared" ref="CN68:CN131" si="66">SUM(CK68:CM68)</f>
        <v>20.697213991974007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>
        <f>VLOOKUP(A68,'Données projet'!$A$139:$I$159,2,0)</f>
        <v>289</v>
      </c>
      <c r="CR68" s="12">
        <f>VLOOKUP(A68,'Données projet'!$A$139:$I$159,9,0)</f>
        <v>8.8000000000000007</v>
      </c>
      <c r="CS68" s="12">
        <f t="array" ref="CS68">INDEX(CR:CR,MIN(IF(ISNUMBER(CR68:CR264),ROW(CR68:CR264),"")))</f>
        <v>8.8000000000000007</v>
      </c>
      <c r="CT68" s="12">
        <f>IF('Données projet'!$A$140&gt;35,CT67+CS68-DB67,IF(A68&lt;'Données projet'!$A$140,$CQ$205^A68,IF(A68='Données projet'!$A$140,'Données projet'!$B$140,CT67+CS68-DB67)))</f>
        <v>288.99999999999994</v>
      </c>
      <c r="CU68" s="17">
        <f>CT68*VLOOKUP('Données projet'!$B$13,Paramètres!$A$1:$I$89,3,0)*VLOOKUP('Données projet'!$B$13,Paramètres!$A$1:$I$89,5,0)</f>
        <v>293.04599999999994</v>
      </c>
      <c r="CV68" s="13">
        <f t="shared" si="41"/>
        <v>69.716654076072615</v>
      </c>
      <c r="CW68" s="20">
        <f t="shared" ref="CW68:CW131" si="67">(CU68+CV68)*0.475*44/12</f>
        <v>631.81162251582634</v>
      </c>
      <c r="CX68" s="59">
        <f t="shared" ref="CX68:CX131" si="68">CW68+(CO68+CP68)*44/12</f>
        <v>925.14495584915971</v>
      </c>
      <c r="CY68" s="59">
        <f ca="1">AVERAGE(OFFSET($CX$3,0,0,'Données projet'!$E$13+1,1))-AVERAGE(OFFSET($H$3,0,0,'Données projet'!$E$13+1,1))</f>
        <v>407.76560346703042</v>
      </c>
      <c r="CZ68" s="59">
        <f t="shared" si="42"/>
        <v>319.35531375725202</v>
      </c>
      <c r="DA68" s="15">
        <f>IF(ISNA(VLOOKUP(A68,'Données projet'!$A$139:$I$159,3,0)),0,VLOOKUP(A68,'Données projet'!$A$139:$I$159,3,0))</f>
        <v>10</v>
      </c>
      <c r="DB68" s="15">
        <f>IF(ISNA(VLOOKUP(A68,'Données projet'!$A$139:$I$159,4,0)),0,VLOOKUP(A68,'Données projet'!$A$139:$I$159,4,0))</f>
        <v>28</v>
      </c>
      <c r="DC68" s="16">
        <f>IF(ISNA(VLOOKUP(A68,'Données projet'!$A$139:$I$159,5,0)),0%,VLOOKUP(A68,'Données projet'!$A$139:$I$159,5,0)*VLOOKUP('Données projet'!$B$13,Paramètres!$A$1:$I$89,7,0))</f>
        <v>0.17200000000000001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>
        <f>EXP(-LN(2)/35)*DF67+(1-EXP(-LN(2)/35))/(LN(2)/35)*DB68*DC68*VLOOKUP('Données projet'!$B$13,Paramètres!$A$1:$I$89,3,0)*0.475*44/12</f>
        <v>20.0793867086315</v>
      </c>
      <c r="DG68" s="21">
        <f>EXP(-LN(2)/25)*DG67+(1-EXP(-LN(2)/25))/(LN(2)/25)*Calculateur!DB68*Calculateur!DD68*VLOOKUP('Données projet'!$B$13,Paramètres!$A$1:$I$89,3,0)*0.475*44/12</f>
        <v>0</v>
      </c>
      <c r="DH68" s="21">
        <f>EXP(-LN(2)/2)*DH67+(1-EXP(-LN(2)/2))/(LN(2)/2)*DB68*DE68*VLOOKUP('Données projet'!$B$13,Paramètres!$A$1:$I$89,3,0)*0.475*44/12</f>
        <v>0</v>
      </c>
      <c r="DI68" s="22">
        <f t="shared" ref="DI68:DI131" si="69">SUM(DF68:DH68)</f>
        <v>20.0793867086315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2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58.687200000000061</v>
      </c>
      <c r="D69" s="11">
        <f t="shared" ref="D69:D132" si="86">IFERROR(EXP(-1.0587+0.8836*LN(C69)+0.284),0)</f>
        <v>16.835925833077553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582.98553274656399</v>
      </c>
      <c r="H69" s="67">
        <f t="shared" si="56"/>
        <v>388.20277749261015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0</v>
      </c>
      <c r="O69" s="13">
        <f>N69*VLOOKUP('Données projet'!$B$9,Paramètres!$A$1:$I$89,3,0)*VLOOKUP('Données projet'!$B$9,Paramètres!$A$1:$I$89,5,0)</f>
        <v>0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101.15586831191774</v>
      </c>
      <c r="T69" s="59">
        <f t="shared" ref="T69:T132" si="88">$T$3</f>
        <v>346.96347336689064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19.975540258388541</v>
      </c>
      <c r="AA69" s="21">
        <f>EXP(-LN(2)/25)*AA68+(1-EXP(-LN(2)/25))/(LN(2)/25)*Calculateur!V69*Calculateur!X69*VLOOKUP('Données projet'!$B$9,Paramètres!$A$1:$I$89,3,0)*0.475*44/12</f>
        <v>6.0781324262401419</v>
      </c>
      <c r="AB69" s="21">
        <f>EXP(-LN(2)/2)*AB68+(1-EXP(-LN(2)/2))/(LN(2)/2)*V69*Y69*VLOOKUP('Données projet'!$B$9,Paramètres!$A$1:$I$89,3,0)*0.475*44/12</f>
        <v>0</v>
      </c>
      <c r="AC69" s="22">
        <f t="shared" si="57"/>
        <v>26.053672684628683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0</v>
      </c>
      <c r="AJ69" s="13">
        <f>AI69*VLOOKUP('Données projet'!$B$10,Paramètres!$A$1:$I$89,3,0)*VLOOKUP('Données projet'!$B$10,Paramètres!$A$1:$I$89,5,0)</f>
        <v>0</v>
      </c>
      <c r="AK69" s="13" t="e">
        <f t="shared" ref="AK69:AK132" si="89">EXP(-1.0587+0.8836*LN(AJ69)+0.284)</f>
        <v>#NUM!</v>
      </c>
      <c r="AL69" s="20" t="e">
        <f t="shared" si="58"/>
        <v>#NUM!</v>
      </c>
      <c r="AM69" s="59" t="e">
        <f t="shared" si="59"/>
        <v>#NUM!</v>
      </c>
      <c r="AN69" s="59">
        <f ca="1">AVERAGE(OFFSET($AM$3,0,0,'Données projet'!$E$10+1,1))-AVERAGE(OFFSET($H$3,0,0,'Données projet'!$E$10+1,1))</f>
        <v>101.15586831191774</v>
      </c>
      <c r="AO69" s="59">
        <f t="shared" ref="AO69:AO132" si="90">$AO$3</f>
        <v>346.96347336689064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19.975540258388541</v>
      </c>
      <c r="AV69" s="21">
        <f>EXP(-LN(2)/25)*AV68+(1-EXP(-LN(2)/25))/(LN(2)/25)*Calculateur!AQ69*Calculateur!AS69*VLOOKUP('Données projet'!$B$10,Paramètres!$A$1:$I$89,3,0)*0.475*44/12</f>
        <v>6.0781324262401419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26.053672684628683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8.1999999999999993</v>
      </c>
      <c r="BD69" s="12">
        <f>IF('Données projet'!$A$88&gt;35,BD68+BC69-BL68,IF(A69&lt;'Données projet'!$A$88,$BA$205^A69,IF(A69='Données projet'!$A$88,'Données projet'!$B$88,BD68+BC69-BL68)))</f>
        <v>269.19999999999993</v>
      </c>
      <c r="BE69" s="13">
        <f>BD69*VLOOKUP('Données projet'!$B$11,Paramètres!$A$1:$I$89,3,0)*VLOOKUP('Données projet'!$B$11,Paramètres!$A$1:$I$89,5,0)</f>
        <v>243.57215999999991</v>
      </c>
      <c r="BF69" s="13">
        <f t="shared" ref="BF69:BF132" si="91">EXP(-1.0587+0.8836*LN(BE69)+0.284)</f>
        <v>59.207435995642292</v>
      </c>
      <c r="BG69" s="20">
        <f t="shared" si="61"/>
        <v>527.34112969241005</v>
      </c>
      <c r="BH69" s="59">
        <f t="shared" si="62"/>
        <v>820.67446302574331</v>
      </c>
      <c r="BI69" s="59">
        <f ca="1">AVERAGE(OFFSET($BH$3,0,0,'Données projet'!$E$11+1,1))-AVERAGE(OFFSET($H$3,0,0,'Données projet'!$E$11+1,1))</f>
        <v>352.62747127358324</v>
      </c>
      <c r="BJ69" s="59">
        <f t="shared" ref="BJ69:BJ132" si="92">$BJ$3</f>
        <v>283.16932763435011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17.565649947454236</v>
      </c>
      <c r="BQ69" s="21">
        <f>EXP(-LN(2)/25)*BQ68+(1-EXP(-LN(2)/25))/(LN(2)/25)*Calculateur!BL69*Calculateur!BN69*VLOOKUP('Données projet'!$B$11,Paramètres!$A$1:$I$89,3,0)*0.475*44/12</f>
        <v>0</v>
      </c>
      <c r="BR69" s="21">
        <f>EXP(-LN(2)/2)*BR68+(1-EXP(-LN(2)/2))/(LN(2)/2)*BL69*BO69*VLOOKUP('Données projet'!$B$11,Paramètres!$A$1:$I$89,3,0)*0.475*44/12</f>
        <v>0</v>
      </c>
      <c r="BS69" s="22">
        <f t="shared" si="63"/>
        <v>17.565649947454236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8.1999999999999993</v>
      </c>
      <c r="BY69" s="12">
        <f>IF('Données projet'!$A$114&gt;35,BY68+BX69-CG68,IF(A69&lt;'Données projet'!$A$114,$BV$205^A69,IF(A69='Données projet'!$A$114,'Données projet'!$B$114,BY68+BX69-CG68)))</f>
        <v>269.19999999999993</v>
      </c>
      <c r="BZ69" s="13">
        <f>BY69*VLOOKUP('Données projet'!$B$12,Paramètres!$A$1:$I$89,3,0)*VLOOKUP('Données projet'!$B$12,Paramètres!$A$1:$I$89,5,0)</f>
        <v>281.36783999999994</v>
      </c>
      <c r="CA69" s="13">
        <f t="shared" ref="CA69:CA132" si="93">EXP(-1.0587+0.8836*LN(BZ69)+0.284)</f>
        <v>67.255990757578601</v>
      </c>
      <c r="CB69" s="20">
        <f t="shared" si="64"/>
        <v>607.18650523611598</v>
      </c>
      <c r="CC69" s="59">
        <f t="shared" si="65"/>
        <v>900.51983856944935</v>
      </c>
      <c r="CD69" s="59">
        <f ca="1">AVERAGE(OFFSET($CC$3,0,0,'Données projet'!$E$12+1,1))-AVERAGE(OFFSET($H$3,0,0,'Données projet'!$E$12+1,1))</f>
        <v>423.49657671419374</v>
      </c>
      <c r="CE69" s="59">
        <f t="shared" ref="CE69:CE132" si="94">$CE$3</f>
        <v>329.6783569381081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20.291354249645408</v>
      </c>
      <c r="CL69" s="21">
        <f>EXP(-LN(2)/25)*CL68+(1-EXP(-LN(2)/25))/(LN(2)/25)*Calculateur!CG69*Calculateur!CI69*VLOOKUP('Données projet'!$B$12,Paramètres!$A$1:$I$89,3,0)*0.475*44/12</f>
        <v>0</v>
      </c>
      <c r="CM69" s="21">
        <f>EXP(-LN(2)/2)*CM68+(1-EXP(-LN(2)/2))/(LN(2)/2)*CG69*CJ69*VLOOKUP('Données projet'!$B$12,Paramètres!$A$1:$I$89,3,0)*0.475*44/12</f>
        <v>0</v>
      </c>
      <c r="CN69" s="22">
        <f t="shared" si="66"/>
        <v>20.291354249645408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8.1999999999999993</v>
      </c>
      <c r="CT69" s="12">
        <f>IF('Données projet'!$A$140&gt;35,CT68+CS69-DB68,IF(A69&lt;'Données projet'!$A$140,$CQ$205^A69,IF(A69='Données projet'!$A$140,'Données projet'!$B$140,CT68+CS69-DB68)))</f>
        <v>269.19999999999993</v>
      </c>
      <c r="CU69" s="17">
        <f>CT69*VLOOKUP('Données projet'!$B$13,Paramètres!$A$1:$I$89,3,0)*VLOOKUP('Données projet'!$B$13,Paramètres!$A$1:$I$89,5,0)</f>
        <v>272.96879999999993</v>
      </c>
      <c r="CV69" s="13">
        <f t="shared" ref="CV69:CV132" si="95">EXP(-1.0587+0.8836*LN(CU69)+0.284)</f>
        <v>65.478922017818945</v>
      </c>
      <c r="CW69" s="20">
        <f t="shared" si="67"/>
        <v>589.46311584770126</v>
      </c>
      <c r="CX69" s="59">
        <f t="shared" si="68"/>
        <v>882.79644918103463</v>
      </c>
      <c r="CY69" s="59">
        <f ca="1">AVERAGE(OFFSET($CX$3,0,0,'Données projet'!$E$13+1,1))-AVERAGE(OFFSET($H$3,0,0,'Données projet'!$E$13+1,1))</f>
        <v>407.76560346703042</v>
      </c>
      <c r="CZ69" s="59">
        <f t="shared" ref="CZ69:CZ132" si="96">$CZ$3</f>
        <v>319.35531375725202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>
        <f>EXP(-LN(2)/35)*DF68+(1-EXP(-LN(2)/35))/(LN(2)/35)*DB69*DC69*VLOOKUP('Données projet'!$B$13,Paramètres!$A$1:$I$89,3,0)*0.475*44/12</f>
        <v>19.685642182491815</v>
      </c>
      <c r="DG69" s="21">
        <f>EXP(-LN(2)/25)*DG68+(1-EXP(-LN(2)/25))/(LN(2)/25)*Calculateur!DB69*Calculateur!DD69*VLOOKUP('Données projet'!$B$13,Paramètres!$A$1:$I$89,3,0)*0.475*44/12</f>
        <v>0</v>
      </c>
      <c r="DH69" s="21">
        <f>EXP(-LN(2)/2)*DH68+(1-EXP(-LN(2)/2))/(LN(2)/2)*DB69*DE69*VLOOKUP('Données projet'!$B$13,Paramètres!$A$1:$I$89,3,0)*0.475*44/12</f>
        <v>0</v>
      </c>
      <c r="DI69" s="22">
        <f t="shared" si="69"/>
        <v>19.685642182491815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2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59.576400000000064</v>
      </c>
      <c r="D70" s="11">
        <f t="shared" si="86"/>
        <v>17.061125519726964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591.58791629262976</v>
      </c>
      <c r="H70" s="67">
        <f t="shared" si="56"/>
        <v>390.14369028019127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0</v>
      </c>
      <c r="O70" s="13">
        <f>N70*VLOOKUP('Données projet'!$B$9,Paramètres!$A$1:$I$89,3,0)*VLOOKUP('Données projet'!$B$9,Paramètres!$A$1:$I$89,5,0)</f>
        <v>0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101.15586831191774</v>
      </c>
      <c r="T70" s="59">
        <f t="shared" si="88"/>
        <v>346.96347336689064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19.583832097798041</v>
      </c>
      <c r="AA70" s="21">
        <f>EXP(-LN(2)/25)*AA69+(1-EXP(-LN(2)/25))/(LN(2)/25)*Calculateur!V70*Calculateur!X70*VLOOKUP('Données projet'!$B$9,Paramètres!$A$1:$I$89,3,0)*0.475*44/12</f>
        <v>5.911925575409513</v>
      </c>
      <c r="AB70" s="21">
        <f>EXP(-LN(2)/2)*AB69+(1-EXP(-LN(2)/2))/(LN(2)/2)*V70*Y70*VLOOKUP('Données projet'!$B$9,Paramètres!$A$1:$I$89,3,0)*0.475*44/12</f>
        <v>0</v>
      </c>
      <c r="AC70" s="22">
        <f t="shared" si="57"/>
        <v>25.495757673207553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0</v>
      </c>
      <c r="AJ70" s="13">
        <f>AI70*VLOOKUP('Données projet'!$B$10,Paramètres!$A$1:$I$89,3,0)*VLOOKUP('Données projet'!$B$10,Paramètres!$A$1:$I$89,5,0)</f>
        <v>0</v>
      </c>
      <c r="AK70" s="13" t="e">
        <f t="shared" si="89"/>
        <v>#NUM!</v>
      </c>
      <c r="AL70" s="20" t="e">
        <f t="shared" si="58"/>
        <v>#NUM!</v>
      </c>
      <c r="AM70" s="59" t="e">
        <f t="shared" si="59"/>
        <v>#NUM!</v>
      </c>
      <c r="AN70" s="59">
        <f ca="1">AVERAGE(OFFSET($AM$3,0,0,'Données projet'!$E$10+1,1))-AVERAGE(OFFSET($H$3,0,0,'Données projet'!$E$10+1,1))</f>
        <v>101.15586831191774</v>
      </c>
      <c r="AO70" s="59">
        <f t="shared" si="90"/>
        <v>346.96347336689064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19.583832097798041</v>
      </c>
      <c r="AV70" s="21">
        <f>EXP(-LN(2)/25)*AV69+(1-EXP(-LN(2)/25))/(LN(2)/25)*Calculateur!AQ70*Calculateur!AS70*VLOOKUP('Données projet'!$B$10,Paramètres!$A$1:$I$89,3,0)*0.475*44/12</f>
        <v>5.911925575409513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25.495757673207553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8.1999999999999993</v>
      </c>
      <c r="BD70" s="12">
        <f>IF('Données projet'!$A$88&gt;35,BD69+BC70-BL69,IF(A70&lt;'Données projet'!$A$88,$BA$205^A70,IF(A70='Données projet'!$A$88,'Données projet'!$B$88,BD69+BC70-BL69)))</f>
        <v>277.39999999999992</v>
      </c>
      <c r="BE70" s="13">
        <f>BD70*VLOOKUP('Données projet'!$B$11,Paramètres!$A$1:$I$89,3,0)*VLOOKUP('Données projet'!$B$11,Paramètres!$A$1:$I$89,5,0)</f>
        <v>250.99151999999992</v>
      </c>
      <c r="BF70" s="13">
        <f t="shared" si="91"/>
        <v>60.798211000769349</v>
      </c>
      <c r="BG70" s="20">
        <f t="shared" si="61"/>
        <v>543.03378149300647</v>
      </c>
      <c r="BH70" s="59">
        <f t="shared" si="62"/>
        <v>836.36711482633973</v>
      </c>
      <c r="BI70" s="59">
        <f ca="1">AVERAGE(OFFSET($BH$3,0,0,'Données projet'!$E$11+1,1))-AVERAGE(OFFSET($H$3,0,0,'Données projet'!$E$11+1,1))</f>
        <v>352.62747127358324</v>
      </c>
      <c r="BJ70" s="59">
        <f t="shared" si="92"/>
        <v>283.16932763435011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17.221198265973207</v>
      </c>
      <c r="BQ70" s="21">
        <f>EXP(-LN(2)/25)*BQ69+(1-EXP(-LN(2)/25))/(LN(2)/25)*Calculateur!BL70*Calculateur!BN70*VLOOKUP('Données projet'!$B$11,Paramètres!$A$1:$I$89,3,0)*0.475*44/12</f>
        <v>0</v>
      </c>
      <c r="BR70" s="21">
        <f>EXP(-LN(2)/2)*BR69+(1-EXP(-LN(2)/2))/(LN(2)/2)*BL70*BO70*VLOOKUP('Données projet'!$B$11,Paramètres!$A$1:$I$89,3,0)*0.475*44/12</f>
        <v>0</v>
      </c>
      <c r="BS70" s="22">
        <f t="shared" si="63"/>
        <v>17.221198265973207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8.1999999999999993</v>
      </c>
      <c r="BY70" s="12">
        <f>IF('Données projet'!$A$114&gt;35,BY69+BX70-CG69,IF(A70&lt;'Données projet'!$A$114,$BV$205^A70,IF(A70='Données projet'!$A$114,'Données projet'!$B$114,BY69+BX70-CG69)))</f>
        <v>277.39999999999992</v>
      </c>
      <c r="BZ70" s="13">
        <f>BY70*VLOOKUP('Données projet'!$B$12,Paramètres!$A$1:$I$89,3,0)*VLOOKUP('Données projet'!$B$12,Paramètres!$A$1:$I$89,5,0)</f>
        <v>289.93847999999991</v>
      </c>
      <c r="CA70" s="13">
        <f t="shared" si="93"/>
        <v>69.063012920303009</v>
      </c>
      <c r="CB70" s="20">
        <f t="shared" si="64"/>
        <v>625.26093350286089</v>
      </c>
      <c r="CC70" s="59">
        <f t="shared" si="65"/>
        <v>918.59426683619427</v>
      </c>
      <c r="CD70" s="59">
        <f ca="1">AVERAGE(OFFSET($CC$3,0,0,'Données projet'!$E$12+1,1))-AVERAGE(OFFSET($H$3,0,0,'Données projet'!$E$12+1,1))</f>
        <v>423.49657671419374</v>
      </c>
      <c r="CE70" s="59">
        <f t="shared" si="94"/>
        <v>329.6783569381081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19.893453169313876</v>
      </c>
      <c r="CL70" s="21">
        <f>EXP(-LN(2)/25)*CL69+(1-EXP(-LN(2)/25))/(LN(2)/25)*Calculateur!CG70*Calculateur!CI70*VLOOKUP('Données projet'!$B$12,Paramètres!$A$1:$I$89,3,0)*0.475*44/12</f>
        <v>0</v>
      </c>
      <c r="CM70" s="21">
        <f>EXP(-LN(2)/2)*CM69+(1-EXP(-LN(2)/2))/(LN(2)/2)*CG70*CJ70*VLOOKUP('Données projet'!$B$12,Paramètres!$A$1:$I$89,3,0)*0.475*44/12</f>
        <v>0</v>
      </c>
      <c r="CN70" s="22">
        <f t="shared" si="66"/>
        <v>19.893453169313876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8.1999999999999993</v>
      </c>
      <c r="CT70" s="12">
        <f>IF('Données projet'!$A$140&gt;35,CT69+CS70-DB69,IF(A70&lt;'Données projet'!$A$140,$CQ$205^A70,IF(A70='Données projet'!$A$140,'Données projet'!$B$140,CT69+CS70-DB69)))</f>
        <v>277.39999999999992</v>
      </c>
      <c r="CU70" s="17">
        <f>CT70*VLOOKUP('Données projet'!$B$13,Paramètres!$A$1:$I$89,3,0)*VLOOKUP('Données projet'!$B$13,Paramètres!$A$1:$I$89,5,0)</f>
        <v>281.28359999999992</v>
      </c>
      <c r="CV70" s="13">
        <f t="shared" si="95"/>
        <v>67.238198209347928</v>
      </c>
      <c r="CW70" s="20">
        <f t="shared" si="67"/>
        <v>607.00879854794744</v>
      </c>
      <c r="CX70" s="59">
        <f t="shared" si="68"/>
        <v>900.34213188128069</v>
      </c>
      <c r="CY70" s="59">
        <f ca="1">AVERAGE(OFFSET($CX$3,0,0,'Données projet'!$E$13+1,1))-AVERAGE(OFFSET($H$3,0,0,'Données projet'!$E$13+1,1))</f>
        <v>407.76560346703042</v>
      </c>
      <c r="CZ70" s="59">
        <f t="shared" si="96"/>
        <v>319.35531375725202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projet'!$B$13,Paramètres!$A$1:$I$89,3,0)*0.475*44/12</f>
        <v>19.299618746349285</v>
      </c>
      <c r="DG70" s="21">
        <f>EXP(-LN(2)/25)*DG69+(1-EXP(-LN(2)/25))/(LN(2)/25)*Calculateur!DB70*Calculateur!DD70*VLOOKUP('Données projet'!$B$13,Paramètres!$A$1:$I$89,3,0)*0.475*44/12</f>
        <v>0</v>
      </c>
      <c r="DH70" s="21">
        <f>EXP(-LN(2)/2)*DH69+(1-EXP(-LN(2)/2))/(LN(2)/2)*DB70*DE70*VLOOKUP('Données projet'!$B$13,Paramètres!$A$1:$I$89,3,0)*0.475*44/12</f>
        <v>0</v>
      </c>
      <c r="DI70" s="22">
        <f t="shared" si="69"/>
        <v>19.299618746349285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2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60.465600000000066</v>
      </c>
      <c r="D71" s="11">
        <f t="shared" si="86"/>
        <v>17.285934288248221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600.18728222507445</v>
      </c>
      <c r="H71" s="67">
        <f t="shared" si="56"/>
        <v>392.08392221869906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0</v>
      </c>
      <c r="O71" s="13">
        <f>N71*VLOOKUP('Données projet'!$B$9,Paramètres!$A$1:$I$89,3,0)*VLOOKUP('Données projet'!$B$9,Paramètres!$A$1:$I$89,5,0)</f>
        <v>0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101.15586831191774</v>
      </c>
      <c r="T71" s="59">
        <f t="shared" si="88"/>
        <v>346.96347336689064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19.199805095318336</v>
      </c>
      <c r="AA71" s="21">
        <f>EXP(-LN(2)/25)*AA70+(1-EXP(-LN(2)/25))/(LN(2)/25)*Calculateur!V71*Calculateur!X71*VLOOKUP('Données projet'!$B$9,Paramètres!$A$1:$I$89,3,0)*0.475*44/12</f>
        <v>5.7502636596552854</v>
      </c>
      <c r="AB71" s="21">
        <f>EXP(-LN(2)/2)*AB70+(1-EXP(-LN(2)/2))/(LN(2)/2)*V71*Y71*VLOOKUP('Données projet'!$B$9,Paramètres!$A$1:$I$89,3,0)*0.475*44/12</f>
        <v>0</v>
      </c>
      <c r="AC71" s="22">
        <f t="shared" si="57"/>
        <v>24.950068754973621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0</v>
      </c>
      <c r="AJ71" s="13">
        <f>AI71*VLOOKUP('Données projet'!$B$10,Paramètres!$A$1:$I$89,3,0)*VLOOKUP('Données projet'!$B$10,Paramètres!$A$1:$I$89,5,0)</f>
        <v>0</v>
      </c>
      <c r="AK71" s="13" t="e">
        <f t="shared" si="89"/>
        <v>#NUM!</v>
      </c>
      <c r="AL71" s="20" t="e">
        <f t="shared" si="58"/>
        <v>#NUM!</v>
      </c>
      <c r="AM71" s="59" t="e">
        <f t="shared" si="59"/>
        <v>#NUM!</v>
      </c>
      <c r="AN71" s="59">
        <f ca="1">AVERAGE(OFFSET($AM$3,0,0,'Données projet'!$E$10+1,1))-AVERAGE(OFFSET($H$3,0,0,'Données projet'!$E$10+1,1))</f>
        <v>101.15586831191774</v>
      </c>
      <c r="AO71" s="59">
        <f t="shared" si="90"/>
        <v>346.96347336689064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19.199805095318336</v>
      </c>
      <c r="AV71" s="21">
        <f>EXP(-LN(2)/25)*AV70+(1-EXP(-LN(2)/25))/(LN(2)/25)*Calculateur!AQ71*Calculateur!AS71*VLOOKUP('Données projet'!$B$10,Paramètres!$A$1:$I$89,3,0)*0.475*44/12</f>
        <v>5.7502636596552854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24.950068754973621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8.1999999999999993</v>
      </c>
      <c r="BD71" s="12">
        <f>IF('Données projet'!$A$88&gt;35,BD70+BC71-BL70,IF(A71&lt;'Données projet'!$A$88,$BA$205^A71,IF(A71='Données projet'!$A$88,'Données projet'!$B$88,BD70+BC71-BL70)))</f>
        <v>285.59999999999991</v>
      </c>
      <c r="BE71" s="13">
        <f>BD71*VLOOKUP('Données projet'!$B$11,Paramètres!$A$1:$I$89,3,0)*VLOOKUP('Données projet'!$B$11,Paramètres!$A$1:$I$89,5,0)</f>
        <v>258.41087999999991</v>
      </c>
      <c r="BF71" s="13">
        <f t="shared" si="91"/>
        <v>62.383521020316756</v>
      </c>
      <c r="BG71" s="20">
        <f t="shared" si="61"/>
        <v>558.71691511038478</v>
      </c>
      <c r="BH71" s="59">
        <f t="shared" si="62"/>
        <v>852.05024844371815</v>
      </c>
      <c r="BI71" s="59">
        <f ca="1">AVERAGE(OFFSET($BH$3,0,0,'Données projet'!$E$11+1,1))-AVERAGE(OFFSET($H$3,0,0,'Données projet'!$E$11+1,1))</f>
        <v>352.62747127358324</v>
      </c>
      <c r="BJ71" s="59">
        <f t="shared" si="92"/>
        <v>283.16932763435011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16.88350107187124</v>
      </c>
      <c r="BQ71" s="21">
        <f>EXP(-LN(2)/25)*BQ70+(1-EXP(-LN(2)/25))/(LN(2)/25)*Calculateur!BL71*Calculateur!BN71*VLOOKUP('Données projet'!$B$11,Paramètres!$A$1:$I$89,3,0)*0.475*44/12</f>
        <v>0</v>
      </c>
      <c r="BR71" s="21">
        <f>EXP(-LN(2)/2)*BR70+(1-EXP(-LN(2)/2))/(LN(2)/2)*BL71*BO71*VLOOKUP('Données projet'!$B$11,Paramètres!$A$1:$I$89,3,0)*0.475*44/12</f>
        <v>0</v>
      </c>
      <c r="BS71" s="22">
        <f t="shared" si="63"/>
        <v>16.88350107187124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8.1999999999999993</v>
      </c>
      <c r="BY71" s="12">
        <f>IF('Données projet'!$A$114&gt;35,BY70+BX71-CG70,IF(A71&lt;'Données projet'!$A$114,$BV$205^A71,IF(A71='Données projet'!$A$114,'Données projet'!$B$114,BY70+BX71-CG70)))</f>
        <v>285.59999999999991</v>
      </c>
      <c r="BZ71" s="13">
        <f>BY71*VLOOKUP('Données projet'!$B$12,Paramètres!$A$1:$I$89,3,0)*VLOOKUP('Données projet'!$B$12,Paramètres!$A$1:$I$89,5,0)</f>
        <v>298.50911999999994</v>
      </c>
      <c r="CA71" s="13">
        <f t="shared" si="93"/>
        <v>70.863827196915508</v>
      </c>
      <c r="CB71" s="20">
        <f t="shared" si="64"/>
        <v>643.32454970129436</v>
      </c>
      <c r="CC71" s="59">
        <f t="shared" si="65"/>
        <v>936.65788303462773</v>
      </c>
      <c r="CD71" s="59">
        <f ca="1">AVERAGE(OFFSET($CC$3,0,0,'Données projet'!$E$12+1,1))-AVERAGE(OFFSET($H$3,0,0,'Données projet'!$E$12+1,1))</f>
        <v>423.49657671419374</v>
      </c>
      <c r="CE71" s="59">
        <f t="shared" si="94"/>
        <v>329.6783569381081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19.503354686471951</v>
      </c>
      <c r="CL71" s="21">
        <f>EXP(-LN(2)/25)*CL70+(1-EXP(-LN(2)/25))/(LN(2)/25)*Calculateur!CG71*Calculateur!CI71*VLOOKUP('Données projet'!$B$12,Paramètres!$A$1:$I$89,3,0)*0.475*44/12</f>
        <v>0</v>
      </c>
      <c r="CM71" s="21">
        <f>EXP(-LN(2)/2)*CM70+(1-EXP(-LN(2)/2))/(LN(2)/2)*CG71*CJ71*VLOOKUP('Données projet'!$B$12,Paramètres!$A$1:$I$89,3,0)*0.475*44/12</f>
        <v>0</v>
      </c>
      <c r="CN71" s="22">
        <f t="shared" si="66"/>
        <v>19.503354686471951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8.1999999999999993</v>
      </c>
      <c r="CT71" s="12">
        <f>IF('Données projet'!$A$140&gt;35,CT70+CS71-DB70,IF(A71&lt;'Données projet'!$A$140,$CQ$205^A71,IF(A71='Données projet'!$A$140,'Données projet'!$B$140,CT70+CS71-DB70)))</f>
        <v>285.59999999999991</v>
      </c>
      <c r="CU71" s="17">
        <f>CT71*VLOOKUP('Données projet'!$B$13,Paramètres!$A$1:$I$89,3,0)*VLOOKUP('Données projet'!$B$13,Paramètres!$A$1:$I$89,5,0)</f>
        <v>289.59839999999997</v>
      </c>
      <c r="CV71" s="13">
        <f t="shared" si="95"/>
        <v>68.991430542388798</v>
      </c>
      <c r="CW71" s="20">
        <f t="shared" si="67"/>
        <v>624.54395486132705</v>
      </c>
      <c r="CX71" s="59">
        <f t="shared" si="68"/>
        <v>917.87728819466042</v>
      </c>
      <c r="CY71" s="59">
        <f ca="1">AVERAGE(OFFSET($CX$3,0,0,'Données projet'!$E$13+1,1))-AVERAGE(OFFSET($H$3,0,0,'Données projet'!$E$13+1,1))</f>
        <v>407.76560346703042</v>
      </c>
      <c r="CZ71" s="59">
        <f t="shared" si="96"/>
        <v>319.35531375725202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18.921164994338461</v>
      </c>
      <c r="DG71" s="21">
        <f>EXP(-LN(2)/25)*DG70+(1-EXP(-LN(2)/25))/(LN(2)/25)*Calculateur!DB71*Calculateur!DD71*VLOOKUP('Données projet'!$B$13,Paramètres!$A$1:$I$89,3,0)*0.475*44/12</f>
        <v>0</v>
      </c>
      <c r="DH71" s="21">
        <f>EXP(-LN(2)/2)*DH70+(1-EXP(-LN(2)/2))/(LN(2)/2)*DB71*DE71*VLOOKUP('Données projet'!$B$13,Paramètres!$A$1:$I$89,3,0)*0.475*44/12</f>
        <v>0</v>
      </c>
      <c r="DI71" s="22">
        <f t="shared" si="69"/>
        <v>18.921164994338461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2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61.354800000000068</v>
      </c>
      <c r="D72" s="11">
        <f t="shared" si="86"/>
        <v>17.510358551572637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608.7836800472279</v>
      </c>
      <c r="H72" s="67">
        <f t="shared" si="56"/>
        <v>394.02348447732243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0</v>
      </c>
      <c r="O72" s="13">
        <f>N72*VLOOKUP('Données projet'!$B$9,Paramètres!$A$1:$I$89,3,0)*VLOOKUP('Données projet'!$B$9,Paramètres!$A$1:$I$89,5,0)</f>
        <v>0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101.15586831191774</v>
      </c>
      <c r="T72" s="59">
        <f t="shared" si="88"/>
        <v>346.96347336689064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18.823308628123915</v>
      </c>
      <c r="AA72" s="21">
        <f>EXP(-LN(2)/25)*AA71+(1-EXP(-LN(2)/25))/(LN(2)/25)*Calculateur!V72*Calculateur!X72*VLOOKUP('Données projet'!$B$9,Paramètres!$A$1:$I$89,3,0)*0.475*44/12</f>
        <v>5.593022397488788</v>
      </c>
      <c r="AB72" s="21">
        <f>EXP(-LN(2)/2)*AB71+(1-EXP(-LN(2)/2))/(LN(2)/2)*V72*Y72*VLOOKUP('Données projet'!$B$9,Paramètres!$A$1:$I$89,3,0)*0.475*44/12</f>
        <v>0</v>
      </c>
      <c r="AC72" s="22">
        <f t="shared" si="57"/>
        <v>24.416331025612703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0</v>
      </c>
      <c r="AJ72" s="13">
        <f>AI72*VLOOKUP('Données projet'!$B$10,Paramètres!$A$1:$I$89,3,0)*VLOOKUP('Données projet'!$B$10,Paramètres!$A$1:$I$89,5,0)</f>
        <v>0</v>
      </c>
      <c r="AK72" s="13" t="e">
        <f t="shared" si="89"/>
        <v>#NUM!</v>
      </c>
      <c r="AL72" s="20" t="e">
        <f t="shared" si="58"/>
        <v>#NUM!</v>
      </c>
      <c r="AM72" s="59" t="e">
        <f t="shared" si="59"/>
        <v>#NUM!</v>
      </c>
      <c r="AN72" s="59">
        <f ca="1">AVERAGE(OFFSET($AM$3,0,0,'Données projet'!$E$10+1,1))-AVERAGE(OFFSET($H$3,0,0,'Données projet'!$E$10+1,1))</f>
        <v>101.15586831191774</v>
      </c>
      <c r="AO72" s="59">
        <f t="shared" si="90"/>
        <v>346.96347336689064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18.823308628123915</v>
      </c>
      <c r="AV72" s="21">
        <f>EXP(-LN(2)/25)*AV71+(1-EXP(-LN(2)/25))/(LN(2)/25)*Calculateur!AQ72*Calculateur!AS72*VLOOKUP('Données projet'!$B$10,Paramètres!$A$1:$I$89,3,0)*0.475*44/12</f>
        <v>5.593022397488788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24.416331025612703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8.1999999999999993</v>
      </c>
      <c r="BD72" s="12">
        <f>IF('Données projet'!$A$88&gt;35,BD71+BC72-BL71,IF(A72&lt;'Données projet'!$A$88,$BA$205^A72,IF(A72='Données projet'!$A$88,'Données projet'!$B$88,BD71+BC72-BL71)))</f>
        <v>293.7999999999999</v>
      </c>
      <c r="BE72" s="13">
        <f>BD72*VLOOKUP('Données projet'!$B$11,Paramètres!$A$1:$I$89,3,0)*VLOOKUP('Données projet'!$B$11,Paramètres!$A$1:$I$89,5,0)</f>
        <v>265.83023999999989</v>
      </c>
      <c r="BF72" s="13">
        <f t="shared" si="91"/>
        <v>63.963540982526439</v>
      </c>
      <c r="BG72" s="20">
        <f t="shared" si="61"/>
        <v>574.39083521123325</v>
      </c>
      <c r="BH72" s="59">
        <f t="shared" si="62"/>
        <v>867.72416854456651</v>
      </c>
      <c r="BI72" s="59">
        <f ca="1">AVERAGE(OFFSET($BH$3,0,0,'Données projet'!$E$11+1,1))-AVERAGE(OFFSET($H$3,0,0,'Données projet'!$E$11+1,1))</f>
        <v>352.62747127358324</v>
      </c>
      <c r="BJ72" s="59">
        <f t="shared" si="92"/>
        <v>283.16932763435011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16.552425913770666</v>
      </c>
      <c r="BQ72" s="21">
        <f>EXP(-LN(2)/25)*BQ71+(1-EXP(-LN(2)/25))/(LN(2)/25)*Calculateur!BL72*Calculateur!BN72*VLOOKUP('Données projet'!$B$11,Paramètres!$A$1:$I$89,3,0)*0.475*44/12</f>
        <v>0</v>
      </c>
      <c r="BR72" s="21">
        <f>EXP(-LN(2)/2)*BR71+(1-EXP(-LN(2)/2))/(LN(2)/2)*BL72*BO72*VLOOKUP('Données projet'!$B$11,Paramètres!$A$1:$I$89,3,0)*0.475*44/12</f>
        <v>0</v>
      </c>
      <c r="BS72" s="22">
        <f t="shared" si="63"/>
        <v>16.552425913770666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8.1999999999999993</v>
      </c>
      <c r="BY72" s="12">
        <f>IF('Données projet'!$A$114&gt;35,BY71+BX72-CG71,IF(A72&lt;'Données projet'!$A$114,$BV$205^A72,IF(A72='Données projet'!$A$114,'Données projet'!$B$114,BY71+BX72-CG71)))</f>
        <v>293.7999999999999</v>
      </c>
      <c r="BZ72" s="13">
        <f>BY72*VLOOKUP('Données projet'!$B$12,Paramètres!$A$1:$I$89,3,0)*VLOOKUP('Données projet'!$B$12,Paramètres!$A$1:$I$89,5,0)</f>
        <v>307.07975999999991</v>
      </c>
      <c r="CA72" s="13">
        <f t="shared" si="93"/>
        <v>72.658632295095899</v>
      </c>
      <c r="CB72" s="20">
        <f t="shared" si="64"/>
        <v>661.37769991395851</v>
      </c>
      <c r="CC72" s="59">
        <f t="shared" si="65"/>
        <v>954.71103324729188</v>
      </c>
      <c r="CD72" s="59">
        <f ca="1">AVERAGE(OFFSET($CC$3,0,0,'Données projet'!$E$12+1,1))-AVERAGE(OFFSET($H$3,0,0,'Données projet'!$E$12+1,1))</f>
        <v>423.49657671419374</v>
      </c>
      <c r="CE72" s="59">
        <f t="shared" si="94"/>
        <v>329.6783569381081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19.120905796941976</v>
      </c>
      <c r="CL72" s="21">
        <f>EXP(-LN(2)/25)*CL71+(1-EXP(-LN(2)/25))/(LN(2)/25)*Calculateur!CG72*Calculateur!CI72*VLOOKUP('Données projet'!$B$12,Paramètres!$A$1:$I$89,3,0)*0.475*44/12</f>
        <v>0</v>
      </c>
      <c r="CM72" s="21">
        <f>EXP(-LN(2)/2)*CM71+(1-EXP(-LN(2)/2))/(LN(2)/2)*CG72*CJ72*VLOOKUP('Données projet'!$B$12,Paramètres!$A$1:$I$89,3,0)*0.475*44/12</f>
        <v>0</v>
      </c>
      <c r="CN72" s="22">
        <f t="shared" si="66"/>
        <v>19.120905796941976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8.1999999999999993</v>
      </c>
      <c r="CT72" s="12">
        <f>IF('Données projet'!$A$140&gt;35,CT71+CS72-DB71,IF(A72&lt;'Données projet'!$A$140,$CQ$205^A72,IF(A72='Données projet'!$A$140,'Données projet'!$B$140,CT71+CS72-DB71)))</f>
        <v>293.7999999999999</v>
      </c>
      <c r="CU72" s="17">
        <f>CT72*VLOOKUP('Données projet'!$B$13,Paramètres!$A$1:$I$89,3,0)*VLOOKUP('Données projet'!$B$13,Paramètres!$A$1:$I$89,5,0)</f>
        <v>297.9131999999999</v>
      </c>
      <c r="CV72" s="13">
        <f t="shared" si="95"/>
        <v>70.73881247427552</v>
      </c>
      <c r="CW72" s="20">
        <f t="shared" si="67"/>
        <v>642.06892172602966</v>
      </c>
      <c r="CX72" s="59">
        <f t="shared" si="68"/>
        <v>935.40225505936291</v>
      </c>
      <c r="CY72" s="59">
        <f ca="1">AVERAGE(OFFSET($CX$3,0,0,'Données projet'!$E$13+1,1))-AVERAGE(OFFSET($H$3,0,0,'Données projet'!$E$13+1,1))</f>
        <v>407.76560346703042</v>
      </c>
      <c r="CZ72" s="59">
        <f t="shared" si="96"/>
        <v>319.35531375725202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projet'!$B$13,Paramètres!$A$1:$I$89,3,0)*0.475*44/12</f>
        <v>18.550132489570576</v>
      </c>
      <c r="DG72" s="21">
        <f>EXP(-LN(2)/25)*DG71+(1-EXP(-LN(2)/25))/(LN(2)/25)*Calculateur!DB72*Calculateur!DD72*VLOOKUP('Données projet'!$B$13,Paramètres!$A$1:$I$89,3,0)*0.475*44/12</f>
        <v>0</v>
      </c>
      <c r="DH72" s="21">
        <f>EXP(-LN(2)/2)*DH71+(1-EXP(-LN(2)/2))/(LN(2)/2)*DB72*DE72*VLOOKUP('Données projet'!$B$13,Paramètres!$A$1:$I$89,3,0)*0.475*44/12</f>
        <v>0</v>
      </c>
      <c r="DI72" s="22">
        <f t="shared" si="69"/>
        <v>18.550132489570576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2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62.244000000000071</v>
      </c>
      <c r="D73" s="11">
        <f t="shared" si="86"/>
        <v>17.734404526076464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617.3771577451522</v>
      </c>
      <c r="H73" s="67">
        <f t="shared" si="56"/>
        <v>395.96238788291669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0</v>
      </c>
      <c r="O73" s="13">
        <f>N73*VLOOKUP('Données projet'!$B$9,Paramètres!$A$1:$I$89,3,0)*VLOOKUP('Données projet'!$B$9,Paramètres!$A$1:$I$89,5,0)</f>
        <v>0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101.15586831191774</v>
      </c>
      <c r="T73" s="59">
        <f t="shared" si="88"/>
        <v>346.96347336689064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18.454195027011004</v>
      </c>
      <c r="AA73" s="21">
        <f>EXP(-LN(2)/25)*AA72+(1-EXP(-LN(2)/25))/(LN(2)/25)*Calculateur!V73*Calculateur!X73*VLOOKUP('Données projet'!$B$9,Paramètres!$A$1:$I$89,3,0)*0.475*44/12</f>
        <v>5.4400809059051927</v>
      </c>
      <c r="AB73" s="21">
        <f>EXP(-LN(2)/2)*AB72+(1-EXP(-LN(2)/2))/(LN(2)/2)*V73*Y73*VLOOKUP('Données projet'!$B$9,Paramètres!$A$1:$I$89,3,0)*0.475*44/12</f>
        <v>0</v>
      </c>
      <c r="AC73" s="22">
        <f t="shared" si="57"/>
        <v>23.894275932916194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0</v>
      </c>
      <c r="AJ73" s="13">
        <f>AI73*VLOOKUP('Données projet'!$B$10,Paramètres!$A$1:$I$89,3,0)*VLOOKUP('Données projet'!$B$10,Paramètres!$A$1:$I$89,5,0)</f>
        <v>0</v>
      </c>
      <c r="AK73" s="13" t="e">
        <f t="shared" si="89"/>
        <v>#NUM!</v>
      </c>
      <c r="AL73" s="20" t="e">
        <f t="shared" si="58"/>
        <v>#NUM!</v>
      </c>
      <c r="AM73" s="59" t="e">
        <f t="shared" si="59"/>
        <v>#NUM!</v>
      </c>
      <c r="AN73" s="59">
        <f ca="1">AVERAGE(OFFSET($AM$3,0,0,'Données projet'!$E$10+1,1))-AVERAGE(OFFSET($H$3,0,0,'Données projet'!$E$10+1,1))</f>
        <v>101.15586831191774</v>
      </c>
      <c r="AO73" s="59">
        <f t="shared" si="90"/>
        <v>346.96347336689064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18.454195027011004</v>
      </c>
      <c r="AV73" s="21">
        <f>EXP(-LN(2)/25)*AV72+(1-EXP(-LN(2)/25))/(LN(2)/25)*Calculateur!AQ73*Calculateur!AS73*VLOOKUP('Données projet'!$B$10,Paramètres!$A$1:$I$89,3,0)*0.475*44/12</f>
        <v>5.4400809059051927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23.894275932916194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>
        <f>VLOOKUP(A73,'Données projet'!$A$87:$I$107,2,0)</f>
        <v>302</v>
      </c>
      <c r="BB73" s="12">
        <f>VLOOKUP(A73,'Données projet'!$A$87:$I$107,9,0)</f>
        <v>8.1999999999999993</v>
      </c>
      <c r="BC73" s="12">
        <f t="array" ref="BC73">INDEX(BB:BB,MIN(IF(ISNUMBER(BB73:BB269),ROW(BB73:BB269),"")))</f>
        <v>8.1999999999999993</v>
      </c>
      <c r="BD73" s="12">
        <f>IF('Données projet'!$A$88&gt;35,BD72+BC73-BL72,IF(A73&lt;'Données projet'!$A$88,$BA$205^A73,IF(A73='Données projet'!$A$88,'Données projet'!$B$88,BD72+BC73-BL72)))</f>
        <v>301.99999999999989</v>
      </c>
      <c r="BE73" s="13">
        <f>BD73*VLOOKUP('Données projet'!$B$11,Paramètres!$A$1:$I$89,3,0)*VLOOKUP('Données projet'!$B$11,Paramètres!$A$1:$I$89,5,0)</f>
        <v>273.24959999999987</v>
      </c>
      <c r="BF73" s="13">
        <f t="shared" si="91"/>
        <v>65.538435495514321</v>
      </c>
      <c r="BG73" s="20">
        <f t="shared" si="61"/>
        <v>590.05582848802044</v>
      </c>
      <c r="BH73" s="59">
        <f t="shared" si="62"/>
        <v>883.38916182135381</v>
      </c>
      <c r="BI73" s="59">
        <f ca="1">AVERAGE(OFFSET($BH$3,0,0,'Données projet'!$E$11+1,1))-AVERAGE(OFFSET($H$3,0,0,'Données projet'!$E$11+1,1))</f>
        <v>352.62747127358324</v>
      </c>
      <c r="BJ73" s="59">
        <f t="shared" si="92"/>
        <v>283.16932763435011</v>
      </c>
      <c r="BK73" s="15">
        <f>IF(ISNA(VLOOKUP(A73,'Données projet'!$A$87:$I$107,3,0)),0,VLOOKUP(A73,'Données projet'!$A$87:$I$107,3,0))</f>
        <v>11</v>
      </c>
      <c r="BL73" s="15">
        <f>IF(ISNA(VLOOKUP(A73,'Données projet'!$A$87:$I$107,4,0)),0,VLOOKUP(A73,'Données projet'!$A$87:$I$107,4,0))</f>
        <v>28</v>
      </c>
      <c r="BM73" s="16">
        <f>IF(ISNA(VLOOKUP(A73,'Données projet'!$A$87:$I$107,5,0)),0%,VLOOKUP(A73,'Données projet'!$A$87:$I$107,5,0)*VLOOKUP('Données projet'!$B$11,Paramètres!$A$1:$I$89,7,0))</f>
        <v>0.215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22.249225125981042</v>
      </c>
      <c r="BQ73" s="21">
        <f>EXP(-LN(2)/25)*BQ72+(1-EXP(-LN(2)/25))/(LN(2)/25)*Calculateur!BL73*Calculateur!BN73*VLOOKUP('Données projet'!$B$11,Paramètres!$A$1:$I$89,3,0)*0.475*44/12</f>
        <v>0</v>
      </c>
      <c r="BR73" s="21">
        <f>EXP(-LN(2)/2)*BR72+(1-EXP(-LN(2)/2))/(LN(2)/2)*BL73*BO73*VLOOKUP('Données projet'!$B$11,Paramètres!$A$1:$I$89,3,0)*0.475*44/12</f>
        <v>0</v>
      </c>
      <c r="BS73" s="22">
        <f t="shared" si="63"/>
        <v>22.249225125981042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>
        <f>VLOOKUP(A73,'Données projet'!$A$113:$I$133,2,0)</f>
        <v>302</v>
      </c>
      <c r="BW73" s="12">
        <f>VLOOKUP(A73,'Données projet'!$A$113:$I$133,9,0)</f>
        <v>8.1999999999999993</v>
      </c>
      <c r="BX73" s="12">
        <f t="array" ref="BX73">INDEX(BW:BW,MIN(IF(ISNUMBER(BW73:BW269),ROW(BW73:BW269),"")))</f>
        <v>8.1999999999999993</v>
      </c>
      <c r="BY73" s="12">
        <f>IF('Données projet'!$A$114&gt;35,BY72+BX73-CG72,IF(A73&lt;'Données projet'!$A$114,$BV$205^A73,IF(A73='Données projet'!$A$114,'Données projet'!$B$114,BY72+BX73-CG72)))</f>
        <v>301.99999999999989</v>
      </c>
      <c r="BZ73" s="13">
        <f>BY73*VLOOKUP('Données projet'!$B$12,Paramètres!$A$1:$I$89,3,0)*VLOOKUP('Données projet'!$B$12,Paramètres!$A$1:$I$89,5,0)</f>
        <v>315.65039999999993</v>
      </c>
      <c r="CA73" s="13">
        <f t="shared" si="93"/>
        <v>74.447615199497747</v>
      </c>
      <c r="CB73" s="20">
        <f t="shared" si="64"/>
        <v>679.42070980579172</v>
      </c>
      <c r="CC73" s="59">
        <f t="shared" si="65"/>
        <v>972.75404313912509</v>
      </c>
      <c r="CD73" s="59">
        <f ca="1">AVERAGE(OFFSET($CC$3,0,0,'Données projet'!$E$12+1,1))-AVERAGE(OFFSET($H$3,0,0,'Données projet'!$E$12+1,1))</f>
        <v>423.49657671419374</v>
      </c>
      <c r="CE73" s="59">
        <f t="shared" si="94"/>
        <v>329.6783569381081</v>
      </c>
      <c r="CF73" s="15">
        <f>IF(ISNA(VLOOKUP(A73,'Données projet'!$A$113:$I$133,3,0)),0,VLOOKUP(A73,'Données projet'!$A$113:$I$133,3,0))</f>
        <v>11</v>
      </c>
      <c r="CG73" s="15">
        <f>IF(ISNA(VLOOKUP(A73,'Données projet'!$A$113:$I$133,4,0)),0,VLOOKUP(A73,'Données projet'!$A$113:$I$133,4,0))</f>
        <v>28</v>
      </c>
      <c r="CH73" s="16">
        <f>IF(ISNA(VLOOKUP(A73,'Données projet'!$A$113:$I$133,5,0)),0%,VLOOKUP(A73,'Données projet'!$A$113:$I$133,5,0)*VLOOKUP('Données projet'!$B$12,Paramètres!$A$1:$I$89,7,0))</f>
        <v>0.215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25.701691093805689</v>
      </c>
      <c r="CL73" s="21">
        <f>EXP(-LN(2)/25)*CL72+(1-EXP(-LN(2)/25))/(LN(2)/25)*Calculateur!CG73*Calculateur!CI73*VLOOKUP('Données projet'!$B$12,Paramètres!$A$1:$I$89,3,0)*0.475*44/12</f>
        <v>0</v>
      </c>
      <c r="CM73" s="21">
        <f>EXP(-LN(2)/2)*CM72+(1-EXP(-LN(2)/2))/(LN(2)/2)*CG73*CJ73*VLOOKUP('Données projet'!$B$12,Paramètres!$A$1:$I$89,3,0)*0.475*44/12</f>
        <v>0</v>
      </c>
      <c r="CN73" s="22">
        <f t="shared" si="66"/>
        <v>25.701691093805689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>
        <f>VLOOKUP(A73,'Données projet'!$A$139:$I$159,2,0)</f>
        <v>302</v>
      </c>
      <c r="CR73" s="12">
        <f>VLOOKUP(A73,'Données projet'!$A$139:$I$159,9,0)</f>
        <v>8.1999999999999993</v>
      </c>
      <c r="CS73" s="12">
        <f t="array" ref="CS73">INDEX(CR:CR,MIN(IF(ISNUMBER(CR73:CR269),ROW(CR73:CR269),"")))</f>
        <v>8.1999999999999993</v>
      </c>
      <c r="CT73" s="12">
        <f>IF('Données projet'!$A$140&gt;35,CT72+CS73-DB72,IF(A73&lt;'Données projet'!$A$140,$CQ$205^A73,IF(A73='Données projet'!$A$140,'Données projet'!$B$140,CT72+CS73-DB72)))</f>
        <v>301.99999999999989</v>
      </c>
      <c r="CU73" s="17">
        <f>CT73*VLOOKUP('Données projet'!$B$13,Paramètres!$A$1:$I$89,3,0)*VLOOKUP('Données projet'!$B$13,Paramètres!$A$1:$I$89,5,0)</f>
        <v>306.22799999999989</v>
      </c>
      <c r="CV73" s="13">
        <f t="shared" si="95"/>
        <v>72.480526049067294</v>
      </c>
      <c r="CW73" s="20">
        <f t="shared" si="67"/>
        <v>659.58401620212533</v>
      </c>
      <c r="CX73" s="59">
        <f t="shared" si="68"/>
        <v>952.9173495354587</v>
      </c>
      <c r="CY73" s="59">
        <f ca="1">AVERAGE(OFFSET($CX$3,0,0,'Données projet'!$E$13+1,1))-AVERAGE(OFFSET($H$3,0,0,'Données projet'!$E$13+1,1))</f>
        <v>407.76560346703042</v>
      </c>
      <c r="CZ73" s="59">
        <f t="shared" si="96"/>
        <v>319.35531375725202</v>
      </c>
      <c r="DA73" s="15">
        <f>IF(ISNA(VLOOKUP(A73,'Données projet'!$A$139:$I$159,3,0)),0,VLOOKUP(A73,'Données projet'!$A$139:$I$159,3,0))</f>
        <v>11</v>
      </c>
      <c r="DB73" s="15">
        <f>IF(ISNA(VLOOKUP(A73,'Données projet'!$A$139:$I$159,4,0)),0,VLOOKUP(A73,'Données projet'!$A$139:$I$159,4,0))</f>
        <v>28</v>
      </c>
      <c r="DC73" s="16">
        <f>IF(ISNA(VLOOKUP(A73,'Données projet'!$A$139:$I$159,5,0)),0%,VLOOKUP(A73,'Données projet'!$A$139:$I$159,5,0)*VLOOKUP('Données projet'!$B$13,Paramètres!$A$1:$I$89,7,0))</f>
        <v>0.215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>
        <f>EXP(-LN(2)/35)*DF72+(1-EXP(-LN(2)/35))/(LN(2)/35)*DB73*DC73*VLOOKUP('Données projet'!$B$13,Paramètres!$A$1:$I$89,3,0)*0.475*44/12</f>
        <v>24.934476434289103</v>
      </c>
      <c r="DG73" s="21">
        <f>EXP(-LN(2)/25)*DG72+(1-EXP(-LN(2)/25))/(LN(2)/25)*Calculateur!DB73*Calculateur!DD73*VLOOKUP('Données projet'!$B$13,Paramètres!$A$1:$I$89,3,0)*0.475*44/12</f>
        <v>0</v>
      </c>
      <c r="DH73" s="21">
        <f>EXP(-LN(2)/2)*DH72+(1-EXP(-LN(2)/2))/(LN(2)/2)*DB73*DE73*VLOOKUP('Données projet'!$B$13,Paramètres!$A$1:$I$89,3,0)*0.475*44/12</f>
        <v>0</v>
      </c>
      <c r="DI73" s="22">
        <f t="shared" si="69"/>
        <v>24.934476434289103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2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63.133200000000073</v>
      </c>
      <c r="D74" s="11">
        <f t="shared" si="86"/>
        <v>17.958078240325332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625.96776185514352</v>
      </c>
      <c r="H74" s="67">
        <f t="shared" si="56"/>
        <v>397.90064293523346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0</v>
      </c>
      <c r="O74" s="13">
        <f>N74*VLOOKUP('Données projet'!$B$9,Paramètres!$A$1:$I$89,3,0)*VLOOKUP('Données projet'!$B$9,Paramètres!$A$1:$I$89,5,0)</f>
        <v>0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101.15586831191774</v>
      </c>
      <c r="T74" s="59">
        <f t="shared" si="88"/>
        <v>346.96347336689064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18.092319518478853</v>
      </c>
      <c r="AA74" s="21">
        <f>EXP(-LN(2)/25)*AA73+(1-EXP(-LN(2)/25))/(LN(2)/25)*Calculateur!V74*Calculateur!X74*VLOOKUP('Données projet'!$B$9,Paramètres!$A$1:$I$89,3,0)*0.475*44/12</f>
        <v>5.2913216074517937</v>
      </c>
      <c r="AB74" s="21">
        <f>EXP(-LN(2)/2)*AB73+(1-EXP(-LN(2)/2))/(LN(2)/2)*V74*Y74*VLOOKUP('Données projet'!$B$9,Paramètres!$A$1:$I$89,3,0)*0.475*44/12</f>
        <v>0</v>
      </c>
      <c r="AC74" s="22">
        <f t="shared" si="57"/>
        <v>23.383641125930644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0</v>
      </c>
      <c r="AJ74" s="13">
        <f>AI74*VLOOKUP('Données projet'!$B$10,Paramètres!$A$1:$I$89,3,0)*VLOOKUP('Données projet'!$B$10,Paramètres!$A$1:$I$89,5,0)</f>
        <v>0</v>
      </c>
      <c r="AK74" s="13" t="e">
        <f t="shared" si="89"/>
        <v>#NUM!</v>
      </c>
      <c r="AL74" s="20" t="e">
        <f t="shared" si="58"/>
        <v>#NUM!</v>
      </c>
      <c r="AM74" s="59" t="e">
        <f t="shared" si="59"/>
        <v>#NUM!</v>
      </c>
      <c r="AN74" s="59">
        <f ca="1">AVERAGE(OFFSET($AM$3,0,0,'Données projet'!$E$10+1,1))-AVERAGE(OFFSET($H$3,0,0,'Données projet'!$E$10+1,1))</f>
        <v>101.15586831191774</v>
      </c>
      <c r="AO74" s="59">
        <f t="shared" si="90"/>
        <v>346.96347336689064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18.092319518478853</v>
      </c>
      <c r="AV74" s="21">
        <f>EXP(-LN(2)/25)*AV73+(1-EXP(-LN(2)/25))/(LN(2)/25)*Calculateur!AQ74*Calculateur!AS74*VLOOKUP('Données projet'!$B$10,Paramètres!$A$1:$I$89,3,0)*0.475*44/12</f>
        <v>5.2913216074517937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23.383641125930644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7.6</v>
      </c>
      <c r="BD74" s="12">
        <f>IF('Données projet'!$A$88&gt;35,BD73+BC74-BL73,IF(A74&lt;'Données projet'!$A$88,$BA$205^A74,IF(A74='Données projet'!$A$88,'Données projet'!$B$88,BD73+BC74-BL73)))</f>
        <v>281.59999999999991</v>
      </c>
      <c r="BE74" s="13">
        <f>BD74*VLOOKUP('Données projet'!$B$11,Paramètres!$A$1:$I$89,3,0)*VLOOKUP('Données projet'!$B$11,Paramètres!$A$1:$I$89,5,0)</f>
        <v>254.79167999999993</v>
      </c>
      <c r="BF74" s="13">
        <f t="shared" si="91"/>
        <v>61.610870508448471</v>
      </c>
      <c r="BG74" s="20">
        <f t="shared" si="61"/>
        <v>551.06777546888088</v>
      </c>
      <c r="BH74" s="59">
        <f t="shared" si="62"/>
        <v>844.40110880221414</v>
      </c>
      <c r="BI74" s="59">
        <f ca="1">AVERAGE(OFFSET($BH$3,0,0,'Données projet'!$E$11+1,1))-AVERAGE(OFFSET($H$3,0,0,'Données projet'!$E$11+1,1))</f>
        <v>352.62747127358324</v>
      </c>
      <c r="BJ74" s="59">
        <f t="shared" si="92"/>
        <v>283.16932763435011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21.812931391947885</v>
      </c>
      <c r="BQ74" s="21">
        <f>EXP(-LN(2)/25)*BQ73+(1-EXP(-LN(2)/25))/(LN(2)/25)*Calculateur!BL74*Calculateur!BN74*VLOOKUP('Données projet'!$B$11,Paramètres!$A$1:$I$89,3,0)*0.475*44/12</f>
        <v>0</v>
      </c>
      <c r="BR74" s="21">
        <f>EXP(-LN(2)/2)*BR73+(1-EXP(-LN(2)/2))/(LN(2)/2)*BL74*BO74*VLOOKUP('Données projet'!$B$11,Paramètres!$A$1:$I$89,3,0)*0.475*44/12</f>
        <v>0</v>
      </c>
      <c r="BS74" s="22">
        <f t="shared" si="63"/>
        <v>21.812931391947885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7.6</v>
      </c>
      <c r="BY74" s="12">
        <f>IF('Données projet'!$A$114&gt;35,BY73+BX74-CG73,IF(A74&lt;'Données projet'!$A$114,$BV$205^A74,IF(A74='Données projet'!$A$114,'Données projet'!$B$114,BY73+BX74-CG73)))</f>
        <v>281.59999999999991</v>
      </c>
      <c r="BZ74" s="13">
        <f>BY74*VLOOKUP('Données projet'!$B$12,Paramètres!$A$1:$I$89,3,0)*VLOOKUP('Données projet'!$B$12,Paramètres!$A$1:$I$89,5,0)</f>
        <v>294.32831999999991</v>
      </c>
      <c r="CA74" s="13">
        <f t="shared" si="93"/>
        <v>69.986143932791776</v>
      </c>
      <c r="CB74" s="20">
        <f t="shared" si="64"/>
        <v>634.51435801627883</v>
      </c>
      <c r="CC74" s="59">
        <f t="shared" si="65"/>
        <v>927.84769134961221</v>
      </c>
      <c r="CD74" s="59">
        <f ca="1">AVERAGE(OFFSET($CC$3,0,0,'Données projet'!$E$12+1,1))-AVERAGE(OFFSET($H$3,0,0,'Données projet'!$E$12+1,1))</f>
        <v>423.49657671419374</v>
      </c>
      <c r="CE74" s="59">
        <f t="shared" si="94"/>
        <v>329.6783569381081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25.197696607939804</v>
      </c>
      <c r="CL74" s="21">
        <f>EXP(-LN(2)/25)*CL73+(1-EXP(-LN(2)/25))/(LN(2)/25)*Calculateur!CG74*Calculateur!CI74*VLOOKUP('Données projet'!$B$12,Paramètres!$A$1:$I$89,3,0)*0.475*44/12</f>
        <v>0</v>
      </c>
      <c r="CM74" s="21">
        <f>EXP(-LN(2)/2)*CM73+(1-EXP(-LN(2)/2))/(LN(2)/2)*CG74*CJ74*VLOOKUP('Données projet'!$B$12,Paramètres!$A$1:$I$89,3,0)*0.475*44/12</f>
        <v>0</v>
      </c>
      <c r="CN74" s="22">
        <f t="shared" si="66"/>
        <v>25.197696607939804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7.6</v>
      </c>
      <c r="CT74" s="12">
        <f>IF('Données projet'!$A$140&gt;35,CT73+CS74-DB73,IF(A74&lt;'Données projet'!$A$140,$CQ$205^A74,IF(A74='Données projet'!$A$140,'Données projet'!$B$140,CT73+CS74-DB73)))</f>
        <v>281.59999999999991</v>
      </c>
      <c r="CU74" s="17">
        <f>CT74*VLOOKUP('Données projet'!$B$13,Paramètres!$A$1:$I$89,3,0)*VLOOKUP('Données projet'!$B$13,Paramètres!$A$1:$I$89,5,0)</f>
        <v>285.54239999999993</v>
      </c>
      <c r="CV74" s="13">
        <f t="shared" si="95"/>
        <v>68.136937829389467</v>
      </c>
      <c r="CW74" s="20">
        <f t="shared" si="67"/>
        <v>615.99151338618651</v>
      </c>
      <c r="CX74" s="59">
        <f t="shared" si="68"/>
        <v>909.32484671951988</v>
      </c>
      <c r="CY74" s="59">
        <f ca="1">AVERAGE(OFFSET($CX$3,0,0,'Données projet'!$E$13+1,1))-AVERAGE(OFFSET($H$3,0,0,'Données projet'!$E$13+1,1))</f>
        <v>407.76560346703042</v>
      </c>
      <c r="CZ74" s="59">
        <f t="shared" si="96"/>
        <v>319.35531375725202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24.445526559941602</v>
      </c>
      <c r="DG74" s="21">
        <f>EXP(-LN(2)/25)*DG73+(1-EXP(-LN(2)/25))/(LN(2)/25)*Calculateur!DB74*Calculateur!DD74*VLOOKUP('Données projet'!$B$13,Paramètres!$A$1:$I$89,3,0)*0.475*44/12</f>
        <v>0</v>
      </c>
      <c r="DH74" s="21">
        <f>EXP(-LN(2)/2)*DH73+(1-EXP(-LN(2)/2))/(LN(2)/2)*DB74*DE74*VLOOKUP('Données projet'!$B$13,Paramètres!$A$1:$I$89,3,0)*0.475*44/12</f>
        <v>0</v>
      </c>
      <c r="DI74" s="22">
        <f t="shared" si="69"/>
        <v>24.445526559941602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2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64.022400000000076</v>
      </c>
      <c r="D75" s="11">
        <f t="shared" si="86"/>
        <v>18.181385543312256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634.55553752732339</v>
      </c>
      <c r="H75" s="67">
        <f t="shared" si="56"/>
        <v>399.83825982126905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0</v>
      </c>
      <c r="O75" s="13">
        <f>N75*VLOOKUP('Données projet'!$B$9,Paramètres!$A$1:$I$89,3,0)*VLOOKUP('Données projet'!$B$9,Paramètres!$A$1:$I$89,5,0)</f>
        <v>0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101.15586831191774</v>
      </c>
      <c r="T75" s="59">
        <f t="shared" si="88"/>
        <v>346.96347336689064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17.737540167946751</v>
      </c>
      <c r="AA75" s="21">
        <f>EXP(-LN(2)/25)*AA74+(1-EXP(-LN(2)/25))/(LN(2)/25)*Calculateur!V75*Calculateur!X75*VLOOKUP('Données projet'!$B$9,Paramètres!$A$1:$I$89,3,0)*0.475*44/12</f>
        <v>5.1466301398375149</v>
      </c>
      <c r="AB75" s="21">
        <f>EXP(-LN(2)/2)*AB74+(1-EXP(-LN(2)/2))/(LN(2)/2)*V75*Y75*VLOOKUP('Données projet'!$B$9,Paramètres!$A$1:$I$89,3,0)*0.475*44/12</f>
        <v>0</v>
      </c>
      <c r="AC75" s="22">
        <f t="shared" si="57"/>
        <v>22.884170307784267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0</v>
      </c>
      <c r="AJ75" s="13">
        <f>AI75*VLOOKUP('Données projet'!$B$10,Paramètres!$A$1:$I$89,3,0)*VLOOKUP('Données projet'!$B$10,Paramètres!$A$1:$I$89,5,0)</f>
        <v>0</v>
      </c>
      <c r="AK75" s="13" t="e">
        <f t="shared" si="89"/>
        <v>#NUM!</v>
      </c>
      <c r="AL75" s="20" t="e">
        <f t="shared" si="58"/>
        <v>#NUM!</v>
      </c>
      <c r="AM75" s="59" t="e">
        <f t="shared" si="59"/>
        <v>#NUM!</v>
      </c>
      <c r="AN75" s="59">
        <f ca="1">AVERAGE(OFFSET($AM$3,0,0,'Données projet'!$E$10+1,1))-AVERAGE(OFFSET($H$3,0,0,'Données projet'!$E$10+1,1))</f>
        <v>101.15586831191774</v>
      </c>
      <c r="AO75" s="59">
        <f t="shared" si="90"/>
        <v>346.96347336689064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17.737540167946751</v>
      </c>
      <c r="AV75" s="21">
        <f>EXP(-LN(2)/25)*AV74+(1-EXP(-LN(2)/25))/(LN(2)/25)*Calculateur!AQ75*Calculateur!AS75*VLOOKUP('Données projet'!$B$10,Paramètres!$A$1:$I$89,3,0)*0.475*44/12</f>
        <v>5.1466301398375149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22.884170307784267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7.6</v>
      </c>
      <c r="BD75" s="12">
        <f>IF('Données projet'!$A$88&gt;35,BD74+BC75-BL74,IF(A75&lt;'Données projet'!$A$88,$BA$205^A75,IF(A75='Données projet'!$A$88,'Données projet'!$B$88,BD74+BC75-BL74)))</f>
        <v>289.19999999999993</v>
      </c>
      <c r="BE75" s="13">
        <f>BD75*VLOOKUP('Données projet'!$B$11,Paramètres!$A$1:$I$89,3,0)*VLOOKUP('Données projet'!$B$11,Paramètres!$A$1:$I$89,5,0)</f>
        <v>261.66815999999994</v>
      </c>
      <c r="BF75" s="13">
        <f t="shared" si="91"/>
        <v>63.077829793082856</v>
      </c>
      <c r="BG75" s="20">
        <f t="shared" si="61"/>
        <v>565.59926555628579</v>
      </c>
      <c r="BH75" s="59">
        <f t="shared" si="62"/>
        <v>858.93259888961916</v>
      </c>
      <c r="BI75" s="59">
        <f ca="1">AVERAGE(OFFSET($BH$3,0,0,'Données projet'!$E$11+1,1))-AVERAGE(OFFSET($H$3,0,0,'Données projet'!$E$11+1,1))</f>
        <v>352.62747127358324</v>
      </c>
      <c r="BJ75" s="59">
        <f t="shared" si="92"/>
        <v>283.16932763435011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21.385193111926217</v>
      </c>
      <c r="BQ75" s="21">
        <f>EXP(-LN(2)/25)*BQ74+(1-EXP(-LN(2)/25))/(LN(2)/25)*Calculateur!BL75*Calculateur!BN75*VLOOKUP('Données projet'!$B$11,Paramètres!$A$1:$I$89,3,0)*0.475*44/12</f>
        <v>0</v>
      </c>
      <c r="BR75" s="21">
        <f>EXP(-LN(2)/2)*BR74+(1-EXP(-LN(2)/2))/(LN(2)/2)*BL75*BO75*VLOOKUP('Données projet'!$B$11,Paramètres!$A$1:$I$89,3,0)*0.475*44/12</f>
        <v>0</v>
      </c>
      <c r="BS75" s="22">
        <f t="shared" si="63"/>
        <v>21.385193111926217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7.6</v>
      </c>
      <c r="BY75" s="12">
        <f>IF('Données projet'!$A$114&gt;35,BY74+BX75-CG74,IF(A75&lt;'Données projet'!$A$114,$BV$205^A75,IF(A75='Données projet'!$A$114,'Données projet'!$B$114,BY74+BX75-CG74)))</f>
        <v>289.19999999999993</v>
      </c>
      <c r="BZ75" s="13">
        <f>BY75*VLOOKUP('Données projet'!$B$12,Paramètres!$A$1:$I$89,3,0)*VLOOKUP('Données projet'!$B$12,Paramètres!$A$1:$I$89,5,0)</f>
        <v>302.27183999999994</v>
      </c>
      <c r="CA75" s="13">
        <f t="shared" si="93"/>
        <v>71.652519083649182</v>
      </c>
      <c r="CB75" s="20">
        <f t="shared" si="64"/>
        <v>651.25159207068884</v>
      </c>
      <c r="CC75" s="59">
        <f t="shared" si="65"/>
        <v>944.58492540402221</v>
      </c>
      <c r="CD75" s="59">
        <f ca="1">AVERAGE(OFFSET($CC$3,0,0,'Données projet'!$E$12+1,1))-AVERAGE(OFFSET($H$3,0,0,'Données projet'!$E$12+1,1))</f>
        <v>423.49657671419374</v>
      </c>
      <c r="CE75" s="59">
        <f t="shared" si="94"/>
        <v>329.6783569381081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24.703585146535463</v>
      </c>
      <c r="CL75" s="21">
        <f>EXP(-LN(2)/25)*CL74+(1-EXP(-LN(2)/25))/(LN(2)/25)*Calculateur!CG75*Calculateur!CI75*VLOOKUP('Données projet'!$B$12,Paramètres!$A$1:$I$89,3,0)*0.475*44/12</f>
        <v>0</v>
      </c>
      <c r="CM75" s="21">
        <f>EXP(-LN(2)/2)*CM74+(1-EXP(-LN(2)/2))/(LN(2)/2)*CG75*CJ75*VLOOKUP('Données projet'!$B$12,Paramètres!$A$1:$I$89,3,0)*0.475*44/12</f>
        <v>0</v>
      </c>
      <c r="CN75" s="22">
        <f t="shared" si="66"/>
        <v>24.703585146535463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7.6</v>
      </c>
      <c r="CT75" s="12">
        <f>IF('Données projet'!$A$140&gt;35,CT74+CS75-DB74,IF(A75&lt;'Données projet'!$A$140,$CQ$205^A75,IF(A75='Données projet'!$A$140,'Données projet'!$B$140,CT74+CS75-DB74)))</f>
        <v>289.19999999999993</v>
      </c>
      <c r="CU75" s="17">
        <f>CT75*VLOOKUP('Données projet'!$B$13,Paramètres!$A$1:$I$89,3,0)*VLOOKUP('Données projet'!$B$13,Paramètres!$A$1:$I$89,5,0)</f>
        <v>293.24879999999996</v>
      </c>
      <c r="CV75" s="13">
        <f t="shared" si="95"/>
        <v>69.759283249126327</v>
      </c>
      <c r="CW75" s="20">
        <f t="shared" si="67"/>
        <v>632.23907832556165</v>
      </c>
      <c r="CX75" s="59">
        <f t="shared" si="68"/>
        <v>925.57241165889491</v>
      </c>
      <c r="CY75" s="59">
        <f ca="1">AVERAGE(OFFSET($CX$3,0,0,'Données projet'!$E$13+1,1))-AVERAGE(OFFSET($H$3,0,0,'Données projet'!$E$13+1,1))</f>
        <v>407.76560346703042</v>
      </c>
      <c r="CZ75" s="59">
        <f t="shared" si="96"/>
        <v>319.35531375725202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23.966164694400078</v>
      </c>
      <c r="DG75" s="21">
        <f>EXP(-LN(2)/25)*DG74+(1-EXP(-LN(2)/25))/(LN(2)/25)*Calculateur!DB75*Calculateur!DD75*VLOOKUP('Données projet'!$B$13,Paramètres!$A$1:$I$89,3,0)*0.475*44/12</f>
        <v>0</v>
      </c>
      <c r="DH75" s="21">
        <f>EXP(-LN(2)/2)*DH74+(1-EXP(-LN(2)/2))/(LN(2)/2)*DB75*DE75*VLOOKUP('Données projet'!$B$13,Paramètres!$A$1:$I$89,3,0)*0.475*44/12</f>
        <v>0</v>
      </c>
      <c r="DI75" s="22">
        <f t="shared" si="69"/>
        <v>23.966164694400078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2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64.911600000000078</v>
      </c>
      <c r="D76" s="11">
        <f t="shared" si="86"/>
        <v>18.404332112224722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643.14052858559501</v>
      </c>
      <c r="H76" s="67">
        <f t="shared" si="56"/>
        <v>401.77524842879154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0</v>
      </c>
      <c r="O76" s="13">
        <f>N76*VLOOKUP('Données projet'!$B$9,Paramètres!$A$1:$I$89,3,0)*VLOOKUP('Données projet'!$B$9,Paramètres!$A$1:$I$89,5,0)</f>
        <v>0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101.15586831191774</v>
      </c>
      <c r="T76" s="59">
        <f t="shared" si="88"/>
        <v>346.96347336689064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17.389717824084546</v>
      </c>
      <c r="AA76" s="21">
        <f>EXP(-LN(2)/25)*AA75+(1-EXP(-LN(2)/25))/(LN(2)/25)*Calculateur!V76*Calculateur!X76*VLOOKUP('Données projet'!$B$9,Paramètres!$A$1:$I$89,3,0)*0.475*44/12</f>
        <v>5.0058952680141422</v>
      </c>
      <c r="AB76" s="21">
        <f>EXP(-LN(2)/2)*AB75+(1-EXP(-LN(2)/2))/(LN(2)/2)*V76*Y76*VLOOKUP('Données projet'!$B$9,Paramètres!$A$1:$I$89,3,0)*0.475*44/12</f>
        <v>0</v>
      </c>
      <c r="AC76" s="22">
        <f t="shared" si="57"/>
        <v>22.395613092098689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0</v>
      </c>
      <c r="AJ76" s="13">
        <f>AI76*VLOOKUP('Données projet'!$B$10,Paramètres!$A$1:$I$89,3,0)*VLOOKUP('Données projet'!$B$10,Paramètres!$A$1:$I$89,5,0)</f>
        <v>0</v>
      </c>
      <c r="AK76" s="13" t="e">
        <f t="shared" si="89"/>
        <v>#NUM!</v>
      </c>
      <c r="AL76" s="20" t="e">
        <f t="shared" si="58"/>
        <v>#NUM!</v>
      </c>
      <c r="AM76" s="59" t="e">
        <f t="shared" si="59"/>
        <v>#NUM!</v>
      </c>
      <c r="AN76" s="59">
        <f ca="1">AVERAGE(OFFSET($AM$3,0,0,'Données projet'!$E$10+1,1))-AVERAGE(OFFSET($H$3,0,0,'Données projet'!$E$10+1,1))</f>
        <v>101.15586831191774</v>
      </c>
      <c r="AO76" s="59">
        <f t="shared" si="90"/>
        <v>346.96347336689064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17.389717824084546</v>
      </c>
      <c r="AV76" s="21">
        <f>EXP(-LN(2)/25)*AV75+(1-EXP(-LN(2)/25))/(LN(2)/25)*Calculateur!AQ76*Calculateur!AS76*VLOOKUP('Données projet'!$B$10,Paramètres!$A$1:$I$89,3,0)*0.475*44/12</f>
        <v>5.0058952680141422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22.395613092098689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7.6</v>
      </c>
      <c r="BD76" s="12">
        <f>IF('Données projet'!$A$88&gt;35,BD75+BC76-BL75,IF(A76&lt;'Données projet'!$A$88,$BA$205^A76,IF(A76='Données projet'!$A$88,'Données projet'!$B$88,BD75+BC76-BL75)))</f>
        <v>296.79999999999995</v>
      </c>
      <c r="BE76" s="13">
        <f>BD76*VLOOKUP('Données projet'!$B$11,Paramètres!$A$1:$I$89,3,0)*VLOOKUP('Données projet'!$B$11,Paramètres!$A$1:$I$89,5,0)</f>
        <v>268.5446399999999</v>
      </c>
      <c r="BF76" s="13">
        <f t="shared" si="91"/>
        <v>64.54030807605065</v>
      </c>
      <c r="BG76" s="20">
        <f t="shared" si="61"/>
        <v>580.12295123245474</v>
      </c>
      <c r="BH76" s="59">
        <f t="shared" si="62"/>
        <v>873.45628456578811</v>
      </c>
      <c r="BI76" s="59">
        <f ca="1">AVERAGE(OFFSET($BH$3,0,0,'Données projet'!$E$11+1,1))-AVERAGE(OFFSET($H$3,0,0,'Données projet'!$E$11+1,1))</f>
        <v>352.62747127358324</v>
      </c>
      <c r="BJ76" s="59">
        <f t="shared" si="92"/>
        <v>283.16932763435011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20.965842518681185</v>
      </c>
      <c r="BQ76" s="21">
        <f>EXP(-LN(2)/25)*BQ75+(1-EXP(-LN(2)/25))/(LN(2)/25)*Calculateur!BL76*Calculateur!BN76*VLOOKUP('Données projet'!$B$11,Paramètres!$A$1:$I$89,3,0)*0.475*44/12</f>
        <v>0</v>
      </c>
      <c r="BR76" s="21">
        <f>EXP(-LN(2)/2)*BR75+(1-EXP(-LN(2)/2))/(LN(2)/2)*BL76*BO76*VLOOKUP('Données projet'!$B$11,Paramètres!$A$1:$I$89,3,0)*0.475*44/12</f>
        <v>0</v>
      </c>
      <c r="BS76" s="22">
        <f t="shared" si="63"/>
        <v>20.965842518681185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7.6</v>
      </c>
      <c r="BY76" s="12">
        <f>IF('Données projet'!$A$114&gt;35,BY75+BX76-CG75,IF(A76&lt;'Données projet'!$A$114,$BV$205^A76,IF(A76='Données projet'!$A$114,'Données projet'!$B$114,BY75+BX76-CG75)))</f>
        <v>296.79999999999995</v>
      </c>
      <c r="BZ76" s="13">
        <f>BY76*VLOOKUP('Données projet'!$B$12,Paramètres!$A$1:$I$89,3,0)*VLOOKUP('Données projet'!$B$12,Paramètres!$A$1:$I$89,5,0)</f>
        <v>310.21535999999998</v>
      </c>
      <c r="CA76" s="13">
        <f t="shared" si="93"/>
        <v>73.31380409335101</v>
      </c>
      <c r="CB76" s="20">
        <f t="shared" si="64"/>
        <v>667.97996079591962</v>
      </c>
      <c r="CC76" s="59">
        <f t="shared" si="65"/>
        <v>961.31329412925288</v>
      </c>
      <c r="CD76" s="59">
        <f ca="1">AVERAGE(OFFSET($CC$3,0,0,'Données projet'!$E$12+1,1))-AVERAGE(OFFSET($H$3,0,0,'Données projet'!$E$12+1,1))</f>
        <v>423.49657671419374</v>
      </c>
      <c r="CE76" s="59">
        <f t="shared" si="94"/>
        <v>329.6783569381081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24.219162909511031</v>
      </c>
      <c r="CL76" s="21">
        <f>EXP(-LN(2)/25)*CL75+(1-EXP(-LN(2)/25))/(LN(2)/25)*Calculateur!CG76*Calculateur!CI76*VLOOKUP('Données projet'!$B$12,Paramètres!$A$1:$I$89,3,0)*0.475*44/12</f>
        <v>0</v>
      </c>
      <c r="CM76" s="21">
        <f>EXP(-LN(2)/2)*CM75+(1-EXP(-LN(2)/2))/(LN(2)/2)*CG76*CJ76*VLOOKUP('Données projet'!$B$12,Paramètres!$A$1:$I$89,3,0)*0.475*44/12</f>
        <v>0</v>
      </c>
      <c r="CN76" s="22">
        <f t="shared" si="66"/>
        <v>24.219162909511031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7.6</v>
      </c>
      <c r="CT76" s="12">
        <f>IF('Données projet'!$A$140&gt;35,CT75+CS76-DB75,IF(A76&lt;'Données projet'!$A$140,$CQ$205^A76,IF(A76='Données projet'!$A$140,'Données projet'!$B$140,CT75+CS76-DB75)))</f>
        <v>296.79999999999995</v>
      </c>
      <c r="CU76" s="17">
        <f>CT76*VLOOKUP('Données projet'!$B$13,Paramètres!$A$1:$I$89,3,0)*VLOOKUP('Données projet'!$B$13,Paramètres!$A$1:$I$89,5,0)</f>
        <v>300.95519999999999</v>
      </c>
      <c r="CV76" s="13">
        <f t="shared" si="95"/>
        <v>71.376673021759785</v>
      </c>
      <c r="CW76" s="20">
        <f t="shared" si="67"/>
        <v>648.47801217956487</v>
      </c>
      <c r="CX76" s="59">
        <f t="shared" si="68"/>
        <v>941.81134551289824</v>
      </c>
      <c r="CY76" s="59">
        <f ca="1">AVERAGE(OFFSET($CX$3,0,0,'Données projet'!$E$13+1,1))-AVERAGE(OFFSET($H$3,0,0,'Données projet'!$E$13+1,1))</f>
        <v>407.76560346703042</v>
      </c>
      <c r="CZ76" s="59">
        <f t="shared" si="96"/>
        <v>319.35531375725202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23.496202822659956</v>
      </c>
      <c r="DG76" s="21">
        <f>EXP(-LN(2)/25)*DG75+(1-EXP(-LN(2)/25))/(LN(2)/25)*Calculateur!DB76*Calculateur!DD76*VLOOKUP('Données projet'!$B$13,Paramètres!$A$1:$I$89,3,0)*0.475*44/12</f>
        <v>0</v>
      </c>
      <c r="DH76" s="21">
        <f>EXP(-LN(2)/2)*DH75+(1-EXP(-LN(2)/2))/(LN(2)/2)*DB76*DE76*VLOOKUP('Données projet'!$B$13,Paramètres!$A$1:$I$89,3,0)*0.475*44/12</f>
        <v>0</v>
      </c>
      <c r="DI76" s="22">
        <f t="shared" si="69"/>
        <v>23.496202822659956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2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65.800800000000081</v>
      </c>
      <c r="D77" s="11">
        <f t="shared" si="86"/>
        <v>18.626923459774314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651.72277758422342</v>
      </c>
      <c r="H77" s="67">
        <f t="shared" si="56"/>
        <v>403.71161835910709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0</v>
      </c>
      <c r="O77" s="13">
        <f>N77*VLOOKUP('Données projet'!$B$9,Paramètres!$A$1:$I$89,3,0)*VLOOKUP('Données projet'!$B$9,Paramètres!$A$1:$I$89,5,0)</f>
        <v>0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101.15586831191774</v>
      </c>
      <c r="T77" s="59">
        <f t="shared" si="88"/>
        <v>346.96347336689064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17.048716064234796</v>
      </c>
      <c r="AA77" s="21">
        <f>EXP(-LN(2)/25)*AA76+(1-EXP(-LN(2)/25))/(LN(2)/25)*Calculateur!V77*Calculateur!X77*VLOOKUP('Données projet'!$B$9,Paramètres!$A$1:$I$89,3,0)*0.475*44/12</f>
        <v>4.8690087986617048</v>
      </c>
      <c r="AB77" s="21">
        <f>EXP(-LN(2)/2)*AB76+(1-EXP(-LN(2)/2))/(LN(2)/2)*V77*Y77*VLOOKUP('Données projet'!$B$9,Paramètres!$A$1:$I$89,3,0)*0.475*44/12</f>
        <v>0</v>
      </c>
      <c r="AC77" s="22">
        <f t="shared" si="57"/>
        <v>21.917724862896499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0</v>
      </c>
      <c r="AJ77" s="13">
        <f>AI77*VLOOKUP('Données projet'!$B$10,Paramètres!$A$1:$I$89,3,0)*VLOOKUP('Données projet'!$B$10,Paramètres!$A$1:$I$89,5,0)</f>
        <v>0</v>
      </c>
      <c r="AK77" s="13" t="e">
        <f t="shared" si="89"/>
        <v>#NUM!</v>
      </c>
      <c r="AL77" s="20" t="e">
        <f t="shared" si="58"/>
        <v>#NUM!</v>
      </c>
      <c r="AM77" s="59" t="e">
        <f t="shared" si="59"/>
        <v>#NUM!</v>
      </c>
      <c r="AN77" s="59">
        <f ca="1">AVERAGE(OFFSET($AM$3,0,0,'Données projet'!$E$10+1,1))-AVERAGE(OFFSET($H$3,0,0,'Données projet'!$E$10+1,1))</f>
        <v>101.15586831191774</v>
      </c>
      <c r="AO77" s="59">
        <f t="shared" si="90"/>
        <v>346.96347336689064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17.048716064234796</v>
      </c>
      <c r="AV77" s="21">
        <f>EXP(-LN(2)/25)*AV76+(1-EXP(-LN(2)/25))/(LN(2)/25)*Calculateur!AQ77*Calculateur!AS77*VLOOKUP('Données projet'!$B$10,Paramètres!$A$1:$I$89,3,0)*0.475*44/12</f>
        <v>4.8690087986617048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21.917724862896499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7.6</v>
      </c>
      <c r="BD77" s="12">
        <f>IF('Données projet'!$A$88&gt;35,BD76+BC77-BL76,IF(A77&lt;'Données projet'!$A$88,$BA$205^A77,IF(A77='Données projet'!$A$88,'Données projet'!$B$88,BD76+BC77-BL76)))</f>
        <v>304.39999999999998</v>
      </c>
      <c r="BE77" s="13">
        <f>BD77*VLOOKUP('Données projet'!$B$11,Paramètres!$A$1:$I$89,3,0)*VLOOKUP('Données projet'!$B$11,Paramètres!$A$1:$I$89,5,0)</f>
        <v>275.42111999999997</v>
      </c>
      <c r="BF77" s="13">
        <f t="shared" si="91"/>
        <v>65.998433293601067</v>
      </c>
      <c r="BG77" s="20">
        <f t="shared" si="61"/>
        <v>594.63905531968851</v>
      </c>
      <c r="BH77" s="59">
        <f t="shared" si="62"/>
        <v>887.97238865302188</v>
      </c>
      <c r="BI77" s="59">
        <f ca="1">AVERAGE(OFFSET($BH$3,0,0,'Données projet'!$E$11+1,1))-AVERAGE(OFFSET($H$3,0,0,'Données projet'!$E$11+1,1))</f>
        <v>352.62747127358324</v>
      </c>
      <c r="BJ77" s="59">
        <f t="shared" si="92"/>
        <v>283.16932763435011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20.554715134791085</v>
      </c>
      <c r="BQ77" s="21">
        <f>EXP(-LN(2)/25)*BQ76+(1-EXP(-LN(2)/25))/(LN(2)/25)*Calculateur!BL77*Calculateur!BN77*VLOOKUP('Données projet'!$B$11,Paramètres!$A$1:$I$89,3,0)*0.475*44/12</f>
        <v>0</v>
      </c>
      <c r="BR77" s="21">
        <f>EXP(-LN(2)/2)*BR76+(1-EXP(-LN(2)/2))/(LN(2)/2)*BL77*BO77*VLOOKUP('Données projet'!$B$11,Paramètres!$A$1:$I$89,3,0)*0.475*44/12</f>
        <v>0</v>
      </c>
      <c r="BS77" s="22">
        <f t="shared" si="63"/>
        <v>20.554715134791085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7.6</v>
      </c>
      <c r="BY77" s="12">
        <f>IF('Données projet'!$A$114&gt;35,BY76+BX77-CG76,IF(A77&lt;'Données projet'!$A$114,$BV$205^A77,IF(A77='Données projet'!$A$114,'Données projet'!$B$114,BY76+BX77-CG76)))</f>
        <v>304.39999999999998</v>
      </c>
      <c r="BZ77" s="13">
        <f>BY77*VLOOKUP('Données projet'!$B$12,Paramètres!$A$1:$I$89,3,0)*VLOOKUP('Données projet'!$B$12,Paramètres!$A$1:$I$89,5,0)</f>
        <v>318.15888000000001</v>
      </c>
      <c r="CA77" s="13">
        <f t="shared" si="93"/>
        <v>74.970144289575373</v>
      </c>
      <c r="CB77" s="20">
        <f t="shared" si="64"/>
        <v>684.69971730434372</v>
      </c>
      <c r="CC77" s="59">
        <f t="shared" si="65"/>
        <v>978.03305063767698</v>
      </c>
      <c r="CD77" s="59">
        <f ca="1">AVERAGE(OFFSET($CC$3,0,0,'Données projet'!$E$12+1,1))-AVERAGE(OFFSET($H$3,0,0,'Données projet'!$E$12+1,1))</f>
        <v>423.49657671419374</v>
      </c>
      <c r="CE77" s="59">
        <f t="shared" si="94"/>
        <v>329.6783569381081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23.744239897086256</v>
      </c>
      <c r="CL77" s="21">
        <f>EXP(-LN(2)/25)*CL76+(1-EXP(-LN(2)/25))/(LN(2)/25)*Calculateur!CG77*Calculateur!CI77*VLOOKUP('Données projet'!$B$12,Paramètres!$A$1:$I$89,3,0)*0.475*44/12</f>
        <v>0</v>
      </c>
      <c r="CM77" s="21">
        <f>EXP(-LN(2)/2)*CM76+(1-EXP(-LN(2)/2))/(LN(2)/2)*CG77*CJ77*VLOOKUP('Données projet'!$B$12,Paramètres!$A$1:$I$89,3,0)*0.475*44/12</f>
        <v>0</v>
      </c>
      <c r="CN77" s="22">
        <f t="shared" si="66"/>
        <v>23.744239897086256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7.6</v>
      </c>
      <c r="CT77" s="12">
        <f>IF('Données projet'!$A$140&gt;35,CT76+CS77-DB76,IF(A77&lt;'Données projet'!$A$140,$CQ$205^A77,IF(A77='Données projet'!$A$140,'Données projet'!$B$140,CT76+CS77-DB76)))</f>
        <v>304.39999999999998</v>
      </c>
      <c r="CU77" s="17">
        <f>CT77*VLOOKUP('Données projet'!$B$13,Paramètres!$A$1:$I$89,3,0)*VLOOKUP('Données projet'!$B$13,Paramètres!$A$1:$I$89,5,0)</f>
        <v>308.66159999999996</v>
      </c>
      <c r="CV77" s="13">
        <f t="shared" si="95"/>
        <v>72.98924863505313</v>
      </c>
      <c r="CW77" s="20">
        <f t="shared" si="67"/>
        <v>664.70856137271744</v>
      </c>
      <c r="CX77" s="59">
        <f t="shared" si="68"/>
        <v>958.0418947060507</v>
      </c>
      <c r="CY77" s="59">
        <f ca="1">AVERAGE(OFFSET($CX$3,0,0,'Données projet'!$E$13+1,1))-AVERAGE(OFFSET($H$3,0,0,'Données projet'!$E$13+1,1))</f>
        <v>407.76560346703042</v>
      </c>
      <c r="CZ77" s="59">
        <f t="shared" si="96"/>
        <v>319.35531375725202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>
        <f>EXP(-LN(2)/35)*DF76+(1-EXP(-LN(2)/35))/(LN(2)/35)*DB77*DC77*VLOOKUP('Données projet'!$B$13,Paramètres!$A$1:$I$89,3,0)*0.475*44/12</f>
        <v>23.035456616576223</v>
      </c>
      <c r="DG77" s="21">
        <f>EXP(-LN(2)/25)*DG76+(1-EXP(-LN(2)/25))/(LN(2)/25)*Calculateur!DB77*Calculateur!DD77*VLOOKUP('Données projet'!$B$13,Paramètres!$A$1:$I$89,3,0)*0.475*44/12</f>
        <v>0</v>
      </c>
      <c r="DH77" s="21">
        <f>EXP(-LN(2)/2)*DH76+(1-EXP(-LN(2)/2))/(LN(2)/2)*DB77*DE77*VLOOKUP('Données projet'!$B$13,Paramètres!$A$1:$I$89,3,0)*0.475*44/12</f>
        <v>0</v>
      </c>
      <c r="DI77" s="22">
        <f t="shared" si="69"/>
        <v>23.035456616576223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2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66.690000000000083</v>
      </c>
      <c r="D78" s="11">
        <f t="shared" si="86"/>
        <v>18.849164941118655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660.30232586126749</v>
      </c>
      <c r="H78" s="67">
        <f t="shared" si="56"/>
        <v>405.64737893911513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0</v>
      </c>
      <c r="O78" s="13">
        <f>N78*VLOOKUP('Données projet'!$B$9,Paramètres!$A$1:$I$89,3,0)*VLOOKUP('Données projet'!$B$9,Paramètres!$A$1:$I$89,5,0)</f>
        <v>0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101.15586831191774</v>
      </c>
      <c r="T78" s="59">
        <f t="shared" si="88"/>
        <v>346.96347336689064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16.714401140905167</v>
      </c>
      <c r="AA78" s="21">
        <f>EXP(-LN(2)/25)*AA77+(1-EXP(-LN(2)/25))/(LN(2)/25)*Calculateur!V78*Calculateur!X78*VLOOKUP('Données projet'!$B$9,Paramètres!$A$1:$I$89,3,0)*0.475*44/12</f>
        <v>4.7358654970122558</v>
      </c>
      <c r="AB78" s="21">
        <f>EXP(-LN(2)/2)*AB77+(1-EXP(-LN(2)/2))/(LN(2)/2)*V78*Y78*VLOOKUP('Données projet'!$B$9,Paramètres!$A$1:$I$89,3,0)*0.475*44/12</f>
        <v>0</v>
      </c>
      <c r="AC78" s="22">
        <f t="shared" si="57"/>
        <v>21.450266637917423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0</v>
      </c>
      <c r="AJ78" s="13">
        <f>AI78*VLOOKUP('Données projet'!$B$10,Paramètres!$A$1:$I$89,3,0)*VLOOKUP('Données projet'!$B$10,Paramètres!$A$1:$I$89,5,0)</f>
        <v>0</v>
      </c>
      <c r="AK78" s="13" t="e">
        <f t="shared" si="89"/>
        <v>#NUM!</v>
      </c>
      <c r="AL78" s="20" t="e">
        <f t="shared" si="58"/>
        <v>#NUM!</v>
      </c>
      <c r="AM78" s="59" t="e">
        <f t="shared" si="59"/>
        <v>#NUM!</v>
      </c>
      <c r="AN78" s="59">
        <f ca="1">AVERAGE(OFFSET($AM$3,0,0,'Données projet'!$E$10+1,1))-AVERAGE(OFFSET($H$3,0,0,'Données projet'!$E$10+1,1))</f>
        <v>101.15586831191774</v>
      </c>
      <c r="AO78" s="59">
        <f t="shared" si="90"/>
        <v>346.96347336689064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16.714401140905167</v>
      </c>
      <c r="AV78" s="21">
        <f>EXP(-LN(2)/25)*AV77+(1-EXP(-LN(2)/25))/(LN(2)/25)*Calculateur!AQ78*Calculateur!AS78*VLOOKUP('Données projet'!$B$10,Paramètres!$A$1:$I$89,3,0)*0.475*44/12</f>
        <v>4.7358654970122558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21.450266637917423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>
        <f>VLOOKUP(A78,'Données projet'!$A$87:$I$107,2,0)</f>
        <v>312</v>
      </c>
      <c r="BB78" s="12">
        <f>VLOOKUP(A78,'Données projet'!$A$87:$I$107,9,0)</f>
        <v>7.6</v>
      </c>
      <c r="BC78" s="12">
        <f t="array" ref="BC78">INDEX(BB:BB,MIN(IF(ISNUMBER(BB78:BB274),ROW(BB78:BB274),"")))</f>
        <v>7.6</v>
      </c>
      <c r="BD78" s="12">
        <f>IF('Données projet'!$A$88&gt;35,BD77+BC78-BL77,IF(A78&lt;'Données projet'!$A$88,$BA$205^A78,IF(A78='Données projet'!$A$88,'Données projet'!$B$88,BD77+BC78-BL77)))</f>
        <v>312</v>
      </c>
      <c r="BE78" s="13">
        <f>BD78*VLOOKUP('Données projet'!$B$11,Paramètres!$A$1:$I$89,3,0)*VLOOKUP('Données projet'!$B$11,Paramètres!$A$1:$I$89,5,0)</f>
        <v>282.29759999999999</v>
      </c>
      <c r="BF78" s="13">
        <f t="shared" si="91"/>
        <v>67.452326629470178</v>
      </c>
      <c r="BG78" s="20">
        <f t="shared" si="61"/>
        <v>609.14778887966042</v>
      </c>
      <c r="BH78" s="59">
        <f t="shared" si="62"/>
        <v>902.4811222129938</v>
      </c>
      <c r="BI78" s="59">
        <f ca="1">AVERAGE(OFFSET($BH$3,0,0,'Données projet'!$E$11+1,1))-AVERAGE(OFFSET($H$3,0,0,'Données projet'!$E$11+1,1))</f>
        <v>352.62747127358324</v>
      </c>
      <c r="BJ78" s="59">
        <f t="shared" si="92"/>
        <v>283.16932763435011</v>
      </c>
      <c r="BK78" s="15">
        <f>IF(ISNA(VLOOKUP(A78,'Données projet'!$A$87:$I$107,3,0)),0,VLOOKUP(A78,'Données projet'!$A$87:$I$107,3,0))</f>
        <v>12</v>
      </c>
      <c r="BL78" s="15">
        <f>IF(ISNA(VLOOKUP(A78,'Données projet'!$A$87:$I$107,4,0)),0,VLOOKUP(A78,'Données projet'!$A$87:$I$107,4,0))</f>
        <v>28</v>
      </c>
      <c r="BM78" s="16">
        <f>IF(ISNA(VLOOKUP(A78,'Données projet'!$A$87:$I$107,5,0)),0%,VLOOKUP(A78,'Données projet'!$A$87:$I$107,5,0)*VLOOKUP('Données projet'!$B$11,Paramètres!$A$1:$I$89,7,0))</f>
        <v>0.215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26.173031896532631</v>
      </c>
      <c r="BQ78" s="21">
        <f>EXP(-LN(2)/25)*BQ77+(1-EXP(-LN(2)/25))/(LN(2)/25)*Calculateur!BL78*Calculateur!BN78*VLOOKUP('Données projet'!$B$11,Paramètres!$A$1:$I$89,3,0)*0.475*44/12</f>
        <v>0</v>
      </c>
      <c r="BR78" s="21">
        <f>EXP(-LN(2)/2)*BR77+(1-EXP(-LN(2)/2))/(LN(2)/2)*BL78*BO78*VLOOKUP('Données projet'!$B$11,Paramètres!$A$1:$I$89,3,0)*0.475*44/12</f>
        <v>0</v>
      </c>
      <c r="BS78" s="22">
        <f t="shared" si="63"/>
        <v>26.173031896532631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>
        <f>VLOOKUP(A78,'Données projet'!$A$113:$I$133,2,0)</f>
        <v>312</v>
      </c>
      <c r="BW78" s="12">
        <f>VLOOKUP(A78,'Données projet'!$A$113:$I$133,9,0)</f>
        <v>7.6</v>
      </c>
      <c r="BX78" s="12">
        <f t="array" ref="BX78">INDEX(BW:BW,MIN(IF(ISNUMBER(BW78:BW274),ROW(BW78:BW274),"")))</f>
        <v>7.6</v>
      </c>
      <c r="BY78" s="12">
        <f>IF('Données projet'!$A$114&gt;35,BY77+BX78-CG77,IF(A78&lt;'Données projet'!$A$114,$BV$205^A78,IF(A78='Données projet'!$A$114,'Données projet'!$B$114,BY77+BX78-CG77)))</f>
        <v>312</v>
      </c>
      <c r="BZ78" s="13">
        <f>BY78*VLOOKUP('Données projet'!$B$12,Paramètres!$A$1:$I$89,3,0)*VLOOKUP('Données projet'!$B$12,Paramètres!$A$1:$I$89,5,0)</f>
        <v>326.10240000000005</v>
      </c>
      <c r="CA78" s="13">
        <f t="shared" si="93"/>
        <v>76.621677329562289</v>
      </c>
      <c r="CB78" s="20">
        <f t="shared" si="64"/>
        <v>701.4111013489877</v>
      </c>
      <c r="CC78" s="59">
        <f t="shared" si="65"/>
        <v>994.74443468232107</v>
      </c>
      <c r="CD78" s="59">
        <f ca="1">AVERAGE(OFFSET($CC$3,0,0,'Données projet'!$E$12+1,1))-AVERAGE(OFFSET($H$3,0,0,'Données projet'!$E$12+1,1))</f>
        <v>423.49657671419374</v>
      </c>
      <c r="CE78" s="59">
        <f t="shared" si="94"/>
        <v>329.6783569381081</v>
      </c>
      <c r="CF78" s="15">
        <f>IF(ISNA(VLOOKUP(A78,'Données projet'!$A$113:$I$133,3,0)),0,VLOOKUP(A78,'Données projet'!$A$113:$I$133,3,0))</f>
        <v>12</v>
      </c>
      <c r="CG78" s="15">
        <f>IF(ISNA(VLOOKUP(A78,'Données projet'!$A$113:$I$133,4,0)),0,VLOOKUP(A78,'Données projet'!$A$113:$I$133,4,0))</f>
        <v>28</v>
      </c>
      <c r="CH78" s="16">
        <f>IF(ISNA(VLOOKUP(A78,'Données projet'!$A$113:$I$133,5,0)),0%,VLOOKUP(A78,'Données projet'!$A$113:$I$133,5,0)*VLOOKUP('Données projet'!$B$12,Paramètres!$A$1:$I$89,7,0))</f>
        <v>0.215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30.234364432201492</v>
      </c>
      <c r="CL78" s="21">
        <f>EXP(-LN(2)/25)*CL77+(1-EXP(-LN(2)/25))/(LN(2)/25)*Calculateur!CG78*Calculateur!CI78*VLOOKUP('Données projet'!$B$12,Paramètres!$A$1:$I$89,3,0)*0.475*44/12</f>
        <v>0</v>
      </c>
      <c r="CM78" s="21">
        <f>EXP(-LN(2)/2)*CM77+(1-EXP(-LN(2)/2))/(LN(2)/2)*CG78*CJ78*VLOOKUP('Données projet'!$B$12,Paramètres!$A$1:$I$89,3,0)*0.475*44/12</f>
        <v>0</v>
      </c>
      <c r="CN78" s="22">
        <f t="shared" si="66"/>
        <v>30.234364432201492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>
        <f>VLOOKUP(A78,'Données projet'!$A$139:$I$159,2,0)</f>
        <v>312</v>
      </c>
      <c r="CR78" s="12">
        <f>VLOOKUP(A78,'Données projet'!$A$139:$I$159,9,0)</f>
        <v>7.6</v>
      </c>
      <c r="CS78" s="12">
        <f t="array" ref="CS78">INDEX(CR:CR,MIN(IF(ISNUMBER(CR78:CR274),ROW(CR78:CR274),"")))</f>
        <v>7.6</v>
      </c>
      <c r="CT78" s="12">
        <f>IF('Données projet'!$A$140&gt;35,CT77+CS78-DB77,IF(A78&lt;'Données projet'!$A$140,$CQ$205^A78,IF(A78='Données projet'!$A$140,'Données projet'!$B$140,CT77+CS78-DB77)))</f>
        <v>312</v>
      </c>
      <c r="CU78" s="17">
        <f>CT78*VLOOKUP('Données projet'!$B$13,Paramètres!$A$1:$I$89,3,0)*VLOOKUP('Données projet'!$B$13,Paramètres!$A$1:$I$89,5,0)</f>
        <v>316.36800000000005</v>
      </c>
      <c r="CV78" s="13">
        <f t="shared" si="95"/>
        <v>74.597144109003438</v>
      </c>
      <c r="CW78" s="20">
        <f t="shared" si="67"/>
        <v>680.93095932318113</v>
      </c>
      <c r="CX78" s="59">
        <f t="shared" si="68"/>
        <v>974.2642926565145</v>
      </c>
      <c r="CY78" s="59">
        <f ca="1">AVERAGE(OFFSET($CX$3,0,0,'Données projet'!$E$13+1,1))-AVERAGE(OFFSET($H$3,0,0,'Données projet'!$E$13+1,1))</f>
        <v>407.76560346703042</v>
      </c>
      <c r="CZ78" s="59">
        <f t="shared" si="96"/>
        <v>319.35531375725202</v>
      </c>
      <c r="DA78" s="15">
        <f>IF(ISNA(VLOOKUP(A78,'Données projet'!$A$139:$I$159,3,0)),0,VLOOKUP(A78,'Données projet'!$A$139:$I$159,3,0))</f>
        <v>12</v>
      </c>
      <c r="DB78" s="15">
        <f>IF(ISNA(VLOOKUP(A78,'Données projet'!$A$139:$I$159,4,0)),0,VLOOKUP(A78,'Données projet'!$A$139:$I$159,4,0))</f>
        <v>28</v>
      </c>
      <c r="DC78" s="16">
        <f>IF(ISNA(VLOOKUP(A78,'Données projet'!$A$139:$I$159,5,0)),0%,VLOOKUP(A78,'Données projet'!$A$139:$I$159,5,0)*VLOOKUP('Données projet'!$B$13,Paramètres!$A$1:$I$89,7,0))</f>
        <v>0.215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>
        <f>EXP(-LN(2)/35)*DF77+(1-EXP(-LN(2)/35))/(LN(2)/35)*DB78*DC78*VLOOKUP('Données projet'!$B$13,Paramètres!$A$1:$I$89,3,0)*0.475*44/12</f>
        <v>29.331846090941752</v>
      </c>
      <c r="DG78" s="21">
        <f>EXP(-LN(2)/25)*DG77+(1-EXP(-LN(2)/25))/(LN(2)/25)*Calculateur!DB78*Calculateur!DD78*VLOOKUP('Données projet'!$B$13,Paramètres!$A$1:$I$89,3,0)*0.475*44/12</f>
        <v>0</v>
      </c>
      <c r="DH78" s="21">
        <f>EXP(-LN(2)/2)*DH77+(1-EXP(-LN(2)/2))/(LN(2)/2)*DB78*DE78*VLOOKUP('Données projet'!$B$13,Paramètres!$A$1:$I$89,3,0)*0.475*44/12</f>
        <v>0</v>
      </c>
      <c r="DI78" s="22">
        <f t="shared" si="69"/>
        <v>29.331846090941752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2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67.579200000000085</v>
      </c>
      <c r="D79" s="11">
        <f t="shared" si="86"/>
        <v>19.071061760403854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668.87921358908307</v>
      </c>
      <c r="H79" s="67">
        <f t="shared" si="56"/>
        <v>407.58253923270354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0</v>
      </c>
      <c r="O79" s="13">
        <f>N79*VLOOKUP('Données projet'!$B$9,Paramètres!$A$1:$I$89,3,0)*VLOOKUP('Données projet'!$B$9,Paramètres!$A$1:$I$89,5,0)</f>
        <v>0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101.15586831191774</v>
      </c>
      <c r="T79" s="59">
        <f t="shared" si="88"/>
        <v>346.96347336689064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16.386641929310063</v>
      </c>
      <c r="AA79" s="21">
        <f>EXP(-LN(2)/25)*AA78+(1-EXP(-LN(2)/25))/(LN(2)/25)*Calculateur!V79*Calculateur!X79*VLOOKUP('Données projet'!$B$9,Paramètres!$A$1:$I$89,3,0)*0.475*44/12</f>
        <v>4.6063630059481131</v>
      </c>
      <c r="AB79" s="21">
        <f>EXP(-LN(2)/2)*AB78+(1-EXP(-LN(2)/2))/(LN(2)/2)*V79*Y79*VLOOKUP('Données projet'!$B$9,Paramètres!$A$1:$I$89,3,0)*0.475*44/12</f>
        <v>0</v>
      </c>
      <c r="AC79" s="22">
        <f t="shared" si="57"/>
        <v>20.993004935258178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0</v>
      </c>
      <c r="AJ79" s="13">
        <f>AI79*VLOOKUP('Données projet'!$B$10,Paramètres!$A$1:$I$89,3,0)*VLOOKUP('Données projet'!$B$10,Paramètres!$A$1:$I$89,5,0)</f>
        <v>0</v>
      </c>
      <c r="AK79" s="13" t="e">
        <f t="shared" si="89"/>
        <v>#NUM!</v>
      </c>
      <c r="AL79" s="20" t="e">
        <f t="shared" si="58"/>
        <v>#NUM!</v>
      </c>
      <c r="AM79" s="59" t="e">
        <f t="shared" si="59"/>
        <v>#NUM!</v>
      </c>
      <c r="AN79" s="59">
        <f ca="1">AVERAGE(OFFSET($AM$3,0,0,'Données projet'!$E$10+1,1))-AVERAGE(OFFSET($H$3,0,0,'Données projet'!$E$10+1,1))</f>
        <v>101.15586831191774</v>
      </c>
      <c r="AO79" s="59">
        <f t="shared" si="90"/>
        <v>346.96347336689064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16.386641929310063</v>
      </c>
      <c r="AV79" s="21">
        <f>EXP(-LN(2)/25)*AV78+(1-EXP(-LN(2)/25))/(LN(2)/25)*Calculateur!AQ79*Calculateur!AS79*VLOOKUP('Données projet'!$B$10,Paramètres!$A$1:$I$89,3,0)*0.475*44/12</f>
        <v>4.6063630059481131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20.993004935258178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7.2</v>
      </c>
      <c r="BD79" s="12">
        <f>IF('Données projet'!$A$88&gt;35,BD78+BC79-BL78,IF(A79&lt;'Données projet'!$A$88,$BA$205^A79,IF(A79='Données projet'!$A$88,'Données projet'!$B$88,BD78+BC79-BL78)))</f>
        <v>291.2</v>
      </c>
      <c r="BE79" s="13">
        <f>BD79*VLOOKUP('Données projet'!$B$11,Paramètres!$A$1:$I$89,3,0)*VLOOKUP('Données projet'!$B$11,Paramètres!$A$1:$I$89,5,0)</f>
        <v>263.47775999999999</v>
      </c>
      <c r="BF79" s="13">
        <f t="shared" si="91"/>
        <v>63.46312159763346</v>
      </c>
      <c r="BG79" s="20">
        <f t="shared" si="61"/>
        <v>569.42203544921153</v>
      </c>
      <c r="BH79" s="59">
        <f t="shared" si="62"/>
        <v>862.75536878254479</v>
      </c>
      <c r="BI79" s="59">
        <f ca="1">AVERAGE(OFFSET($BH$3,0,0,'Données projet'!$E$11+1,1))-AVERAGE(OFFSET($H$3,0,0,'Données projet'!$E$11+1,1))</f>
        <v>352.62747127358324</v>
      </c>
      <c r="BJ79" s="59">
        <f t="shared" si="92"/>
        <v>283.16932763435011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25.659794705014772</v>
      </c>
      <c r="BQ79" s="21">
        <f>EXP(-LN(2)/25)*BQ78+(1-EXP(-LN(2)/25))/(LN(2)/25)*Calculateur!BL79*Calculateur!BN79*VLOOKUP('Données projet'!$B$11,Paramètres!$A$1:$I$89,3,0)*0.475*44/12</f>
        <v>0</v>
      </c>
      <c r="BR79" s="21">
        <f>EXP(-LN(2)/2)*BR78+(1-EXP(-LN(2)/2))/(LN(2)/2)*BL79*BO79*VLOOKUP('Données projet'!$B$11,Paramètres!$A$1:$I$89,3,0)*0.475*44/12</f>
        <v>0</v>
      </c>
      <c r="BS79" s="22">
        <f t="shared" si="63"/>
        <v>25.659794705014772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7.2</v>
      </c>
      <c r="BY79" s="12">
        <f>IF('Données projet'!$A$114&gt;35,BY78+BX79-CG78,IF(A79&lt;'Données projet'!$A$114,$BV$205^A79,IF(A79='Données projet'!$A$114,'Données projet'!$B$114,BY78+BX79-CG78)))</f>
        <v>291.2</v>
      </c>
      <c r="BZ79" s="13">
        <f>BY79*VLOOKUP('Données projet'!$B$12,Paramètres!$A$1:$I$89,3,0)*VLOOKUP('Données projet'!$B$12,Paramètres!$A$1:$I$89,5,0)</f>
        <v>304.36224000000004</v>
      </c>
      <c r="CA79" s="13">
        <f t="shared" si="93"/>
        <v>72.090186778763311</v>
      </c>
      <c r="CB79" s="20">
        <f t="shared" si="64"/>
        <v>655.6546433063462</v>
      </c>
      <c r="CC79" s="59">
        <f t="shared" si="65"/>
        <v>948.98797663967957</v>
      </c>
      <c r="CD79" s="59">
        <f ca="1">AVERAGE(OFFSET($CC$3,0,0,'Données projet'!$E$12+1,1))-AVERAGE(OFFSET($H$3,0,0,'Données projet'!$E$12+1,1))</f>
        <v>423.49657671419374</v>
      </c>
      <c r="CE79" s="59">
        <f t="shared" si="94"/>
        <v>329.6783569381081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29.641486986827413</v>
      </c>
      <c r="CL79" s="21">
        <f>EXP(-LN(2)/25)*CL78+(1-EXP(-LN(2)/25))/(LN(2)/25)*Calculateur!CG79*Calculateur!CI79*VLOOKUP('Données projet'!$B$12,Paramètres!$A$1:$I$89,3,0)*0.475*44/12</f>
        <v>0</v>
      </c>
      <c r="CM79" s="21">
        <f>EXP(-LN(2)/2)*CM78+(1-EXP(-LN(2)/2))/(LN(2)/2)*CG79*CJ79*VLOOKUP('Données projet'!$B$12,Paramètres!$A$1:$I$89,3,0)*0.475*44/12</f>
        <v>0</v>
      </c>
      <c r="CN79" s="22">
        <f t="shared" si="66"/>
        <v>29.641486986827413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7.2</v>
      </c>
      <c r="CT79" s="12">
        <f>IF('Données projet'!$A$140&gt;35,CT78+CS79-DB78,IF(A79&lt;'Données projet'!$A$140,$CQ$205^A79,IF(A79='Données projet'!$A$140,'Données projet'!$B$140,CT78+CS79-DB78)))</f>
        <v>291.2</v>
      </c>
      <c r="CU79" s="17">
        <f>CT79*VLOOKUP('Données projet'!$B$13,Paramètres!$A$1:$I$89,3,0)*VLOOKUP('Données projet'!$B$13,Paramètres!$A$1:$I$89,5,0)</f>
        <v>295.27680000000004</v>
      </c>
      <c r="CV79" s="13">
        <f t="shared" si="95"/>
        <v>70.185386686980493</v>
      </c>
      <c r="CW79" s="20">
        <f t="shared" si="67"/>
        <v>636.51330847982445</v>
      </c>
      <c r="CX79" s="59">
        <f t="shared" si="68"/>
        <v>929.8466418131577</v>
      </c>
      <c r="CY79" s="59">
        <f ca="1">AVERAGE(OFFSET($CX$3,0,0,'Données projet'!$E$13+1,1))-AVERAGE(OFFSET($H$3,0,0,'Données projet'!$E$13+1,1))</f>
        <v>407.76560346703042</v>
      </c>
      <c r="CZ79" s="59">
        <f t="shared" si="96"/>
        <v>319.35531375725202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28.756666479757943</v>
      </c>
      <c r="DG79" s="21">
        <f>EXP(-LN(2)/25)*DG78+(1-EXP(-LN(2)/25))/(LN(2)/25)*Calculateur!DB79*Calculateur!DD79*VLOOKUP('Données projet'!$B$13,Paramètres!$A$1:$I$89,3,0)*0.475*44/12</f>
        <v>0</v>
      </c>
      <c r="DH79" s="21">
        <f>EXP(-LN(2)/2)*DH78+(1-EXP(-LN(2)/2))/(LN(2)/2)*DB79*DE79*VLOOKUP('Données projet'!$B$13,Paramètres!$A$1:$I$89,3,0)*0.475*44/12</f>
        <v>0</v>
      </c>
      <c r="DI79" s="22">
        <f t="shared" si="69"/>
        <v>28.756666479757943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2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68.468400000000088</v>
      </c>
      <c r="D80" s="11">
        <f t="shared" si="86"/>
        <v>19.292618976952753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677.45347982209216</v>
      </c>
      <c r="H80" s="67">
        <f t="shared" si="56"/>
        <v>409.51710805152618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0</v>
      </c>
      <c r="O80" s="13">
        <f>N80*VLOOKUP('Données projet'!$B$9,Paramètres!$A$1:$I$89,3,0)*VLOOKUP('Données projet'!$B$9,Paramètres!$A$1:$I$89,5,0)</f>
        <v>0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101.15586831191774</v>
      </c>
      <c r="T80" s="59">
        <f t="shared" si="88"/>
        <v>346.96347336689064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16.065309875940958</v>
      </c>
      <c r="AA80" s="21">
        <f>EXP(-LN(2)/25)*AA79+(1-EXP(-LN(2)/25))/(LN(2)/25)*Calculateur!V80*Calculateur!X80*VLOOKUP('Données projet'!$B$9,Paramètres!$A$1:$I$89,3,0)*0.475*44/12</f>
        <v>4.4804017673123591</v>
      </c>
      <c r="AB80" s="21">
        <f>EXP(-LN(2)/2)*AB79+(1-EXP(-LN(2)/2))/(LN(2)/2)*V80*Y80*VLOOKUP('Données projet'!$B$9,Paramètres!$A$1:$I$89,3,0)*0.475*44/12</f>
        <v>0</v>
      </c>
      <c r="AC80" s="22">
        <f t="shared" si="57"/>
        <v>20.545711643253316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0</v>
      </c>
      <c r="AJ80" s="13">
        <f>AI80*VLOOKUP('Données projet'!$B$10,Paramètres!$A$1:$I$89,3,0)*VLOOKUP('Données projet'!$B$10,Paramètres!$A$1:$I$89,5,0)</f>
        <v>0</v>
      </c>
      <c r="AK80" s="13" t="e">
        <f t="shared" si="89"/>
        <v>#NUM!</v>
      </c>
      <c r="AL80" s="20" t="e">
        <f t="shared" si="58"/>
        <v>#NUM!</v>
      </c>
      <c r="AM80" s="59" t="e">
        <f t="shared" si="59"/>
        <v>#NUM!</v>
      </c>
      <c r="AN80" s="59">
        <f ca="1">AVERAGE(OFFSET($AM$3,0,0,'Données projet'!$E$10+1,1))-AVERAGE(OFFSET($H$3,0,0,'Données projet'!$E$10+1,1))</f>
        <v>101.15586831191774</v>
      </c>
      <c r="AO80" s="59">
        <f t="shared" si="90"/>
        <v>346.96347336689064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16.065309875940958</v>
      </c>
      <c r="AV80" s="21">
        <f>EXP(-LN(2)/25)*AV79+(1-EXP(-LN(2)/25))/(LN(2)/25)*Calculateur!AQ80*Calculateur!AS80*VLOOKUP('Données projet'!$B$10,Paramètres!$A$1:$I$89,3,0)*0.475*44/12</f>
        <v>4.4804017673123591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20.545711643253316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7.2</v>
      </c>
      <c r="BD80" s="12">
        <f>IF('Données projet'!$A$88&gt;35,BD79+BC80-BL79,IF(A80&lt;'Données projet'!$A$88,$BA$205^A80,IF(A80='Données projet'!$A$88,'Données projet'!$B$88,BD79+BC80-BL79)))</f>
        <v>298.39999999999998</v>
      </c>
      <c r="BE80" s="13">
        <f>BD80*VLOOKUP('Données projet'!$B$11,Paramètres!$A$1:$I$89,3,0)*VLOOKUP('Données projet'!$B$11,Paramètres!$A$1:$I$89,5,0)</f>
        <v>269.99231999999995</v>
      </c>
      <c r="BF80" s="13">
        <f t="shared" si="91"/>
        <v>64.847639395310239</v>
      </c>
      <c r="BG80" s="20">
        <f t="shared" si="61"/>
        <v>583.17959594683191</v>
      </c>
      <c r="BH80" s="59">
        <f t="shared" si="62"/>
        <v>876.51292928016528</v>
      </c>
      <c r="BI80" s="59">
        <f ca="1">AVERAGE(OFFSET($BH$3,0,0,'Données projet'!$E$11+1,1))-AVERAGE(OFFSET($H$3,0,0,'Données projet'!$E$11+1,1))</f>
        <v>352.62747127358324</v>
      </c>
      <c r="BJ80" s="59">
        <f t="shared" si="92"/>
        <v>283.16932763435011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25.156621781778799</v>
      </c>
      <c r="BQ80" s="21">
        <f>EXP(-LN(2)/25)*BQ79+(1-EXP(-LN(2)/25))/(LN(2)/25)*Calculateur!BL80*Calculateur!BN80*VLOOKUP('Données projet'!$B$11,Paramètres!$A$1:$I$89,3,0)*0.475*44/12</f>
        <v>0</v>
      </c>
      <c r="BR80" s="21">
        <f>EXP(-LN(2)/2)*BR79+(1-EXP(-LN(2)/2))/(LN(2)/2)*BL80*BO80*VLOOKUP('Données projet'!$B$11,Paramètres!$A$1:$I$89,3,0)*0.475*44/12</f>
        <v>0</v>
      </c>
      <c r="BS80" s="22">
        <f t="shared" si="63"/>
        <v>25.156621781778799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7.2</v>
      </c>
      <c r="BY80" s="12">
        <f>IF('Données projet'!$A$114&gt;35,BY79+BX80-CG79,IF(A80&lt;'Données projet'!$A$114,$BV$205^A80,IF(A80='Données projet'!$A$114,'Données projet'!$B$114,BY79+BX80-CG79)))</f>
        <v>298.39999999999998</v>
      </c>
      <c r="BZ80" s="13">
        <f>BY80*VLOOKUP('Données projet'!$B$12,Paramètres!$A$1:$I$89,3,0)*VLOOKUP('Données projet'!$B$12,Paramètres!$A$1:$I$89,5,0)</f>
        <v>311.88767999999999</v>
      </c>
      <c r="CA80" s="13">
        <f t="shared" si="93"/>
        <v>73.662913491858973</v>
      </c>
      <c r="CB80" s="20">
        <f t="shared" si="64"/>
        <v>671.50061699832099</v>
      </c>
      <c r="CC80" s="59">
        <f t="shared" si="65"/>
        <v>964.83395033165425</v>
      </c>
      <c r="CD80" s="59">
        <f ca="1">AVERAGE(OFFSET($CC$3,0,0,'Données projet'!$E$12+1,1))-AVERAGE(OFFSET($H$3,0,0,'Données projet'!$E$12+1,1))</f>
        <v>423.49657671419374</v>
      </c>
      <c r="CE80" s="59">
        <f t="shared" si="94"/>
        <v>329.6783569381081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29.060235506537584</v>
      </c>
      <c r="CL80" s="21">
        <f>EXP(-LN(2)/25)*CL79+(1-EXP(-LN(2)/25))/(LN(2)/25)*Calculateur!CG80*Calculateur!CI80*VLOOKUP('Données projet'!$B$12,Paramètres!$A$1:$I$89,3,0)*0.475*44/12</f>
        <v>0</v>
      </c>
      <c r="CM80" s="21">
        <f>EXP(-LN(2)/2)*CM79+(1-EXP(-LN(2)/2))/(LN(2)/2)*CG80*CJ80*VLOOKUP('Données projet'!$B$12,Paramètres!$A$1:$I$89,3,0)*0.475*44/12</f>
        <v>0</v>
      </c>
      <c r="CN80" s="22">
        <f t="shared" si="66"/>
        <v>29.060235506537584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7.2</v>
      </c>
      <c r="CT80" s="12">
        <f>IF('Données projet'!$A$140&gt;35,CT79+CS80-DB79,IF(A80&lt;'Données projet'!$A$140,$CQ$205^A80,IF(A80='Données projet'!$A$140,'Données projet'!$B$140,CT79+CS80-DB79)))</f>
        <v>298.39999999999998</v>
      </c>
      <c r="CU80" s="17">
        <f>CT80*VLOOKUP('Données projet'!$B$13,Paramètres!$A$1:$I$89,3,0)*VLOOKUP('Données projet'!$B$13,Paramètres!$A$1:$I$89,5,0)</f>
        <v>302.57759999999996</v>
      </c>
      <c r="CV80" s="13">
        <f t="shared" si="95"/>
        <v>71.716558091076294</v>
      </c>
      <c r="CW80" s="20">
        <f t="shared" si="67"/>
        <v>651.89565867529109</v>
      </c>
      <c r="CX80" s="59">
        <f t="shared" si="68"/>
        <v>945.22899200862435</v>
      </c>
      <c r="CY80" s="59">
        <f ca="1">AVERAGE(OFFSET($CX$3,0,0,'Données projet'!$E$13+1,1))-AVERAGE(OFFSET($H$3,0,0,'Données projet'!$E$13+1,1))</f>
        <v>407.76560346703042</v>
      </c>
      <c r="CZ80" s="59">
        <f t="shared" si="96"/>
        <v>319.35531375725202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28.192765789924529</v>
      </c>
      <c r="DG80" s="21">
        <f>EXP(-LN(2)/25)*DG79+(1-EXP(-LN(2)/25))/(LN(2)/25)*Calculateur!DB80*Calculateur!DD80*VLOOKUP('Données projet'!$B$13,Paramètres!$A$1:$I$89,3,0)*0.475*44/12</f>
        <v>0</v>
      </c>
      <c r="DH80" s="21">
        <f>EXP(-LN(2)/2)*DH79+(1-EXP(-LN(2)/2))/(LN(2)/2)*DB80*DE80*VLOOKUP('Données projet'!$B$13,Paramètres!$A$1:$I$89,3,0)*0.475*44/12</f>
        <v>0</v>
      </c>
      <c r="DI80" s="22">
        <f t="shared" si="69"/>
        <v>28.192765789924529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2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69.35760000000009</v>
      </c>
      <c r="D81" s="11">
        <f t="shared" si="86"/>
        <v>19.51384151112245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686.02516254199861</v>
      </c>
      <c r="H81" s="67">
        <f t="shared" si="56"/>
        <v>411.45109396520513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0</v>
      </c>
      <c r="O81" s="13">
        <f>N81*VLOOKUP('Données projet'!$B$9,Paramètres!$A$1:$I$89,3,0)*VLOOKUP('Données projet'!$B$9,Paramètres!$A$1:$I$89,5,0)</f>
        <v>0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101.15586831191774</v>
      </c>
      <c r="T81" s="59">
        <f t="shared" si="88"/>
        <v>346.96347336689064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15.750278948145223</v>
      </c>
      <c r="AA81" s="21">
        <f>EXP(-LN(2)/25)*AA80+(1-EXP(-LN(2)/25))/(LN(2)/25)*Calculateur!V81*Calculateur!X81*VLOOKUP('Données projet'!$B$9,Paramètres!$A$1:$I$89,3,0)*0.475*44/12</f>
        <v>4.3578849453711141</v>
      </c>
      <c r="AB81" s="21">
        <f>EXP(-LN(2)/2)*AB80+(1-EXP(-LN(2)/2))/(LN(2)/2)*V81*Y81*VLOOKUP('Données projet'!$B$9,Paramètres!$A$1:$I$89,3,0)*0.475*44/12</f>
        <v>0</v>
      </c>
      <c r="AC81" s="22">
        <f t="shared" si="57"/>
        <v>20.108163893516338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0</v>
      </c>
      <c r="AJ81" s="13">
        <f>AI81*VLOOKUP('Données projet'!$B$10,Paramètres!$A$1:$I$89,3,0)*VLOOKUP('Données projet'!$B$10,Paramètres!$A$1:$I$89,5,0)</f>
        <v>0</v>
      </c>
      <c r="AK81" s="13" t="e">
        <f t="shared" si="89"/>
        <v>#NUM!</v>
      </c>
      <c r="AL81" s="20" t="e">
        <f t="shared" si="58"/>
        <v>#NUM!</v>
      </c>
      <c r="AM81" s="59" t="e">
        <f t="shared" si="59"/>
        <v>#NUM!</v>
      </c>
      <c r="AN81" s="59">
        <f ca="1">AVERAGE(OFFSET($AM$3,0,0,'Données projet'!$E$10+1,1))-AVERAGE(OFFSET($H$3,0,0,'Données projet'!$E$10+1,1))</f>
        <v>101.15586831191774</v>
      </c>
      <c r="AO81" s="59">
        <f t="shared" si="90"/>
        <v>346.96347336689064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15.750278948145223</v>
      </c>
      <c r="AV81" s="21">
        <f>EXP(-LN(2)/25)*AV80+(1-EXP(-LN(2)/25))/(LN(2)/25)*Calculateur!AQ81*Calculateur!AS81*VLOOKUP('Données projet'!$B$10,Paramètres!$A$1:$I$89,3,0)*0.475*44/12</f>
        <v>4.3578849453711141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20.108163893516338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7.2</v>
      </c>
      <c r="BD81" s="12">
        <f>IF('Données projet'!$A$88&gt;35,BD80+BC81-BL80,IF(A81&lt;'Données projet'!$A$88,$BA$205^A81,IF(A81='Données projet'!$A$88,'Données projet'!$B$88,BD80+BC81-BL80)))</f>
        <v>305.59999999999997</v>
      </c>
      <c r="BE81" s="13">
        <f>BD81*VLOOKUP('Données projet'!$B$11,Paramètres!$A$1:$I$89,3,0)*VLOOKUP('Données projet'!$B$11,Paramètres!$A$1:$I$89,5,0)</f>
        <v>276.50687999999997</v>
      </c>
      <c r="BF81" s="13">
        <f t="shared" si="91"/>
        <v>66.228273722513677</v>
      </c>
      <c r="BG81" s="20">
        <f t="shared" si="61"/>
        <v>596.93039273337797</v>
      </c>
      <c r="BH81" s="59">
        <f t="shared" si="62"/>
        <v>890.26372606671134</v>
      </c>
      <c r="BI81" s="59">
        <f ca="1">AVERAGE(OFFSET($BH$3,0,0,'Données projet'!$E$11+1,1))-AVERAGE(OFFSET($H$3,0,0,'Données projet'!$E$11+1,1))</f>
        <v>352.62747127358324</v>
      </c>
      <c r="BJ81" s="59">
        <f t="shared" si="92"/>
        <v>283.16932763435011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24.663315772662308</v>
      </c>
      <c r="BQ81" s="21">
        <f>EXP(-LN(2)/25)*BQ80+(1-EXP(-LN(2)/25))/(LN(2)/25)*Calculateur!BL81*Calculateur!BN81*VLOOKUP('Données projet'!$B$11,Paramètres!$A$1:$I$89,3,0)*0.475*44/12</f>
        <v>0</v>
      </c>
      <c r="BR81" s="21">
        <f>EXP(-LN(2)/2)*BR80+(1-EXP(-LN(2)/2))/(LN(2)/2)*BL81*BO81*VLOOKUP('Données projet'!$B$11,Paramètres!$A$1:$I$89,3,0)*0.475*44/12</f>
        <v>0</v>
      </c>
      <c r="BS81" s="22">
        <f t="shared" si="63"/>
        <v>24.663315772662308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7.2</v>
      </c>
      <c r="BY81" s="12">
        <f>IF('Données projet'!$A$114&gt;35,BY80+BX81-CG80,IF(A81&lt;'Données projet'!$A$114,$BV$205^A81,IF(A81='Données projet'!$A$114,'Données projet'!$B$114,BY80+BX81-CG80)))</f>
        <v>305.59999999999997</v>
      </c>
      <c r="BZ81" s="13">
        <f>BY81*VLOOKUP('Données projet'!$B$12,Paramètres!$A$1:$I$89,3,0)*VLOOKUP('Données projet'!$B$12,Paramètres!$A$1:$I$89,5,0)</f>
        <v>319.41311999999999</v>
      </c>
      <c r="CA81" s="13">
        <f t="shared" si="93"/>
        <v>75.231228822332341</v>
      </c>
      <c r="CB81" s="20">
        <f t="shared" si="64"/>
        <v>687.33890753222886</v>
      </c>
      <c r="CC81" s="59">
        <f t="shared" si="65"/>
        <v>980.67224086556212</v>
      </c>
      <c r="CD81" s="59">
        <f ca="1">AVERAGE(OFFSET($CC$3,0,0,'Données projet'!$E$12+1,1))-AVERAGE(OFFSET($H$3,0,0,'Données projet'!$E$12+1,1))</f>
        <v>423.49657671419374</v>
      </c>
      <c r="CE81" s="59">
        <f t="shared" si="94"/>
        <v>329.6783569381081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28.490382013247842</v>
      </c>
      <c r="CL81" s="21">
        <f>EXP(-LN(2)/25)*CL80+(1-EXP(-LN(2)/25))/(LN(2)/25)*Calculateur!CG81*Calculateur!CI81*VLOOKUP('Données projet'!$B$12,Paramètres!$A$1:$I$89,3,0)*0.475*44/12</f>
        <v>0</v>
      </c>
      <c r="CM81" s="21">
        <f>EXP(-LN(2)/2)*CM80+(1-EXP(-LN(2)/2))/(LN(2)/2)*CG81*CJ81*VLOOKUP('Données projet'!$B$12,Paramètres!$A$1:$I$89,3,0)*0.475*44/12</f>
        <v>0</v>
      </c>
      <c r="CN81" s="22">
        <f t="shared" si="66"/>
        <v>28.490382013247842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7.2</v>
      </c>
      <c r="CT81" s="12">
        <f>IF('Données projet'!$A$140&gt;35,CT80+CS81-DB80,IF(A81&lt;'Données projet'!$A$140,$CQ$205^A81,IF(A81='Données projet'!$A$140,'Données projet'!$B$140,CT80+CS81-DB80)))</f>
        <v>305.59999999999997</v>
      </c>
      <c r="CU81" s="17">
        <f>CT81*VLOOKUP('Données projet'!$B$13,Paramètres!$A$1:$I$89,3,0)*VLOOKUP('Données projet'!$B$13,Paramètres!$A$1:$I$89,5,0)</f>
        <v>309.8784</v>
      </c>
      <c r="CV81" s="13">
        <f t="shared" si="95"/>
        <v>73.243434672131556</v>
      </c>
      <c r="CW81" s="20">
        <f t="shared" si="67"/>
        <v>667.27052872062904</v>
      </c>
      <c r="CX81" s="59">
        <f t="shared" si="68"/>
        <v>960.6038620539623</v>
      </c>
      <c r="CY81" s="59">
        <f ca="1">AVERAGE(OFFSET($CX$3,0,0,'Données projet'!$E$13+1,1))-AVERAGE(OFFSET($H$3,0,0,'Données projet'!$E$13+1,1))</f>
        <v>407.76560346703042</v>
      </c>
      <c r="CZ81" s="59">
        <f t="shared" si="96"/>
        <v>319.35531375725202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27.639922848673287</v>
      </c>
      <c r="DG81" s="21">
        <f>EXP(-LN(2)/25)*DG80+(1-EXP(-LN(2)/25))/(LN(2)/25)*Calculateur!DB81*Calculateur!DD81*VLOOKUP('Données projet'!$B$13,Paramètres!$A$1:$I$89,3,0)*0.475*44/12</f>
        <v>0</v>
      </c>
      <c r="DH81" s="21">
        <f>EXP(-LN(2)/2)*DH80+(1-EXP(-LN(2)/2))/(LN(2)/2)*DB81*DE81*VLOOKUP('Données projet'!$B$13,Paramètres!$A$1:$I$89,3,0)*0.475*44/12</f>
        <v>0</v>
      </c>
      <c r="DI81" s="22">
        <f t="shared" si="69"/>
        <v>27.639922848673287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2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70.246800000000093</v>
      </c>
      <c r="D82" s="11">
        <f t="shared" si="86"/>
        <v>19.734734149853086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694.59429870062104</v>
      </c>
      <c r="H82" s="67">
        <f t="shared" si="56"/>
        <v>413.38450531099431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0</v>
      </c>
      <c r="O82" s="13">
        <f>N82*VLOOKUP('Données projet'!$B$9,Paramètres!$A$1:$I$89,3,0)*VLOOKUP('Données projet'!$B$9,Paramètres!$A$1:$I$89,5,0)</f>
        <v>0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101.15586831191774</v>
      </c>
      <c r="T82" s="59">
        <f t="shared" si="88"/>
        <v>346.96347336689064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15.441425584693668</v>
      </c>
      <c r="AA82" s="21">
        <f>EXP(-LN(2)/25)*AA81+(1-EXP(-LN(2)/25))/(LN(2)/25)*Calculateur!V82*Calculateur!X82*VLOOKUP('Données projet'!$B$9,Paramètres!$A$1:$I$89,3,0)*0.475*44/12</f>
        <v>4.238718352368732</v>
      </c>
      <c r="AB82" s="21">
        <f>EXP(-LN(2)/2)*AB81+(1-EXP(-LN(2)/2))/(LN(2)/2)*V82*Y82*VLOOKUP('Données projet'!$B$9,Paramètres!$A$1:$I$89,3,0)*0.475*44/12</f>
        <v>0</v>
      </c>
      <c r="AC82" s="22">
        <f t="shared" si="57"/>
        <v>19.6801439370624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0</v>
      </c>
      <c r="AJ82" s="13">
        <f>AI82*VLOOKUP('Données projet'!$B$10,Paramètres!$A$1:$I$89,3,0)*VLOOKUP('Données projet'!$B$10,Paramètres!$A$1:$I$89,5,0)</f>
        <v>0</v>
      </c>
      <c r="AK82" s="13" t="e">
        <f t="shared" si="89"/>
        <v>#NUM!</v>
      </c>
      <c r="AL82" s="20" t="e">
        <f t="shared" si="58"/>
        <v>#NUM!</v>
      </c>
      <c r="AM82" s="59" t="e">
        <f t="shared" si="59"/>
        <v>#NUM!</v>
      </c>
      <c r="AN82" s="59">
        <f ca="1">AVERAGE(OFFSET($AM$3,0,0,'Données projet'!$E$10+1,1))-AVERAGE(OFFSET($H$3,0,0,'Données projet'!$E$10+1,1))</f>
        <v>101.15586831191774</v>
      </c>
      <c r="AO82" s="59">
        <f t="shared" si="90"/>
        <v>346.96347336689064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15.441425584693668</v>
      </c>
      <c r="AV82" s="21">
        <f>EXP(-LN(2)/25)*AV81+(1-EXP(-LN(2)/25))/(LN(2)/25)*Calculateur!AQ82*Calculateur!AS82*VLOOKUP('Données projet'!$B$10,Paramètres!$A$1:$I$89,3,0)*0.475*44/12</f>
        <v>4.238718352368732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19.6801439370624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7.2</v>
      </c>
      <c r="BD82" s="12">
        <f>IF('Données projet'!$A$88&gt;35,BD81+BC82-BL81,IF(A82&lt;'Données projet'!$A$88,$BA$205^A82,IF(A82='Données projet'!$A$88,'Données projet'!$B$88,BD81+BC82-BL81)))</f>
        <v>312.79999999999995</v>
      </c>
      <c r="BE82" s="13">
        <f>BD82*VLOOKUP('Données projet'!$B$11,Paramètres!$A$1:$I$89,3,0)*VLOOKUP('Données projet'!$B$11,Paramètres!$A$1:$I$89,5,0)</f>
        <v>283.02143999999993</v>
      </c>
      <c r="BF82" s="13">
        <f t="shared" si="91"/>
        <v>67.605126603830598</v>
      </c>
      <c r="BG82" s="20">
        <f t="shared" si="61"/>
        <v>610.67460350167141</v>
      </c>
      <c r="BH82" s="59">
        <f t="shared" si="62"/>
        <v>904.00793683500478</v>
      </c>
      <c r="BI82" s="59">
        <f ca="1">AVERAGE(OFFSET($BH$3,0,0,'Données projet'!$E$11+1,1))-AVERAGE(OFFSET($H$3,0,0,'Données projet'!$E$11+1,1))</f>
        <v>352.62747127358324</v>
      </c>
      <c r="BJ82" s="59">
        <f t="shared" si="92"/>
        <v>283.16932763435011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24.179683193497635</v>
      </c>
      <c r="BQ82" s="21">
        <f>EXP(-LN(2)/25)*BQ81+(1-EXP(-LN(2)/25))/(LN(2)/25)*Calculateur!BL82*Calculateur!BN82*VLOOKUP('Données projet'!$B$11,Paramètres!$A$1:$I$89,3,0)*0.475*44/12</f>
        <v>0</v>
      </c>
      <c r="BR82" s="21">
        <f>EXP(-LN(2)/2)*BR81+(1-EXP(-LN(2)/2))/(LN(2)/2)*BL82*BO82*VLOOKUP('Données projet'!$B$11,Paramètres!$A$1:$I$89,3,0)*0.475*44/12</f>
        <v>0</v>
      </c>
      <c r="BS82" s="22">
        <f t="shared" si="63"/>
        <v>24.179683193497635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7.2</v>
      </c>
      <c r="BY82" s="12">
        <f>IF('Données projet'!$A$114&gt;35,BY81+BX82-CG81,IF(A82&lt;'Données projet'!$A$114,$BV$205^A82,IF(A82='Données projet'!$A$114,'Données projet'!$B$114,BY81+BX82-CG81)))</f>
        <v>312.79999999999995</v>
      </c>
      <c r="BZ82" s="13">
        <f>BY82*VLOOKUP('Données projet'!$B$12,Paramètres!$A$1:$I$89,3,0)*VLOOKUP('Données projet'!$B$12,Paramètres!$A$1:$I$89,5,0)</f>
        <v>326.93856</v>
      </c>
      <c r="CA82" s="13">
        <f t="shared" si="93"/>
        <v>76.795248663813325</v>
      </c>
      <c r="CB82" s="20">
        <f t="shared" si="64"/>
        <v>703.1697167561415</v>
      </c>
      <c r="CC82" s="59">
        <f t="shared" si="65"/>
        <v>996.50305008947475</v>
      </c>
      <c r="CD82" s="59">
        <f ca="1">AVERAGE(OFFSET($CC$3,0,0,'Données projet'!$E$12+1,1))-AVERAGE(OFFSET($H$3,0,0,'Données projet'!$E$12+1,1))</f>
        <v>423.49657671419374</v>
      </c>
      <c r="CE82" s="59">
        <f t="shared" si="94"/>
        <v>329.6783569381081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27.931702999385202</v>
      </c>
      <c r="CL82" s="21">
        <f>EXP(-LN(2)/25)*CL81+(1-EXP(-LN(2)/25))/(LN(2)/25)*Calculateur!CG82*Calculateur!CI82*VLOOKUP('Données projet'!$B$12,Paramètres!$A$1:$I$89,3,0)*0.475*44/12</f>
        <v>0</v>
      </c>
      <c r="CM82" s="21">
        <f>EXP(-LN(2)/2)*CM81+(1-EXP(-LN(2)/2))/(LN(2)/2)*CG82*CJ82*VLOOKUP('Données projet'!$B$12,Paramètres!$A$1:$I$89,3,0)*0.475*44/12</f>
        <v>0</v>
      </c>
      <c r="CN82" s="22">
        <f t="shared" si="66"/>
        <v>27.931702999385202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7.2</v>
      </c>
      <c r="CT82" s="12">
        <f>IF('Données projet'!$A$140&gt;35,CT81+CS82-DB81,IF(A82&lt;'Données projet'!$A$140,$CQ$205^A82,IF(A82='Données projet'!$A$140,'Données projet'!$B$140,CT81+CS82-DB81)))</f>
        <v>312.79999999999995</v>
      </c>
      <c r="CU82" s="17">
        <f>CT82*VLOOKUP('Données projet'!$B$13,Paramètres!$A$1:$I$89,3,0)*VLOOKUP('Données projet'!$B$13,Paramètres!$A$1:$I$89,5,0)</f>
        <v>317.17919999999998</v>
      </c>
      <c r="CV82" s="13">
        <f t="shared" si="95"/>
        <v>74.766129261581426</v>
      </c>
      <c r="CW82" s="20">
        <f t="shared" si="67"/>
        <v>682.63811513058749</v>
      </c>
      <c r="CX82" s="59">
        <f t="shared" si="68"/>
        <v>975.97144846392075</v>
      </c>
      <c r="CY82" s="59">
        <f ca="1">AVERAGE(OFFSET($CX$3,0,0,'Données projet'!$E$13+1,1))-AVERAGE(OFFSET($H$3,0,0,'Données projet'!$E$13+1,1))</f>
        <v>407.76560346703042</v>
      </c>
      <c r="CZ82" s="59">
        <f t="shared" si="96"/>
        <v>319.35531375725202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27.097920820299084</v>
      </c>
      <c r="DG82" s="21">
        <f>EXP(-LN(2)/25)*DG81+(1-EXP(-LN(2)/25))/(LN(2)/25)*Calculateur!DB82*Calculateur!DD82*VLOOKUP('Données projet'!$B$13,Paramètres!$A$1:$I$89,3,0)*0.475*44/12</f>
        <v>0</v>
      </c>
      <c r="DH82" s="21">
        <f>EXP(-LN(2)/2)*DH81+(1-EXP(-LN(2)/2))/(LN(2)/2)*DB82*DE82*VLOOKUP('Données projet'!$B$13,Paramètres!$A$1:$I$89,3,0)*0.475*44/12</f>
        <v>0</v>
      </c>
      <c r="DI82" s="22">
        <f t="shared" si="69"/>
        <v>27.097920820299084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2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71.136000000000095</v>
      </c>
      <c r="D83" s="11">
        <f t="shared" si="86"/>
        <v>19.955301551927505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703.16092426049374</v>
      </c>
      <c r="H83" s="67">
        <f t="shared" si="56"/>
        <v>415.31735020294059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0</v>
      </c>
      <c r="O83" s="13">
        <f>N83*VLOOKUP('Données projet'!$B$9,Paramètres!$A$1:$I$89,3,0)*VLOOKUP('Données projet'!$B$9,Paramètres!$A$1:$I$89,5,0)</f>
        <v>0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101.15586831191774</v>
      </c>
      <c r="T83" s="59">
        <f t="shared" si="88"/>
        <v>346.96347336689064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15.138628647317448</v>
      </c>
      <c r="AA83" s="21">
        <f>EXP(-LN(2)/25)*AA82+(1-EXP(-LN(2)/25))/(LN(2)/25)*Calculateur!V83*Calculateur!X83*VLOOKUP('Données projet'!$B$9,Paramètres!$A$1:$I$89,3,0)*0.475*44/12</f>
        <v>4.1228103761186983</v>
      </c>
      <c r="AB83" s="21">
        <f>EXP(-LN(2)/2)*AB82+(1-EXP(-LN(2)/2))/(LN(2)/2)*V83*Y83*VLOOKUP('Données projet'!$B$9,Paramètres!$A$1:$I$89,3,0)*0.475*44/12</f>
        <v>0</v>
      </c>
      <c r="AC83" s="22">
        <f t="shared" si="57"/>
        <v>19.261439023436147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0</v>
      </c>
      <c r="AJ83" s="13">
        <f>AI83*VLOOKUP('Données projet'!$B$10,Paramètres!$A$1:$I$89,3,0)*VLOOKUP('Données projet'!$B$10,Paramètres!$A$1:$I$89,5,0)</f>
        <v>0</v>
      </c>
      <c r="AK83" s="13" t="e">
        <f t="shared" si="89"/>
        <v>#NUM!</v>
      </c>
      <c r="AL83" s="20" t="e">
        <f t="shared" si="58"/>
        <v>#NUM!</v>
      </c>
      <c r="AM83" s="59" t="e">
        <f t="shared" si="59"/>
        <v>#NUM!</v>
      </c>
      <c r="AN83" s="59">
        <f ca="1">AVERAGE(OFFSET($AM$3,0,0,'Données projet'!$E$10+1,1))-AVERAGE(OFFSET($H$3,0,0,'Données projet'!$E$10+1,1))</f>
        <v>101.15586831191774</v>
      </c>
      <c r="AO83" s="59">
        <f t="shared" si="90"/>
        <v>346.96347336689064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15.138628647317448</v>
      </c>
      <c r="AV83" s="21">
        <f>EXP(-LN(2)/25)*AV82+(1-EXP(-LN(2)/25))/(LN(2)/25)*Calculateur!AQ83*Calculateur!AS83*VLOOKUP('Données projet'!$B$10,Paramètres!$A$1:$I$89,3,0)*0.475*44/12</f>
        <v>4.1228103761186983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19.261439023436147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>
        <f>VLOOKUP(A83,'Données projet'!$A$87:$I$107,2,0)</f>
        <v>320</v>
      </c>
      <c r="BB83" s="12">
        <f>VLOOKUP(A83,'Données projet'!$A$87:$I$107,9,0)</f>
        <v>7.2</v>
      </c>
      <c r="BC83" s="12">
        <f t="array" ref="BC83">INDEX(BB:BB,MIN(IF(ISNUMBER(BB83:BB279),ROW(BB83:BB279),"")))</f>
        <v>7.2</v>
      </c>
      <c r="BD83" s="12">
        <f>IF('Données projet'!$A$88&gt;35,BD82+BC83-BL82,IF(A83&lt;'Données projet'!$A$88,$BA$205^A83,IF(A83='Données projet'!$A$88,'Données projet'!$B$88,BD82+BC83-BL82)))</f>
        <v>319.99999999999994</v>
      </c>
      <c r="BE83" s="13">
        <f>BD83*VLOOKUP('Données projet'!$B$11,Paramètres!$A$1:$I$89,3,0)*VLOOKUP('Données projet'!$B$11,Paramètres!$A$1:$I$89,5,0)</f>
        <v>289.53599999999994</v>
      </c>
      <c r="BF83" s="13">
        <f t="shared" si="91"/>
        <v>68.97829509904436</v>
      </c>
      <c r="BG83" s="20">
        <f t="shared" si="61"/>
        <v>624.41239729750214</v>
      </c>
      <c r="BH83" s="59">
        <f t="shared" si="62"/>
        <v>917.7457306308354</v>
      </c>
      <c r="BI83" s="59">
        <f ca="1">AVERAGE(OFFSET($BH$3,0,0,'Données projet'!$E$11+1,1))-AVERAGE(OFFSET($H$3,0,0,'Données projet'!$E$11+1,1))</f>
        <v>352.62747127358324</v>
      </c>
      <c r="BJ83" s="59">
        <f t="shared" si="92"/>
        <v>283.16932763435011</v>
      </c>
      <c r="BK83" s="15">
        <f>IF(ISNA(VLOOKUP(A83,'Données projet'!$A$87:$I$107,3,0)),0,VLOOKUP(A83,'Données projet'!$A$87:$I$107,3,0))</f>
        <v>13</v>
      </c>
      <c r="BL83" s="21">
        <f>IF(ISNA(VLOOKUP(A83,'Données projet'!$A$87:$I$107,4,0)),0,VLOOKUP(A83,'Données projet'!$A$87:$I$107,4,0))</f>
        <v>28</v>
      </c>
      <c r="BM83" s="16">
        <f>IF(ISNA(VLOOKUP(A83,'Données projet'!$A$87:$I$107,5,0)),0%,VLOOKUP(A83,'Données projet'!$A$87:$I$107,5,0)*VLOOKUP('Données projet'!$B$11,Paramètres!$A$1:$I$89,7,0))</f>
        <v>0.25800000000000001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30.931192980299443</v>
      </c>
      <c r="BQ83" s="21">
        <f>EXP(-LN(2)/25)*BQ82+(1-EXP(-LN(2)/25))/(LN(2)/25)*Calculateur!BL83*Calculateur!BN83*VLOOKUP('Données projet'!$B$11,Paramètres!$A$1:$I$89,3,0)*0.475*44/12</f>
        <v>0</v>
      </c>
      <c r="BR83" s="21">
        <f>EXP(-LN(2)/2)*BR82+(1-EXP(-LN(2)/2))/(LN(2)/2)*BL83*BO83*VLOOKUP('Données projet'!$B$11,Paramètres!$A$1:$I$89,3,0)*0.475*44/12</f>
        <v>0</v>
      </c>
      <c r="BS83" s="22">
        <f t="shared" si="63"/>
        <v>30.931192980299443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>
        <f>VLOOKUP(A83,'Données projet'!$A$113:$I$133,2,0)</f>
        <v>320</v>
      </c>
      <c r="BW83" s="12">
        <f>VLOOKUP(A83,'Données projet'!$A$113:$I$133,9,0)</f>
        <v>7.2</v>
      </c>
      <c r="BX83" s="12">
        <f t="array" ref="BX83">INDEX(BW:BW,MIN(IF(ISNUMBER(BW83:BW279),ROW(BW83:BW279),"")))</f>
        <v>7.2</v>
      </c>
      <c r="BY83" s="12">
        <f>IF('Données projet'!$A$114&gt;35,BY82+BX83-CG82,IF(A83&lt;'Données projet'!$A$114,$BV$205^A83,IF(A83='Données projet'!$A$114,'Données projet'!$B$114,BY82+BX83-CG82)))</f>
        <v>319.99999999999994</v>
      </c>
      <c r="BZ83" s="13">
        <f>BY83*VLOOKUP('Données projet'!$B$12,Paramètres!$A$1:$I$89,3,0)*VLOOKUP('Données projet'!$B$12,Paramètres!$A$1:$I$89,5,0)</f>
        <v>334.464</v>
      </c>
      <c r="CA83" s="13">
        <f t="shared" si="93"/>
        <v>78.355083270221414</v>
      </c>
      <c r="CB83" s="20">
        <f t="shared" si="64"/>
        <v>718.99323669563557</v>
      </c>
      <c r="CC83" s="59">
        <f t="shared" si="65"/>
        <v>1012.3265700289689</v>
      </c>
      <c r="CD83" s="59">
        <f ca="1">AVERAGE(OFFSET($CC$3,0,0,'Données projet'!$E$12+1,1))-AVERAGE(OFFSET($H$3,0,0,'Données projet'!$E$12+1,1))</f>
        <v>423.49657671419374</v>
      </c>
      <c r="CE83" s="59">
        <f t="shared" si="94"/>
        <v>329.6783569381081</v>
      </c>
      <c r="CF83" s="15">
        <f>IF(ISNA(VLOOKUP(A83,'Données projet'!$A$113:$I$133,3,0)),0,VLOOKUP(A83,'Données projet'!$A$113:$I$133,3,0))</f>
        <v>13</v>
      </c>
      <c r="CG83" s="15">
        <f>IF(ISNA(VLOOKUP(A83,'Données projet'!$A$113:$I$133,4,0)),0,VLOOKUP(A83,'Données projet'!$A$113:$I$133,4,0))</f>
        <v>28</v>
      </c>
      <c r="CH83" s="16">
        <f>IF(ISNA(VLOOKUP(A83,'Données projet'!$A$113:$I$133,5,0)),0%,VLOOKUP(A83,'Données projet'!$A$113:$I$133,5,0)*VLOOKUP('Données projet'!$B$12,Paramètres!$A$1:$I$89,7,0))</f>
        <v>0.25800000000000001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35.730860856552809</v>
      </c>
      <c r="CL83" s="21">
        <f>EXP(-LN(2)/25)*CL82+(1-EXP(-LN(2)/25))/(LN(2)/25)*Calculateur!CG83*Calculateur!CI83*VLOOKUP('Données projet'!$B$12,Paramètres!$A$1:$I$89,3,0)*0.475*44/12</f>
        <v>0</v>
      </c>
      <c r="CM83" s="21">
        <f>EXP(-LN(2)/2)*CM82+(1-EXP(-LN(2)/2))/(LN(2)/2)*CG83*CJ83*VLOOKUP('Données projet'!$B$12,Paramètres!$A$1:$I$89,3,0)*0.475*44/12</f>
        <v>0</v>
      </c>
      <c r="CN83" s="22">
        <f t="shared" si="66"/>
        <v>35.730860856552809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>
        <f>VLOOKUP(A83,'Données projet'!$A$139:$I$159,2,0)</f>
        <v>320</v>
      </c>
      <c r="CR83" s="12">
        <f>VLOOKUP(A83,'Données projet'!$A$139:$I$159,9,0)</f>
        <v>7.2</v>
      </c>
      <c r="CS83" s="12">
        <f t="array" ref="CS83">INDEX(CR:CR,MIN(IF(ISNUMBER(CR83:CR279),ROW(CR83:CR279),"")))</f>
        <v>7.2</v>
      </c>
      <c r="CT83" s="12">
        <f>IF('Données projet'!$A$140&gt;35,CT82+CS83-DB82,IF(A83&lt;'Données projet'!$A$140,$CQ$205^A83,IF(A83='Données projet'!$A$140,'Données projet'!$B$140,CT82+CS83-DB82)))</f>
        <v>319.99999999999994</v>
      </c>
      <c r="CU83" s="17">
        <f>CT83*VLOOKUP('Données projet'!$B$13,Paramètres!$A$1:$I$89,3,0)*VLOOKUP('Données projet'!$B$13,Paramètres!$A$1:$I$89,5,0)</f>
        <v>324.47999999999996</v>
      </c>
      <c r="CV83" s="13">
        <f t="shared" si="95"/>
        <v>76.284749200165507</v>
      </c>
      <c r="CW83" s="20">
        <f t="shared" si="67"/>
        <v>697.99860485695478</v>
      </c>
      <c r="CX83" s="59">
        <f t="shared" si="68"/>
        <v>991.33193819028816</v>
      </c>
      <c r="CY83" s="59">
        <f ca="1">AVERAGE(OFFSET($CX$3,0,0,'Données projet'!$E$13+1,1))-AVERAGE(OFFSET($H$3,0,0,'Données projet'!$E$13+1,1))</f>
        <v>407.76560346703042</v>
      </c>
      <c r="CZ83" s="59">
        <f t="shared" si="96"/>
        <v>319.35531375725202</v>
      </c>
      <c r="DA83" s="15">
        <f>IF(ISNA(VLOOKUP(A83,'Données projet'!$A$139:$I$159,3,0)),0,VLOOKUP(A83,'Données projet'!$A$139:$I$159,3,0))</f>
        <v>13</v>
      </c>
      <c r="DB83" s="15">
        <f>IF(ISNA(VLOOKUP(A83,'Données projet'!$A$139:$I$159,4,0)),0,VLOOKUP(A83,'Données projet'!$A$139:$I$159,4,0))</f>
        <v>28</v>
      </c>
      <c r="DC83" s="16">
        <f>IF(ISNA(VLOOKUP(A83,'Données projet'!$A$139:$I$159,5,0)),0%,VLOOKUP(A83,'Données projet'!$A$139:$I$159,5,0)*VLOOKUP('Données projet'!$B$13,Paramètres!$A$1:$I$89,7,0))</f>
        <v>0.25800000000000001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>
        <f>EXP(-LN(2)/35)*DF82+(1-EXP(-LN(2)/35))/(LN(2)/35)*DB83*DC83*VLOOKUP('Données projet'!$B$13,Paramètres!$A$1:$I$89,3,0)*0.475*44/12</f>
        <v>34.664267995163186</v>
      </c>
      <c r="DG83" s="21">
        <f>EXP(-LN(2)/25)*DG82+(1-EXP(-LN(2)/25))/(LN(2)/25)*Calculateur!DB83*Calculateur!DD83*VLOOKUP('Données projet'!$B$13,Paramètres!$A$1:$I$89,3,0)*0.475*44/12</f>
        <v>0</v>
      </c>
      <c r="DH83" s="21">
        <f>EXP(-LN(2)/2)*DH82+(1-EXP(-LN(2)/2))/(LN(2)/2)*DB83*DE83*VLOOKUP('Données projet'!$B$13,Paramètres!$A$1:$I$89,3,0)*0.475*44/12</f>
        <v>0</v>
      </c>
      <c r="DI83" s="22">
        <f t="shared" si="69"/>
        <v>34.664267995163186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2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72.025200000000098</v>
      </c>
      <c r="D84" s="11">
        <f t="shared" si="86"/>
        <v>20.175548252960489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711.72507423337993</v>
      </c>
      <c r="H84" s="67">
        <f t="shared" si="56"/>
        <v>417.24963654057308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0</v>
      </c>
      <c r="O84" s="13">
        <f>N84*VLOOKUP('Données projet'!$B$9,Paramètres!$A$1:$I$89,3,0)*VLOOKUP('Données projet'!$B$9,Paramètres!$A$1:$I$89,5,0)</f>
        <v>0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101.15586831191774</v>
      </c>
      <c r="T84" s="59">
        <f t="shared" si="88"/>
        <v>346.96347336689064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14.84176937319528</v>
      </c>
      <c r="AA84" s="21">
        <f>EXP(-LN(2)/25)*AA83+(1-EXP(-LN(2)/25))/(LN(2)/25)*Calculateur!V84*Calculateur!X84*VLOOKUP('Données projet'!$B$9,Paramètres!$A$1:$I$89,3,0)*0.475*44/12</f>
        <v>4.0100719095745578</v>
      </c>
      <c r="AB84" s="21">
        <f>EXP(-LN(2)/2)*AB83+(1-EXP(-LN(2)/2))/(LN(2)/2)*V84*Y84*VLOOKUP('Données projet'!$B$9,Paramètres!$A$1:$I$89,3,0)*0.475*44/12</f>
        <v>0</v>
      </c>
      <c r="AC84" s="22">
        <f t="shared" si="57"/>
        <v>18.85184128276984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0</v>
      </c>
      <c r="AJ84" s="13">
        <f>AI84*VLOOKUP('Données projet'!$B$10,Paramètres!$A$1:$I$89,3,0)*VLOOKUP('Données projet'!$B$10,Paramètres!$A$1:$I$89,5,0)</f>
        <v>0</v>
      </c>
      <c r="AK84" s="13" t="e">
        <f t="shared" si="89"/>
        <v>#NUM!</v>
      </c>
      <c r="AL84" s="20" t="e">
        <f t="shared" si="58"/>
        <v>#NUM!</v>
      </c>
      <c r="AM84" s="59" t="e">
        <f t="shared" si="59"/>
        <v>#NUM!</v>
      </c>
      <c r="AN84" s="59">
        <f ca="1">AVERAGE(OFFSET($AM$3,0,0,'Données projet'!$E$10+1,1))-AVERAGE(OFFSET($H$3,0,0,'Données projet'!$E$10+1,1))</f>
        <v>101.15586831191774</v>
      </c>
      <c r="AO84" s="59">
        <f t="shared" si="90"/>
        <v>346.96347336689064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14.84176937319528</v>
      </c>
      <c r="AV84" s="21">
        <f>EXP(-LN(2)/25)*AV83+(1-EXP(-LN(2)/25))/(LN(2)/25)*Calculateur!AQ84*Calculateur!AS84*VLOOKUP('Données projet'!$B$10,Paramètres!$A$1:$I$89,3,0)*0.475*44/12</f>
        <v>4.0100719095745578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18.85184128276984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6.6</v>
      </c>
      <c r="BD84" s="12">
        <f>IF('Données projet'!$A$88&gt;35,BD83+BC84-BL83,IF(A84&lt;'Données projet'!$A$88,$BA$205^A84,IF(A84='Données projet'!$A$88,'Données projet'!$B$88,BD83+BC84-BL83)))</f>
        <v>298.59999999999997</v>
      </c>
      <c r="BE84" s="13">
        <f>BD84*VLOOKUP('Données projet'!$B$11,Paramètres!$A$1:$I$89,3,0)*VLOOKUP('Données projet'!$B$11,Paramètres!$A$1:$I$89,5,0)</f>
        <v>270.17327999999992</v>
      </c>
      <c r="BF84" s="13">
        <f t="shared" si="91"/>
        <v>64.886042303882988</v>
      </c>
      <c r="BG84" s="20">
        <f t="shared" si="61"/>
        <v>583.56165301259614</v>
      </c>
      <c r="BH84" s="59">
        <f t="shared" si="62"/>
        <v>876.89498634592951</v>
      </c>
      <c r="BI84" s="59">
        <f ca="1">AVERAGE(OFFSET($BH$3,0,0,'Données projet'!$E$11+1,1))-AVERAGE(OFFSET($H$3,0,0,'Données projet'!$E$11+1,1))</f>
        <v>352.62747127358324</v>
      </c>
      <c r="BJ84" s="59">
        <f t="shared" si="92"/>
        <v>283.16932763435011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30.324651152120609</v>
      </c>
      <c r="BQ84" s="21">
        <f>EXP(-LN(2)/25)*BQ83+(1-EXP(-LN(2)/25))/(LN(2)/25)*Calculateur!BL84*Calculateur!BN84*VLOOKUP('Données projet'!$B$11,Paramètres!$A$1:$I$89,3,0)*0.475*44/12</f>
        <v>0</v>
      </c>
      <c r="BR84" s="21">
        <f>EXP(-LN(2)/2)*BR83+(1-EXP(-LN(2)/2))/(LN(2)/2)*BL84*BO84*VLOOKUP('Données projet'!$B$11,Paramètres!$A$1:$I$89,3,0)*0.475*44/12</f>
        <v>0</v>
      </c>
      <c r="BS84" s="22">
        <f t="shared" si="63"/>
        <v>30.324651152120609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6.6</v>
      </c>
      <c r="BY84" s="12">
        <f>IF('Données projet'!$A$114&gt;35,BY83+BX84-CG83,IF(A84&lt;'Données projet'!$A$114,$BV$205^A84,IF(A84='Données projet'!$A$114,'Données projet'!$B$114,BY83+BX84-CG83)))</f>
        <v>298.59999999999997</v>
      </c>
      <c r="BZ84" s="13">
        <f>BY84*VLOOKUP('Données projet'!$B$12,Paramètres!$A$1:$I$89,3,0)*VLOOKUP('Données projet'!$B$12,Paramètres!$A$1:$I$89,5,0)</f>
        <v>312.09672</v>
      </c>
      <c r="CA84" s="13">
        <f t="shared" si="93"/>
        <v>73.706536824310376</v>
      </c>
      <c r="CB84" s="20">
        <f t="shared" si="64"/>
        <v>671.94067230234054</v>
      </c>
      <c r="CC84" s="59">
        <f t="shared" si="65"/>
        <v>965.2740056356738</v>
      </c>
      <c r="CD84" s="59">
        <f ca="1">AVERAGE(OFFSET($CC$3,0,0,'Données projet'!$E$12+1,1))-AVERAGE(OFFSET($H$3,0,0,'Données projet'!$E$12+1,1))</f>
        <v>423.49657671419374</v>
      </c>
      <c r="CE84" s="59">
        <f t="shared" si="94"/>
        <v>329.6783569381081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35.030200468828987</v>
      </c>
      <c r="CL84" s="21">
        <f>EXP(-LN(2)/25)*CL83+(1-EXP(-LN(2)/25))/(LN(2)/25)*Calculateur!CG84*Calculateur!CI84*VLOOKUP('Données projet'!$B$12,Paramètres!$A$1:$I$89,3,0)*0.475*44/12</f>
        <v>0</v>
      </c>
      <c r="CM84" s="21">
        <f>EXP(-LN(2)/2)*CM83+(1-EXP(-LN(2)/2))/(LN(2)/2)*CG84*CJ84*VLOOKUP('Données projet'!$B$12,Paramètres!$A$1:$I$89,3,0)*0.475*44/12</f>
        <v>0</v>
      </c>
      <c r="CN84" s="22">
        <f t="shared" si="66"/>
        <v>35.030200468828987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6.6</v>
      </c>
      <c r="CT84" s="12">
        <f>IF('Données projet'!$A$140&gt;35,CT83+CS84-DB83,IF(A84&lt;'Données projet'!$A$140,$CQ$205^A84,IF(A84='Données projet'!$A$140,'Données projet'!$B$140,CT83+CS84-DB83)))</f>
        <v>298.59999999999997</v>
      </c>
      <c r="CU84" s="17">
        <f>CT84*VLOOKUP('Données projet'!$B$13,Paramètres!$A$1:$I$89,3,0)*VLOOKUP('Données projet'!$B$13,Paramètres!$A$1:$I$89,5,0)</f>
        <v>302.78039999999999</v>
      </c>
      <c r="CV84" s="13">
        <f t="shared" si="95"/>
        <v>71.75902878776165</v>
      </c>
      <c r="CW84" s="20">
        <f t="shared" si="67"/>
        <v>652.32283847201813</v>
      </c>
      <c r="CX84" s="59">
        <f t="shared" si="68"/>
        <v>945.65617180535151</v>
      </c>
      <c r="CY84" s="59">
        <f ca="1">AVERAGE(OFFSET($CX$3,0,0,'Données projet'!$E$13+1,1))-AVERAGE(OFFSET($H$3,0,0,'Données projet'!$E$13+1,1))</f>
        <v>407.76560346703042</v>
      </c>
      <c r="CZ84" s="59">
        <f t="shared" si="96"/>
        <v>319.35531375725202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33.984522842893803</v>
      </c>
      <c r="DG84" s="21">
        <f>EXP(-LN(2)/25)*DG83+(1-EXP(-LN(2)/25))/(LN(2)/25)*Calculateur!DB84*Calculateur!DD84*VLOOKUP('Données projet'!$B$13,Paramètres!$A$1:$I$89,3,0)*0.475*44/12</f>
        <v>0</v>
      </c>
      <c r="DH84" s="21">
        <f>EXP(-LN(2)/2)*DH83+(1-EXP(-LN(2)/2))/(LN(2)/2)*DB84*DE84*VLOOKUP('Données projet'!$B$13,Paramètres!$A$1:$I$89,3,0)*0.475*44/12</f>
        <v>0</v>
      </c>
      <c r="DI84" s="22">
        <f t="shared" si="69"/>
        <v>33.984522842893803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2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72.9144000000001</v>
      </c>
      <c r="D85" s="11">
        <f t="shared" si="86"/>
        <v>20.395478670134686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720.28678271683009</v>
      </c>
      <c r="H85" s="67">
        <f t="shared" si="56"/>
        <v>419.18137201715149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0</v>
      </c>
      <c r="O85" s="13">
        <f>N85*VLOOKUP('Données projet'!$B$9,Paramètres!$A$1:$I$89,3,0)*VLOOKUP('Données projet'!$B$9,Paramètres!$A$1:$I$89,5,0)</f>
        <v>0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101.15586831191774</v>
      </c>
      <c r="T85" s="59">
        <f t="shared" si="88"/>
        <v>346.96347336689064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14.55073132837237</v>
      </c>
      <c r="AA85" s="21">
        <f>EXP(-LN(2)/25)*AA84+(1-EXP(-LN(2)/25))/(LN(2)/25)*Calculateur!V85*Calculateur!X85*VLOOKUP('Données projet'!$B$9,Paramètres!$A$1:$I$89,3,0)*0.475*44/12</f>
        <v>3.900416282326725</v>
      </c>
      <c r="AB85" s="21">
        <f>EXP(-LN(2)/2)*AB84+(1-EXP(-LN(2)/2))/(LN(2)/2)*V85*Y85*VLOOKUP('Données projet'!$B$9,Paramètres!$A$1:$I$89,3,0)*0.475*44/12</f>
        <v>0</v>
      </c>
      <c r="AC85" s="22">
        <f t="shared" si="57"/>
        <v>18.451147610699095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0</v>
      </c>
      <c r="AJ85" s="13">
        <f>AI85*VLOOKUP('Données projet'!$B$10,Paramètres!$A$1:$I$89,3,0)*VLOOKUP('Données projet'!$B$10,Paramètres!$A$1:$I$89,5,0)</f>
        <v>0</v>
      </c>
      <c r="AK85" s="13" t="e">
        <f t="shared" si="89"/>
        <v>#NUM!</v>
      </c>
      <c r="AL85" s="20" t="e">
        <f t="shared" si="58"/>
        <v>#NUM!</v>
      </c>
      <c r="AM85" s="59" t="e">
        <f t="shared" si="59"/>
        <v>#NUM!</v>
      </c>
      <c r="AN85" s="59">
        <f ca="1">AVERAGE(OFFSET($AM$3,0,0,'Données projet'!$E$10+1,1))-AVERAGE(OFFSET($H$3,0,0,'Données projet'!$E$10+1,1))</f>
        <v>101.15586831191774</v>
      </c>
      <c r="AO85" s="59">
        <f t="shared" si="90"/>
        <v>346.96347336689064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14.55073132837237</v>
      </c>
      <c r="AV85" s="21">
        <f>EXP(-LN(2)/25)*AV84+(1-EXP(-LN(2)/25))/(LN(2)/25)*Calculateur!AQ85*Calculateur!AS85*VLOOKUP('Données projet'!$B$10,Paramètres!$A$1:$I$89,3,0)*0.475*44/12</f>
        <v>3.900416282326725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18.451147610699095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6.6</v>
      </c>
      <c r="BD85" s="12">
        <f>IF('Données projet'!$A$88&gt;35,BD84+BC85-BL84,IF(A85&lt;'Données projet'!$A$88,$BA$205^A85,IF(A85='Données projet'!$A$88,'Données projet'!$B$88,BD84+BC85-BL84)))</f>
        <v>305.2</v>
      </c>
      <c r="BE85" s="13">
        <f>BD85*VLOOKUP('Données projet'!$B$11,Paramètres!$A$1:$I$89,3,0)*VLOOKUP('Données projet'!$B$11,Paramètres!$A$1:$I$89,5,0)</f>
        <v>276.14495999999997</v>
      </c>
      <c r="BF85" s="13">
        <f t="shared" si="91"/>
        <v>66.151671938851194</v>
      </c>
      <c r="BG85" s="20">
        <f t="shared" si="61"/>
        <v>596.16663396016577</v>
      </c>
      <c r="BH85" s="59">
        <f t="shared" si="62"/>
        <v>889.49996729349914</v>
      </c>
      <c r="BI85" s="59">
        <f ca="1">AVERAGE(OFFSET($BH$3,0,0,'Données projet'!$E$11+1,1))-AVERAGE(OFFSET($H$3,0,0,'Données projet'!$E$11+1,1))</f>
        <v>352.62747127358324</v>
      </c>
      <c r="BJ85" s="59">
        <f t="shared" si="92"/>
        <v>283.16932763435011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29.730003239238378</v>
      </c>
      <c r="BQ85" s="21">
        <f>EXP(-LN(2)/25)*BQ84+(1-EXP(-LN(2)/25))/(LN(2)/25)*Calculateur!BL85*Calculateur!BN85*VLOOKUP('Données projet'!$B$11,Paramètres!$A$1:$I$89,3,0)*0.475*44/12</f>
        <v>0</v>
      </c>
      <c r="BR85" s="21">
        <f>EXP(-LN(2)/2)*BR84+(1-EXP(-LN(2)/2))/(LN(2)/2)*BL85*BO85*VLOOKUP('Données projet'!$B$11,Paramètres!$A$1:$I$89,3,0)*0.475*44/12</f>
        <v>0</v>
      </c>
      <c r="BS85" s="22">
        <f t="shared" si="63"/>
        <v>29.730003239238378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6.6</v>
      </c>
      <c r="BY85" s="12">
        <f>IF('Données projet'!$A$114&gt;35,BY84+BX85-CG84,IF(A85&lt;'Données projet'!$A$114,$BV$205^A85,IF(A85='Données projet'!$A$114,'Données projet'!$B$114,BY84+BX85-CG84)))</f>
        <v>305.2</v>
      </c>
      <c r="BZ85" s="13">
        <f>BY85*VLOOKUP('Données projet'!$B$12,Paramètres!$A$1:$I$89,3,0)*VLOOKUP('Données projet'!$B$12,Paramètres!$A$1:$I$89,5,0)</f>
        <v>318.99504000000002</v>
      </c>
      <c r="CA85" s="13">
        <f t="shared" si="93"/>
        <v>75.144213926865604</v>
      </c>
      <c r="CB85" s="20">
        <f t="shared" si="64"/>
        <v>686.45920058929096</v>
      </c>
      <c r="CC85" s="59">
        <f t="shared" si="65"/>
        <v>979.79253392262422</v>
      </c>
      <c r="CD85" s="59">
        <f ca="1">AVERAGE(OFFSET($CC$3,0,0,'Données projet'!$E$12+1,1))-AVERAGE(OFFSET($H$3,0,0,'Données projet'!$E$12+1,1))</f>
        <v>423.49657671419374</v>
      </c>
      <c r="CE85" s="59">
        <f t="shared" si="94"/>
        <v>329.6783569381081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34.343279603947785</v>
      </c>
      <c r="CL85" s="21">
        <f>EXP(-LN(2)/25)*CL84+(1-EXP(-LN(2)/25))/(LN(2)/25)*Calculateur!CG85*Calculateur!CI85*VLOOKUP('Données projet'!$B$12,Paramètres!$A$1:$I$89,3,0)*0.475*44/12</f>
        <v>0</v>
      </c>
      <c r="CM85" s="21">
        <f>EXP(-LN(2)/2)*CM84+(1-EXP(-LN(2)/2))/(LN(2)/2)*CG85*CJ85*VLOOKUP('Données projet'!$B$12,Paramètres!$A$1:$I$89,3,0)*0.475*44/12</f>
        <v>0</v>
      </c>
      <c r="CN85" s="22">
        <f t="shared" si="66"/>
        <v>34.343279603947785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6.6</v>
      </c>
      <c r="CT85" s="12">
        <f>IF('Données projet'!$A$140&gt;35,CT84+CS85-DB84,IF(A85&lt;'Données projet'!$A$140,$CQ$205^A85,IF(A85='Données projet'!$A$140,'Données projet'!$B$140,CT84+CS85-DB84)))</f>
        <v>305.2</v>
      </c>
      <c r="CU85" s="17">
        <f>CT85*VLOOKUP('Données projet'!$B$13,Paramètres!$A$1:$I$89,3,0)*VLOOKUP('Données projet'!$B$13,Paramètres!$A$1:$I$89,5,0)</f>
        <v>309.47280000000001</v>
      </c>
      <c r="CV85" s="13">
        <f t="shared" si="95"/>
        <v>73.15871892427802</v>
      </c>
      <c r="CW85" s="20">
        <f t="shared" si="67"/>
        <v>666.41656212645091</v>
      </c>
      <c r="CX85" s="59">
        <f t="shared" si="68"/>
        <v>959.74989545978428</v>
      </c>
      <c r="CY85" s="59">
        <f ca="1">AVERAGE(OFFSET($CX$3,0,0,'Données projet'!$E$13+1,1))-AVERAGE(OFFSET($H$3,0,0,'Données projet'!$E$13+1,1))</f>
        <v>407.76560346703042</v>
      </c>
      <c r="CZ85" s="59">
        <f t="shared" si="96"/>
        <v>319.35531375725202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33.318107078456819</v>
      </c>
      <c r="DG85" s="21">
        <f>EXP(-LN(2)/25)*DG84+(1-EXP(-LN(2)/25))/(LN(2)/25)*Calculateur!DB85*Calculateur!DD85*VLOOKUP('Données projet'!$B$13,Paramètres!$A$1:$I$89,3,0)*0.475*44/12</f>
        <v>0</v>
      </c>
      <c r="DH85" s="21">
        <f>EXP(-LN(2)/2)*DH84+(1-EXP(-LN(2)/2))/(LN(2)/2)*DB85*DE85*VLOOKUP('Données projet'!$B$13,Paramètres!$A$1:$I$89,3,0)*0.475*44/12</f>
        <v>0</v>
      </c>
      <c r="DI85" s="22">
        <f t="shared" si="69"/>
        <v>33.318107078456819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2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73.803600000000102</v>
      </c>
      <c r="D86" s="11">
        <f t="shared" si="86"/>
        <v>20.615097106698798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728.8460829289038</v>
      </c>
      <c r="H86" s="67">
        <f t="shared" si="56"/>
        <v>421.1125641275006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0</v>
      </c>
      <c r="O86" s="13">
        <f>N86*VLOOKUP('Données projet'!$B$9,Paramètres!$A$1:$I$89,3,0)*VLOOKUP('Données projet'!$B$9,Paramètres!$A$1:$I$89,5,0)</f>
        <v>0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101.15586831191774</v>
      </c>
      <c r="T86" s="59">
        <f t="shared" si="88"/>
        <v>346.96347336689064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14.265400362092757</v>
      </c>
      <c r="AA86" s="21">
        <f>EXP(-LN(2)/25)*AA85+(1-EXP(-LN(2)/25))/(LN(2)/25)*Calculateur!V86*Calculateur!X86*VLOOKUP('Données projet'!$B$9,Paramètres!$A$1:$I$89,3,0)*0.475*44/12</f>
        <v>3.793759193972523</v>
      </c>
      <c r="AB86" s="21">
        <f>EXP(-LN(2)/2)*AB85+(1-EXP(-LN(2)/2))/(LN(2)/2)*V86*Y86*VLOOKUP('Données projet'!$B$9,Paramètres!$A$1:$I$89,3,0)*0.475*44/12</f>
        <v>0</v>
      </c>
      <c r="AC86" s="22">
        <f t="shared" si="57"/>
        <v>18.059159556065282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0</v>
      </c>
      <c r="AJ86" s="13">
        <f>AI86*VLOOKUP('Données projet'!$B$10,Paramètres!$A$1:$I$89,3,0)*VLOOKUP('Données projet'!$B$10,Paramètres!$A$1:$I$89,5,0)</f>
        <v>0</v>
      </c>
      <c r="AK86" s="13" t="e">
        <f t="shared" si="89"/>
        <v>#NUM!</v>
      </c>
      <c r="AL86" s="20" t="e">
        <f t="shared" si="58"/>
        <v>#NUM!</v>
      </c>
      <c r="AM86" s="59" t="e">
        <f t="shared" si="59"/>
        <v>#NUM!</v>
      </c>
      <c r="AN86" s="59">
        <f ca="1">AVERAGE(OFFSET($AM$3,0,0,'Données projet'!$E$10+1,1))-AVERAGE(OFFSET($H$3,0,0,'Données projet'!$E$10+1,1))</f>
        <v>101.15586831191774</v>
      </c>
      <c r="AO86" s="59">
        <f t="shared" si="90"/>
        <v>346.96347336689064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14.265400362092757</v>
      </c>
      <c r="AV86" s="21">
        <f>EXP(-LN(2)/25)*AV85+(1-EXP(-LN(2)/25))/(LN(2)/25)*Calculateur!AQ86*Calculateur!AS86*VLOOKUP('Données projet'!$B$10,Paramètres!$A$1:$I$89,3,0)*0.475*44/12</f>
        <v>3.793759193972523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18.059159556065282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6.6</v>
      </c>
      <c r="BD86" s="12">
        <f>IF('Données projet'!$A$88&gt;35,BD85+BC86-BL85,IF(A86&lt;'Données projet'!$A$88,$BA$205^A86,IF(A86='Données projet'!$A$88,'Données projet'!$B$88,BD85+BC86-BL85)))</f>
        <v>311.8</v>
      </c>
      <c r="BE86" s="13">
        <f>BD86*VLOOKUP('Données projet'!$B$11,Paramètres!$A$1:$I$89,3,0)*VLOOKUP('Données projet'!$B$11,Paramètres!$A$1:$I$89,5,0)</f>
        <v>282.11664000000002</v>
      </c>
      <c r="BF86" s="13">
        <f t="shared" si="91"/>
        <v>67.414119514142243</v>
      </c>
      <c r="BG86" s="20">
        <f t="shared" si="61"/>
        <v>608.76607282046439</v>
      </c>
      <c r="BH86" s="59">
        <f t="shared" si="62"/>
        <v>902.09940615379764</v>
      </c>
      <c r="BI86" s="59">
        <f ca="1">AVERAGE(OFFSET($BH$3,0,0,'Données projet'!$E$11+1,1))-AVERAGE(OFFSET($H$3,0,0,'Données projet'!$E$11+1,1))</f>
        <v>352.62747127358324</v>
      </c>
      <c r="BJ86" s="59">
        <f t="shared" si="92"/>
        <v>283.16932763435011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29.147016009228356</v>
      </c>
      <c r="BQ86" s="21">
        <f>EXP(-LN(2)/25)*BQ85+(1-EXP(-LN(2)/25))/(LN(2)/25)*Calculateur!BL86*Calculateur!BN86*VLOOKUP('Données projet'!$B$11,Paramètres!$A$1:$I$89,3,0)*0.475*44/12</f>
        <v>0</v>
      </c>
      <c r="BR86" s="21">
        <f>EXP(-LN(2)/2)*BR85+(1-EXP(-LN(2)/2))/(LN(2)/2)*BL86*BO86*VLOOKUP('Données projet'!$B$11,Paramètres!$A$1:$I$89,3,0)*0.475*44/12</f>
        <v>0</v>
      </c>
      <c r="BS86" s="22">
        <f t="shared" si="63"/>
        <v>29.147016009228356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6.6</v>
      </c>
      <c r="BY86" s="12">
        <f>IF('Données projet'!$A$114&gt;35,BY85+BX86-CG85,IF(A86&lt;'Données projet'!$A$114,$BV$205^A86,IF(A86='Données projet'!$A$114,'Données projet'!$B$114,BY85+BX86-CG85)))</f>
        <v>311.8</v>
      </c>
      <c r="BZ86" s="13">
        <f>BY86*VLOOKUP('Données projet'!$B$12,Paramètres!$A$1:$I$89,3,0)*VLOOKUP('Données projet'!$B$12,Paramètres!$A$1:$I$89,5,0)</f>
        <v>325.89336000000003</v>
      </c>
      <c r="CA86" s="13">
        <f t="shared" si="93"/>
        <v>76.578276406145193</v>
      </c>
      <c r="CB86" s="20">
        <f t="shared" si="64"/>
        <v>700.97143340736955</v>
      </c>
      <c r="CC86" s="59">
        <f t="shared" si="65"/>
        <v>994.30476674070292</v>
      </c>
      <c r="CD86" s="59">
        <f ca="1">AVERAGE(OFFSET($CC$3,0,0,'Données projet'!$E$12+1,1))-AVERAGE(OFFSET($H$3,0,0,'Données projet'!$E$12+1,1))</f>
        <v>423.49657671419374</v>
      </c>
      <c r="CE86" s="59">
        <f t="shared" si="94"/>
        <v>329.6783569381081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33.669828838246552</v>
      </c>
      <c r="CL86" s="21">
        <f>EXP(-LN(2)/25)*CL85+(1-EXP(-LN(2)/25))/(LN(2)/25)*Calculateur!CG86*Calculateur!CI86*VLOOKUP('Données projet'!$B$12,Paramètres!$A$1:$I$89,3,0)*0.475*44/12</f>
        <v>0</v>
      </c>
      <c r="CM86" s="21">
        <f>EXP(-LN(2)/2)*CM85+(1-EXP(-LN(2)/2))/(LN(2)/2)*CG86*CJ86*VLOOKUP('Données projet'!$B$12,Paramètres!$A$1:$I$89,3,0)*0.475*44/12</f>
        <v>0</v>
      </c>
      <c r="CN86" s="22">
        <f t="shared" si="66"/>
        <v>33.669828838246552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6.6</v>
      </c>
      <c r="CT86" s="12">
        <f>IF('Données projet'!$A$140&gt;35,CT85+CS86-DB85,IF(A86&lt;'Données projet'!$A$140,$CQ$205^A86,IF(A86='Données projet'!$A$140,'Données projet'!$B$140,CT85+CS86-DB85)))</f>
        <v>311.8</v>
      </c>
      <c r="CU86" s="17">
        <f>CT86*VLOOKUP('Données projet'!$B$13,Paramètres!$A$1:$I$89,3,0)*VLOOKUP('Données projet'!$B$13,Paramètres!$A$1:$I$89,5,0)</f>
        <v>316.16520000000003</v>
      </c>
      <c r="CV86" s="13">
        <f t="shared" si="95"/>
        <v>74.554889944758472</v>
      </c>
      <c r="CW86" s="20">
        <f t="shared" si="67"/>
        <v>680.50415665378762</v>
      </c>
      <c r="CX86" s="59">
        <f t="shared" si="68"/>
        <v>973.83748998712099</v>
      </c>
      <c r="CY86" s="59">
        <f ca="1">AVERAGE(OFFSET($CX$3,0,0,'Données projet'!$E$13+1,1))-AVERAGE(OFFSET($H$3,0,0,'Données projet'!$E$13+1,1))</f>
        <v>407.76560346703042</v>
      </c>
      <c r="CZ86" s="59">
        <f t="shared" si="96"/>
        <v>319.35531375725202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projet'!$B$13,Paramètres!$A$1:$I$89,3,0)*0.475*44/12</f>
        <v>32.664759320686962</v>
      </c>
      <c r="DG86" s="21">
        <f>EXP(-LN(2)/25)*DG85+(1-EXP(-LN(2)/25))/(LN(2)/25)*Calculateur!DB86*Calculateur!DD86*VLOOKUP('Données projet'!$B$13,Paramètres!$A$1:$I$89,3,0)*0.475*44/12</f>
        <v>0</v>
      </c>
      <c r="DH86" s="21">
        <f>EXP(-LN(2)/2)*DH85+(1-EXP(-LN(2)/2))/(LN(2)/2)*DB86*DE86*VLOOKUP('Données projet'!$B$13,Paramètres!$A$1:$I$89,3,0)*0.475*44/12</f>
        <v>0</v>
      </c>
      <c r="DI86" s="22">
        <f t="shared" si="69"/>
        <v>32.664759320686962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2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74.692800000000105</v>
      </c>
      <c r="D87" s="11">
        <f t="shared" si="86"/>
        <v>20.834407756242857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737.40300724117378</v>
      </c>
      <c r="H87" s="67">
        <f t="shared" si="56"/>
        <v>423.0432201754565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0</v>
      </c>
      <c r="O87" s="13">
        <f>N87*VLOOKUP('Données projet'!$B$9,Paramètres!$A$1:$I$89,3,0)*VLOOKUP('Données projet'!$B$9,Paramètres!$A$1:$I$89,5,0)</f>
        <v>0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101.15586831191774</v>
      </c>
      <c r="T87" s="59">
        <f t="shared" si="88"/>
        <v>346.96347336689064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13.985664562027184</v>
      </c>
      <c r="AA87" s="21">
        <f>EXP(-LN(2)/25)*AA86+(1-EXP(-LN(2)/25))/(LN(2)/25)*Calculateur!V87*Calculateur!X87*VLOOKUP('Données projet'!$B$9,Paramètres!$A$1:$I$89,3,0)*0.475*44/12</f>
        <v>3.690018649308219</v>
      </c>
      <c r="AB87" s="21">
        <f>EXP(-LN(2)/2)*AB86+(1-EXP(-LN(2)/2))/(LN(2)/2)*V87*Y87*VLOOKUP('Données projet'!$B$9,Paramètres!$A$1:$I$89,3,0)*0.475*44/12</f>
        <v>0</v>
      </c>
      <c r="AC87" s="22">
        <f t="shared" si="57"/>
        <v>17.675683211335404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0</v>
      </c>
      <c r="AJ87" s="13">
        <f>AI87*VLOOKUP('Données projet'!$B$10,Paramètres!$A$1:$I$89,3,0)*VLOOKUP('Données projet'!$B$10,Paramètres!$A$1:$I$89,5,0)</f>
        <v>0</v>
      </c>
      <c r="AK87" s="13" t="e">
        <f t="shared" si="89"/>
        <v>#NUM!</v>
      </c>
      <c r="AL87" s="20" t="e">
        <f t="shared" si="58"/>
        <v>#NUM!</v>
      </c>
      <c r="AM87" s="59" t="e">
        <f t="shared" si="59"/>
        <v>#NUM!</v>
      </c>
      <c r="AN87" s="59">
        <f ca="1">AVERAGE(OFFSET($AM$3,0,0,'Données projet'!$E$10+1,1))-AVERAGE(OFFSET($H$3,0,0,'Données projet'!$E$10+1,1))</f>
        <v>101.15586831191774</v>
      </c>
      <c r="AO87" s="59">
        <f t="shared" si="90"/>
        <v>346.96347336689064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13.985664562027184</v>
      </c>
      <c r="AV87" s="21">
        <f>EXP(-LN(2)/25)*AV86+(1-EXP(-LN(2)/25))/(LN(2)/25)*Calculateur!AQ87*Calculateur!AS87*VLOOKUP('Données projet'!$B$10,Paramètres!$A$1:$I$89,3,0)*0.475*44/12</f>
        <v>3.690018649308219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17.675683211335404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6.6</v>
      </c>
      <c r="BD87" s="12">
        <f>IF('Données projet'!$A$88&gt;35,BD86+BC87-BL86,IF(A87&lt;'Données projet'!$A$88,$BA$205^A87,IF(A87='Données projet'!$A$88,'Données projet'!$B$88,BD86+BC87-BL86)))</f>
        <v>318.40000000000003</v>
      </c>
      <c r="BE87" s="13">
        <f>BD87*VLOOKUP('Données projet'!$B$11,Paramètres!$A$1:$I$89,3,0)*VLOOKUP('Données projet'!$B$11,Paramètres!$A$1:$I$89,5,0)</f>
        <v>288.08832000000001</v>
      </c>
      <c r="BF87" s="13">
        <f t="shared" si="91"/>
        <v>68.673460144735557</v>
      </c>
      <c r="BG87" s="20">
        <f t="shared" si="61"/>
        <v>621.36010041874772</v>
      </c>
      <c r="BH87" s="59">
        <f t="shared" si="62"/>
        <v>914.69343375208109</v>
      </c>
      <c r="BI87" s="59">
        <f ca="1">AVERAGE(OFFSET($BH$3,0,0,'Données projet'!$E$11+1,1))-AVERAGE(OFFSET($H$3,0,0,'Données projet'!$E$11+1,1))</f>
        <v>352.62747127358324</v>
      </c>
      <c r="BJ87" s="59">
        <f t="shared" si="92"/>
        <v>283.16932763435011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28.57546080321173</v>
      </c>
      <c r="BQ87" s="21">
        <f>EXP(-LN(2)/25)*BQ86+(1-EXP(-LN(2)/25))/(LN(2)/25)*Calculateur!BL87*Calculateur!BN87*VLOOKUP('Données projet'!$B$11,Paramètres!$A$1:$I$89,3,0)*0.475*44/12</f>
        <v>0</v>
      </c>
      <c r="BR87" s="21">
        <f>EXP(-LN(2)/2)*BR86+(1-EXP(-LN(2)/2))/(LN(2)/2)*BL87*BO87*VLOOKUP('Données projet'!$B$11,Paramètres!$A$1:$I$89,3,0)*0.475*44/12</f>
        <v>0</v>
      </c>
      <c r="BS87" s="22">
        <f t="shared" si="63"/>
        <v>28.57546080321173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6.6</v>
      </c>
      <c r="BY87" s="12">
        <f>IF('Données projet'!$A$114&gt;35,BY86+BX87-CG86,IF(A87&lt;'Données projet'!$A$114,$BV$205^A87,IF(A87='Données projet'!$A$114,'Données projet'!$B$114,BY86+BX87-CG86)))</f>
        <v>318.40000000000003</v>
      </c>
      <c r="BZ87" s="13">
        <f>BY87*VLOOKUP('Données projet'!$B$12,Paramètres!$A$1:$I$89,3,0)*VLOOKUP('Données projet'!$B$12,Paramètres!$A$1:$I$89,5,0)</f>
        <v>332.79168000000004</v>
      </c>
      <c r="CA87" s="13">
        <f t="shared" si="93"/>
        <v>78.008809588126937</v>
      </c>
      <c r="CB87" s="20">
        <f t="shared" si="64"/>
        <v>715.47751936598786</v>
      </c>
      <c r="CC87" s="59">
        <f t="shared" si="65"/>
        <v>1008.8108526993212</v>
      </c>
      <c r="CD87" s="59">
        <f ca="1">AVERAGE(OFFSET($CC$3,0,0,'Données projet'!$E$12+1,1))-AVERAGE(OFFSET($H$3,0,0,'Données projet'!$E$12+1,1))</f>
        <v>423.49657671419374</v>
      </c>
      <c r="CE87" s="59">
        <f t="shared" si="94"/>
        <v>329.6783569381081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33.009584031296313</v>
      </c>
      <c r="CL87" s="21">
        <f>EXP(-LN(2)/25)*CL86+(1-EXP(-LN(2)/25))/(LN(2)/25)*Calculateur!CG87*Calculateur!CI87*VLOOKUP('Données projet'!$B$12,Paramètres!$A$1:$I$89,3,0)*0.475*44/12</f>
        <v>0</v>
      </c>
      <c r="CM87" s="21">
        <f>EXP(-LN(2)/2)*CM86+(1-EXP(-LN(2)/2))/(LN(2)/2)*CG87*CJ87*VLOOKUP('Données projet'!$B$12,Paramètres!$A$1:$I$89,3,0)*0.475*44/12</f>
        <v>0</v>
      </c>
      <c r="CN87" s="22">
        <f t="shared" si="66"/>
        <v>33.009584031296313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6.6</v>
      </c>
      <c r="CT87" s="12">
        <f>IF('Données projet'!$A$140&gt;35,CT86+CS87-DB86,IF(A87&lt;'Données projet'!$A$140,$CQ$205^A87,IF(A87='Données projet'!$A$140,'Données projet'!$B$140,CT86+CS87-DB86)))</f>
        <v>318.40000000000003</v>
      </c>
      <c r="CU87" s="17">
        <f>CT87*VLOOKUP('Données projet'!$B$13,Paramètres!$A$1:$I$89,3,0)*VLOOKUP('Données projet'!$B$13,Paramètres!$A$1:$I$89,5,0)</f>
        <v>322.85760000000005</v>
      </c>
      <c r="CV87" s="13">
        <f t="shared" si="95"/>
        <v>75.947624920658441</v>
      </c>
      <c r="CW87" s="20">
        <f t="shared" si="67"/>
        <v>694.58576673681353</v>
      </c>
      <c r="CX87" s="59">
        <f t="shared" si="68"/>
        <v>987.9191000701469</v>
      </c>
      <c r="CY87" s="59">
        <f ca="1">AVERAGE(OFFSET($CX$3,0,0,'Données projet'!$E$13+1,1))-AVERAGE(OFFSET($H$3,0,0,'Données projet'!$E$13+1,1))</f>
        <v>407.76560346703042</v>
      </c>
      <c r="CZ87" s="59">
        <f t="shared" si="96"/>
        <v>319.35531375725202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>
        <f>EXP(-LN(2)/35)*DF86+(1-EXP(-LN(2)/35))/(LN(2)/35)*DB87*DC87*VLOOKUP('Données projet'!$B$13,Paramètres!$A$1:$I$89,3,0)*0.475*44/12</f>
        <v>32.024223313944191</v>
      </c>
      <c r="DG87" s="21">
        <f>EXP(-LN(2)/25)*DG86+(1-EXP(-LN(2)/25))/(LN(2)/25)*Calculateur!DB87*Calculateur!DD87*VLOOKUP('Données projet'!$B$13,Paramètres!$A$1:$I$89,3,0)*0.475*44/12</f>
        <v>0</v>
      </c>
      <c r="DH87" s="21">
        <f>EXP(-LN(2)/2)*DH86+(1-EXP(-LN(2)/2))/(LN(2)/2)*DB87*DE87*VLOOKUP('Données projet'!$B$13,Paramètres!$A$1:$I$89,3,0)*0.475*44/12</f>
        <v>0</v>
      </c>
      <c r="DI87" s="22">
        <f t="shared" si="69"/>
        <v>32.024223313944191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2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75.582000000000107</v>
      </c>
      <c r="D88" s="11">
        <f t="shared" si="86"/>
        <v>21.053414706764155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745.95758721011009</v>
      </c>
      <c r="H88" s="67">
        <f t="shared" si="56"/>
        <v>424.97334728094779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0</v>
      </c>
      <c r="O88" s="13">
        <f>N88*VLOOKUP('Données projet'!$B$9,Paramètres!$A$1:$I$89,3,0)*VLOOKUP('Données projet'!$B$9,Paramètres!$A$1:$I$89,5,0)</f>
        <v>0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101.15586831191774</v>
      </c>
      <c r="T88" s="59">
        <f t="shared" si="88"/>
        <v>346.96347336689064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13.711414210378905</v>
      </c>
      <c r="AA88" s="21">
        <f>EXP(-LN(2)/25)*AA87+(1-EXP(-LN(2)/25))/(LN(2)/25)*Calculateur!V88*Calculateur!X88*VLOOKUP('Données projet'!$B$9,Paramètres!$A$1:$I$89,3,0)*0.475*44/12</f>
        <v>3.5891148952932386</v>
      </c>
      <c r="AB88" s="21">
        <f>EXP(-LN(2)/2)*AB87+(1-EXP(-LN(2)/2))/(LN(2)/2)*V88*Y88*VLOOKUP('Données projet'!$B$9,Paramètres!$A$1:$I$89,3,0)*0.475*44/12</f>
        <v>0</v>
      </c>
      <c r="AC88" s="22">
        <f t="shared" si="57"/>
        <v>17.300529105672144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0</v>
      </c>
      <c r="AJ88" s="13">
        <f>AI88*VLOOKUP('Données projet'!$B$10,Paramètres!$A$1:$I$89,3,0)*VLOOKUP('Données projet'!$B$10,Paramètres!$A$1:$I$89,5,0)</f>
        <v>0</v>
      </c>
      <c r="AK88" s="13" t="e">
        <f t="shared" si="89"/>
        <v>#NUM!</v>
      </c>
      <c r="AL88" s="20" t="e">
        <f t="shared" si="58"/>
        <v>#NUM!</v>
      </c>
      <c r="AM88" s="59" t="e">
        <f t="shared" si="59"/>
        <v>#NUM!</v>
      </c>
      <c r="AN88" s="59">
        <f ca="1">AVERAGE(OFFSET($AM$3,0,0,'Données projet'!$E$10+1,1))-AVERAGE(OFFSET($H$3,0,0,'Données projet'!$E$10+1,1))</f>
        <v>101.15586831191774</v>
      </c>
      <c r="AO88" s="59">
        <f t="shared" si="90"/>
        <v>346.96347336689064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13.711414210378905</v>
      </c>
      <c r="AV88" s="21">
        <f>EXP(-LN(2)/25)*AV87+(1-EXP(-LN(2)/25))/(LN(2)/25)*Calculateur!AQ88*Calculateur!AS88*VLOOKUP('Données projet'!$B$10,Paramètres!$A$1:$I$89,3,0)*0.475*44/12</f>
        <v>3.5891148952932386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17.300529105672144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6.6</v>
      </c>
      <c r="BD88" s="12">
        <f>IF('Données projet'!$A$88&gt;35,BD87+BC88-BL87,IF(A88&lt;'Données projet'!$A$88,$BA$205^A88,IF(A88='Données projet'!$A$88,'Données projet'!$B$88,BD87+BC88-BL87)))</f>
        <v>325.00000000000006</v>
      </c>
      <c r="BE88" s="13">
        <f>BD88*VLOOKUP('Données projet'!$B$11,Paramètres!$A$1:$I$89,3,0)*VLOOKUP('Données projet'!$B$11,Paramètres!$A$1:$I$89,5,0)</f>
        <v>294.06000000000006</v>
      </c>
      <c r="BF88" s="13">
        <f t="shared" si="91"/>
        <v>69.929765653573369</v>
      </c>
      <c r="BG88" s="20">
        <f t="shared" si="61"/>
        <v>633.94884184664033</v>
      </c>
      <c r="BH88" s="59">
        <f t="shared" si="62"/>
        <v>927.28217517997359</v>
      </c>
      <c r="BI88" s="59">
        <f ca="1">AVERAGE(OFFSET($BH$3,0,0,'Données projet'!$E$11+1,1))-AVERAGE(OFFSET($H$3,0,0,'Données projet'!$E$11+1,1))</f>
        <v>352.62747127358324</v>
      </c>
      <c r="BJ88" s="59">
        <f t="shared" si="92"/>
        <v>283.16932763435011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28.015113446170837</v>
      </c>
      <c r="BQ88" s="21">
        <f>EXP(-LN(2)/25)*BQ87+(1-EXP(-LN(2)/25))/(LN(2)/25)*Calculateur!BL88*Calculateur!BN88*VLOOKUP('Données projet'!$B$11,Paramètres!$A$1:$I$89,3,0)*0.475*44/12</f>
        <v>0</v>
      </c>
      <c r="BR88" s="21">
        <f>EXP(-LN(2)/2)*BR87+(1-EXP(-LN(2)/2))/(LN(2)/2)*BL88*BO88*VLOOKUP('Données projet'!$B$11,Paramètres!$A$1:$I$89,3,0)*0.475*44/12</f>
        <v>0</v>
      </c>
      <c r="BS88" s="22">
        <f t="shared" si="63"/>
        <v>28.015113446170837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6.6</v>
      </c>
      <c r="BY88" s="12">
        <f>IF('Données projet'!$A$114&gt;35,BY87+BX88-CG87,IF(A88&lt;'Données projet'!$A$114,$BV$205^A88,IF(A88='Données projet'!$A$114,'Données projet'!$B$114,BY87+BX88-CG87)))</f>
        <v>325.00000000000006</v>
      </c>
      <c r="BZ88" s="13">
        <f>BY88*VLOOKUP('Données projet'!$B$12,Paramètres!$A$1:$I$89,3,0)*VLOOKUP('Données projet'!$B$12,Paramètres!$A$1:$I$89,5,0)</f>
        <v>339.69000000000011</v>
      </c>
      <c r="CA88" s="13">
        <f t="shared" si="93"/>
        <v>79.435895059237609</v>
      </c>
      <c r="CB88" s="20">
        <f t="shared" si="64"/>
        <v>729.97760056150571</v>
      </c>
      <c r="CC88" s="59">
        <f t="shared" si="65"/>
        <v>1023.3109338948391</v>
      </c>
      <c r="CD88" s="59">
        <f ca="1">AVERAGE(OFFSET($CC$3,0,0,'Données projet'!$E$12+1,1))-AVERAGE(OFFSET($H$3,0,0,'Données projet'!$E$12+1,1))</f>
        <v>423.49657671419374</v>
      </c>
      <c r="CE88" s="59">
        <f t="shared" si="94"/>
        <v>329.6783569381081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32.362286222300796</v>
      </c>
      <c r="CL88" s="21">
        <f>EXP(-LN(2)/25)*CL87+(1-EXP(-LN(2)/25))/(LN(2)/25)*Calculateur!CG88*Calculateur!CI88*VLOOKUP('Données projet'!$B$12,Paramètres!$A$1:$I$89,3,0)*0.475*44/12</f>
        <v>0</v>
      </c>
      <c r="CM88" s="21">
        <f>EXP(-LN(2)/2)*CM87+(1-EXP(-LN(2)/2))/(LN(2)/2)*CG88*CJ88*VLOOKUP('Données projet'!$B$12,Paramètres!$A$1:$I$89,3,0)*0.475*44/12</f>
        <v>0</v>
      </c>
      <c r="CN88" s="22">
        <f t="shared" si="66"/>
        <v>32.362286222300796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6.6</v>
      </c>
      <c r="CT88" s="12">
        <f>IF('Données projet'!$A$140&gt;35,CT87+CS88-DB87,IF(A88&lt;'Données projet'!$A$140,$CQ$205^A88,IF(A88='Données projet'!$A$140,'Données projet'!$B$140,CT87+CS88-DB87)))</f>
        <v>325.00000000000006</v>
      </c>
      <c r="CU88" s="17">
        <f>CT88*VLOOKUP('Données projet'!$B$13,Paramètres!$A$1:$I$89,3,0)*VLOOKUP('Données projet'!$B$13,Paramètres!$A$1:$I$89,5,0)</f>
        <v>329.55000000000013</v>
      </c>
      <c r="CV88" s="13">
        <f t="shared" si="95"/>
        <v>77.337003282690645</v>
      </c>
      <c r="CW88" s="20">
        <f t="shared" si="67"/>
        <v>708.661530717353</v>
      </c>
      <c r="CX88" s="59">
        <f t="shared" si="68"/>
        <v>1001.9948640506864</v>
      </c>
      <c r="CY88" s="59">
        <f ca="1">AVERAGE(OFFSET($CX$3,0,0,'Données projet'!$E$13+1,1))-AVERAGE(OFFSET($H$3,0,0,'Données projet'!$E$13+1,1))</f>
        <v>407.76560346703042</v>
      </c>
      <c r="CZ88" s="59">
        <f t="shared" si="96"/>
        <v>319.35531375725202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>
        <f>EXP(-LN(2)/35)*DF87+(1-EXP(-LN(2)/35))/(LN(2)/35)*DB88*DC88*VLOOKUP('Données projet'!$B$13,Paramètres!$A$1:$I$89,3,0)*0.475*44/12</f>
        <v>31.396247827605258</v>
      </c>
      <c r="DG88" s="21">
        <f>EXP(-LN(2)/25)*DG87+(1-EXP(-LN(2)/25))/(LN(2)/25)*Calculateur!DB88*Calculateur!DD88*VLOOKUP('Données projet'!$B$13,Paramètres!$A$1:$I$89,3,0)*0.475*44/12</f>
        <v>0</v>
      </c>
      <c r="DH88" s="21">
        <f>EXP(-LN(2)/2)*DH87+(1-EXP(-LN(2)/2))/(LN(2)/2)*DB88*DE88*VLOOKUP('Données projet'!$B$13,Paramètres!$A$1:$I$89,3,0)*0.475*44/12</f>
        <v>0</v>
      </c>
      <c r="DI88" s="22">
        <f t="shared" si="69"/>
        <v>31.396247827605258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2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76.47120000000011</v>
      </c>
      <c r="D89" s="11">
        <f t="shared" si="86"/>
        <v>21.272121944536373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754.50985360694824</v>
      </c>
      <c r="H89" s="67">
        <f t="shared" si="56"/>
        <v>426.9029523867344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0</v>
      </c>
      <c r="O89" s="13">
        <f>N89*VLOOKUP('Données projet'!$B$9,Paramètres!$A$1:$I$89,3,0)*VLOOKUP('Données projet'!$B$9,Paramètres!$A$1:$I$89,5,0)</f>
        <v>0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101.15586831191774</v>
      </c>
      <c r="T89" s="59">
        <f t="shared" si="88"/>
        <v>346.96347336689064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13.442541740850253</v>
      </c>
      <c r="AA89" s="21">
        <f>EXP(-LN(2)/25)*AA88+(1-EXP(-LN(2)/25))/(LN(2)/25)*Calculateur!V89*Calculateur!X89*VLOOKUP('Données projet'!$B$9,Paramètres!$A$1:$I$89,3,0)*0.475*44/12</f>
        <v>3.4909703597380957</v>
      </c>
      <c r="AB89" s="21">
        <f>EXP(-LN(2)/2)*AB88+(1-EXP(-LN(2)/2))/(LN(2)/2)*V89*Y89*VLOOKUP('Données projet'!$B$9,Paramètres!$A$1:$I$89,3,0)*0.475*44/12</f>
        <v>0</v>
      </c>
      <c r="AC89" s="22">
        <f t="shared" si="57"/>
        <v>16.933512100588349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0</v>
      </c>
      <c r="AJ89" s="13">
        <f>AI89*VLOOKUP('Données projet'!$B$10,Paramètres!$A$1:$I$89,3,0)*VLOOKUP('Données projet'!$B$10,Paramètres!$A$1:$I$89,5,0)</f>
        <v>0</v>
      </c>
      <c r="AK89" s="13" t="e">
        <f t="shared" si="89"/>
        <v>#NUM!</v>
      </c>
      <c r="AL89" s="20" t="e">
        <f t="shared" si="58"/>
        <v>#NUM!</v>
      </c>
      <c r="AM89" s="59" t="e">
        <f t="shared" si="59"/>
        <v>#NUM!</v>
      </c>
      <c r="AN89" s="59">
        <f ca="1">AVERAGE(OFFSET($AM$3,0,0,'Données projet'!$E$10+1,1))-AVERAGE(OFFSET($H$3,0,0,'Données projet'!$E$10+1,1))</f>
        <v>101.15586831191774</v>
      </c>
      <c r="AO89" s="59">
        <f t="shared" si="90"/>
        <v>346.96347336689064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13.442541740850253</v>
      </c>
      <c r="AV89" s="21">
        <f>EXP(-LN(2)/25)*AV88+(1-EXP(-LN(2)/25))/(LN(2)/25)*Calculateur!AQ89*Calculateur!AS89*VLOOKUP('Données projet'!$B$10,Paramètres!$A$1:$I$89,3,0)*0.475*44/12</f>
        <v>3.4909703597380957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16.933512100588349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6.6</v>
      </c>
      <c r="BD89" s="12">
        <f>IF('Données projet'!$A$88&gt;35,BD88+BC89-BL88,IF(A89&lt;'Données projet'!$A$88,$BA$205^A89,IF(A89='Données projet'!$A$88,'Données projet'!$B$88,BD88+BC89-BL88)))</f>
        <v>331.60000000000008</v>
      </c>
      <c r="BE89" s="13">
        <f>BD89*VLOOKUP('Données projet'!$B$11,Paramètres!$A$1:$I$89,3,0)*VLOOKUP('Données projet'!$B$11,Paramètres!$A$1:$I$89,5,0)</f>
        <v>300.03168000000005</v>
      </c>
      <c r="BF89" s="13">
        <f t="shared" si="91"/>
        <v>71.183104779714938</v>
      </c>
      <c r="BG89" s="20">
        <f t="shared" si="61"/>
        <v>646.53241682467024</v>
      </c>
      <c r="BH89" s="59">
        <f t="shared" si="62"/>
        <v>939.86575015800349</v>
      </c>
      <c r="BI89" s="59">
        <f ca="1">AVERAGE(OFFSET($BH$3,0,0,'Données projet'!$E$11+1,1))-AVERAGE(OFFSET($H$3,0,0,'Données projet'!$E$11+1,1))</f>
        <v>352.62747127358324</v>
      </c>
      <c r="BJ89" s="59">
        <f t="shared" si="92"/>
        <v>283.16932763435011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27.465754159023376</v>
      </c>
      <c r="BQ89" s="21">
        <f>EXP(-LN(2)/25)*BQ88+(1-EXP(-LN(2)/25))/(LN(2)/25)*Calculateur!BL89*Calculateur!BN89*VLOOKUP('Données projet'!$B$11,Paramètres!$A$1:$I$89,3,0)*0.475*44/12</f>
        <v>0</v>
      </c>
      <c r="BR89" s="21">
        <f>EXP(-LN(2)/2)*BR88+(1-EXP(-LN(2)/2))/(LN(2)/2)*BL89*BO89*VLOOKUP('Données projet'!$B$11,Paramètres!$A$1:$I$89,3,0)*0.475*44/12</f>
        <v>0</v>
      </c>
      <c r="BS89" s="22">
        <f t="shared" si="63"/>
        <v>27.465754159023376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6.6</v>
      </c>
      <c r="BY89" s="12">
        <f>IF('Données projet'!$A$114&gt;35,BY88+BX89-CG88,IF(A89&lt;'Données projet'!$A$114,$BV$205^A89,IF(A89='Données projet'!$A$114,'Données projet'!$B$114,BY88+BX89-CG88)))</f>
        <v>331.60000000000008</v>
      </c>
      <c r="BZ89" s="13">
        <f>BY89*VLOOKUP('Données projet'!$B$12,Paramètres!$A$1:$I$89,3,0)*VLOOKUP('Données projet'!$B$12,Paramètres!$A$1:$I$89,5,0)</f>
        <v>346.58832000000012</v>
      </c>
      <c r="CA89" s="13">
        <f t="shared" si="93"/>
        <v>80.859610902803155</v>
      </c>
      <c r="CB89" s="20">
        <f t="shared" si="64"/>
        <v>744.47181298904889</v>
      </c>
      <c r="CC89" s="59">
        <f t="shared" si="65"/>
        <v>1037.8051463223821</v>
      </c>
      <c r="CD89" s="59">
        <f ca="1">AVERAGE(OFFSET($CC$3,0,0,'Données projet'!$E$12+1,1))-AVERAGE(OFFSET($H$3,0,0,'Données projet'!$E$12+1,1))</f>
        <v>423.49657671419374</v>
      </c>
      <c r="CE89" s="59">
        <f t="shared" si="94"/>
        <v>329.6783569381081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31.727681528527004</v>
      </c>
      <c r="CL89" s="21">
        <f>EXP(-LN(2)/25)*CL88+(1-EXP(-LN(2)/25))/(LN(2)/25)*Calculateur!CG89*Calculateur!CI89*VLOOKUP('Données projet'!$B$12,Paramètres!$A$1:$I$89,3,0)*0.475*44/12</f>
        <v>0</v>
      </c>
      <c r="CM89" s="21">
        <f>EXP(-LN(2)/2)*CM88+(1-EXP(-LN(2)/2))/(LN(2)/2)*CG89*CJ89*VLOOKUP('Données projet'!$B$12,Paramètres!$A$1:$I$89,3,0)*0.475*44/12</f>
        <v>0</v>
      </c>
      <c r="CN89" s="22">
        <f t="shared" si="66"/>
        <v>31.727681528527004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6.6</v>
      </c>
      <c r="CT89" s="12">
        <f>IF('Données projet'!$A$140&gt;35,CT88+CS89-DB88,IF(A89&lt;'Données projet'!$A$140,$CQ$205^A89,IF(A89='Données projet'!$A$140,'Données projet'!$B$140,CT88+CS89-DB88)))</f>
        <v>331.60000000000008</v>
      </c>
      <c r="CU89" s="17">
        <f>CT89*VLOOKUP('Données projet'!$B$13,Paramètres!$A$1:$I$89,3,0)*VLOOKUP('Données projet'!$B$13,Paramètres!$A$1:$I$89,5,0)</f>
        <v>336.24240000000009</v>
      </c>
      <c r="CV89" s="13">
        <f t="shared" si="95"/>
        <v>78.723101051027399</v>
      </c>
      <c r="CW89" s="20">
        <f t="shared" si="67"/>
        <v>722.73158099720615</v>
      </c>
      <c r="CX89" s="59">
        <f t="shared" si="68"/>
        <v>1016.0649143305395</v>
      </c>
      <c r="CY89" s="59">
        <f ca="1">AVERAGE(OFFSET($CX$3,0,0,'Données projet'!$E$13+1,1))-AVERAGE(OFFSET($H$3,0,0,'Données projet'!$E$13+1,1))</f>
        <v>407.76560346703042</v>
      </c>
      <c r="CZ89" s="59">
        <f t="shared" si="96"/>
        <v>319.35531375725202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30.780586557526206</v>
      </c>
      <c r="DG89" s="21">
        <f>EXP(-LN(2)/25)*DG88+(1-EXP(-LN(2)/25))/(LN(2)/25)*Calculateur!DB89*Calculateur!DD89*VLOOKUP('Données projet'!$B$13,Paramètres!$A$1:$I$89,3,0)*0.475*44/12</f>
        <v>0</v>
      </c>
      <c r="DH89" s="21">
        <f>EXP(-LN(2)/2)*DH88+(1-EXP(-LN(2)/2))/(LN(2)/2)*DB89*DE89*VLOOKUP('Données projet'!$B$13,Paramètres!$A$1:$I$89,3,0)*0.475*44/12</f>
        <v>0</v>
      </c>
      <c r="DI89" s="22">
        <f t="shared" si="69"/>
        <v>30.780586557526206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2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77.360400000000112</v>
      </c>
      <c r="D90" s="11">
        <f t="shared" si="86"/>
        <v>21.490533357793517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763.05983644612627</v>
      </c>
      <c r="H90" s="67">
        <f t="shared" si="56"/>
        <v>428.83204226482388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0</v>
      </c>
      <c r="O90" s="13">
        <f>N90*VLOOKUP('Données projet'!$B$9,Paramètres!$A$1:$I$89,3,0)*VLOOKUP('Données projet'!$B$9,Paramètres!$A$1:$I$89,5,0)</f>
        <v>0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101.15586831191774</v>
      </c>
      <c r="T90" s="59">
        <f t="shared" si="88"/>
        <v>346.96347336689064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13.178941696453043</v>
      </c>
      <c r="AA90" s="21">
        <f>EXP(-LN(2)/25)*AA89+(1-EXP(-LN(2)/25))/(LN(2)/25)*Calculateur!V90*Calculateur!X90*VLOOKUP('Données projet'!$B$9,Paramètres!$A$1:$I$89,3,0)*0.475*44/12</f>
        <v>3.3955095916689051</v>
      </c>
      <c r="AB90" s="21">
        <f>EXP(-LN(2)/2)*AB89+(1-EXP(-LN(2)/2))/(LN(2)/2)*V90*Y90*VLOOKUP('Données projet'!$B$9,Paramètres!$A$1:$I$89,3,0)*0.475*44/12</f>
        <v>0</v>
      </c>
      <c r="AC90" s="22">
        <f t="shared" si="57"/>
        <v>16.574451288121949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0</v>
      </c>
      <c r="AJ90" s="13">
        <f>AI90*VLOOKUP('Données projet'!$B$10,Paramètres!$A$1:$I$89,3,0)*VLOOKUP('Données projet'!$B$10,Paramètres!$A$1:$I$89,5,0)</f>
        <v>0</v>
      </c>
      <c r="AK90" s="13" t="e">
        <f t="shared" si="89"/>
        <v>#NUM!</v>
      </c>
      <c r="AL90" s="20" t="e">
        <f t="shared" si="58"/>
        <v>#NUM!</v>
      </c>
      <c r="AM90" s="59" t="e">
        <f t="shared" si="59"/>
        <v>#NUM!</v>
      </c>
      <c r="AN90" s="59">
        <f ca="1">AVERAGE(OFFSET($AM$3,0,0,'Données projet'!$E$10+1,1))-AVERAGE(OFFSET($H$3,0,0,'Données projet'!$E$10+1,1))</f>
        <v>101.15586831191774</v>
      </c>
      <c r="AO90" s="59">
        <f t="shared" si="90"/>
        <v>346.96347336689064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13.178941696453043</v>
      </c>
      <c r="AV90" s="21">
        <f>EXP(-LN(2)/25)*AV89+(1-EXP(-LN(2)/25))/(LN(2)/25)*Calculateur!AQ90*Calculateur!AS90*VLOOKUP('Données projet'!$B$10,Paramètres!$A$1:$I$89,3,0)*0.475*44/12</f>
        <v>3.3955095916689051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16.574451288121949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6.6</v>
      </c>
      <c r="BD90" s="12">
        <f>IF('Données projet'!$A$88&gt;35,BD89+BC90-BL89,IF(A90&lt;'Données projet'!$A$88,$BA$205^A90,IF(A90='Données projet'!$A$88,'Données projet'!$B$88,BD89+BC90-BL89)))</f>
        <v>338.2000000000001</v>
      </c>
      <c r="BE90" s="13">
        <f>BD90*VLOOKUP('Données projet'!$B$11,Paramètres!$A$1:$I$89,3,0)*VLOOKUP('Données projet'!$B$11,Paramètres!$A$1:$I$89,5,0)</f>
        <v>306.00336000000004</v>
      </c>
      <c r="BF90" s="13">
        <f t="shared" si="91"/>
        <v>72.433543369450447</v>
      </c>
      <c r="BG90" s="20">
        <f t="shared" si="61"/>
        <v>659.11094003512619</v>
      </c>
      <c r="BH90" s="59">
        <f t="shared" si="62"/>
        <v>952.44427336845956</v>
      </c>
      <c r="BI90" s="59">
        <f ca="1">AVERAGE(OFFSET($BH$3,0,0,'Données projet'!$E$11+1,1))-AVERAGE(OFFSET($H$3,0,0,'Données projet'!$E$11+1,1))</f>
        <v>352.62747127358324</v>
      </c>
      <c r="BJ90" s="59">
        <f t="shared" si="92"/>
        <v>283.16932763435011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26.927167472420798</v>
      </c>
      <c r="BQ90" s="21">
        <f>EXP(-LN(2)/25)*BQ89+(1-EXP(-LN(2)/25))/(LN(2)/25)*Calculateur!BL90*Calculateur!BN90*VLOOKUP('Données projet'!$B$11,Paramètres!$A$1:$I$89,3,0)*0.475*44/12</f>
        <v>0</v>
      </c>
      <c r="BR90" s="21">
        <f>EXP(-LN(2)/2)*BR89+(1-EXP(-LN(2)/2))/(LN(2)/2)*BL90*BO90*VLOOKUP('Données projet'!$B$11,Paramètres!$A$1:$I$89,3,0)*0.475*44/12</f>
        <v>0</v>
      </c>
      <c r="BS90" s="22">
        <f t="shared" si="63"/>
        <v>26.927167472420798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6.6</v>
      </c>
      <c r="BY90" s="12">
        <f>IF('Données projet'!$A$114&gt;35,BY89+BX90-CG89,IF(A90&lt;'Données projet'!$A$114,$BV$205^A90,IF(A90='Données projet'!$A$114,'Données projet'!$B$114,BY89+BX90-CG89)))</f>
        <v>338.2000000000001</v>
      </c>
      <c r="BZ90" s="13">
        <f>BY90*VLOOKUP('Données projet'!$B$12,Paramètres!$A$1:$I$89,3,0)*VLOOKUP('Données projet'!$B$12,Paramètres!$A$1:$I$89,5,0)</f>
        <v>353.48664000000014</v>
      </c>
      <c r="CA90" s="13">
        <f t="shared" si="93"/>
        <v>82.280031916142704</v>
      </c>
      <c r="CB90" s="20">
        <f t="shared" si="64"/>
        <v>758.96028692061543</v>
      </c>
      <c r="CC90" s="59">
        <f t="shared" si="65"/>
        <v>1052.2936202539488</v>
      </c>
      <c r="CD90" s="59">
        <f ca="1">AVERAGE(OFFSET($CC$3,0,0,'Données projet'!$E$12+1,1))-AVERAGE(OFFSET($H$3,0,0,'Données projet'!$E$12+1,1))</f>
        <v>423.49657671419374</v>
      </c>
      <c r="CE90" s="59">
        <f t="shared" si="94"/>
        <v>329.6783569381081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31.105521045727475</v>
      </c>
      <c r="CL90" s="21">
        <f>EXP(-LN(2)/25)*CL89+(1-EXP(-LN(2)/25))/(LN(2)/25)*Calculateur!CG90*Calculateur!CI90*VLOOKUP('Données projet'!$B$12,Paramètres!$A$1:$I$89,3,0)*0.475*44/12</f>
        <v>0</v>
      </c>
      <c r="CM90" s="21">
        <f>EXP(-LN(2)/2)*CM89+(1-EXP(-LN(2)/2))/(LN(2)/2)*CG90*CJ90*VLOOKUP('Données projet'!$B$12,Paramètres!$A$1:$I$89,3,0)*0.475*44/12</f>
        <v>0</v>
      </c>
      <c r="CN90" s="22">
        <f t="shared" si="66"/>
        <v>31.105521045727475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6.6</v>
      </c>
      <c r="CT90" s="12">
        <f>IF('Données projet'!$A$140&gt;35,CT89+CS90-DB89,IF(A90&lt;'Données projet'!$A$140,$CQ$205^A90,IF(A90='Données projet'!$A$140,'Données projet'!$B$140,CT89+CS90-DB89)))</f>
        <v>338.2000000000001</v>
      </c>
      <c r="CU90" s="17">
        <f>CT90*VLOOKUP('Données projet'!$B$13,Paramètres!$A$1:$I$89,3,0)*VLOOKUP('Données projet'!$B$13,Paramètres!$A$1:$I$89,5,0)</f>
        <v>342.93480000000011</v>
      </c>
      <c r="CV90" s="13">
        <f t="shared" si="95"/>
        <v>80.105991046658843</v>
      </c>
      <c r="CW90" s="20">
        <f t="shared" si="67"/>
        <v>736.79604440626429</v>
      </c>
      <c r="CX90" s="59">
        <f t="shared" si="68"/>
        <v>1030.1293777395977</v>
      </c>
      <c r="CY90" s="59">
        <f ca="1">AVERAGE(OFFSET($CX$3,0,0,'Données projet'!$E$13+1,1))-AVERAGE(OFFSET($H$3,0,0,'Données projet'!$E$13+1,1))</f>
        <v>407.76560346703042</v>
      </c>
      <c r="CZ90" s="59">
        <f t="shared" si="96"/>
        <v>319.35531375725202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30.176998029437108</v>
      </c>
      <c r="DG90" s="21">
        <f>EXP(-LN(2)/25)*DG89+(1-EXP(-LN(2)/25))/(LN(2)/25)*Calculateur!DB90*Calculateur!DD90*VLOOKUP('Données projet'!$B$13,Paramètres!$A$1:$I$89,3,0)*0.475*44/12</f>
        <v>0</v>
      </c>
      <c r="DH90" s="21">
        <f>EXP(-LN(2)/2)*DH89+(1-EXP(-LN(2)/2))/(LN(2)/2)*DB90*DE90*VLOOKUP('Données projet'!$B$13,Paramètres!$A$1:$I$89,3,0)*0.475*44/12</f>
        <v>0</v>
      </c>
      <c r="DI90" s="22">
        <f t="shared" si="69"/>
        <v>30.176998029437108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2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78.249600000000115</v>
      </c>
      <c r="D91" s="11">
        <f t="shared" si="86"/>
        <v>21.70865274023982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771.60756501237847</v>
      </c>
      <c r="H91" s="67">
        <f t="shared" si="56"/>
        <v>430.76062352258458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0</v>
      </c>
      <c r="O91" s="13">
        <f>N91*VLOOKUP('Données projet'!$B$9,Paramètres!$A$1:$I$89,3,0)*VLOOKUP('Données projet'!$B$9,Paramètres!$A$1:$I$89,5,0)</f>
        <v>0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101.15586831191774</v>
      </c>
      <c r="T91" s="59">
        <f t="shared" si="88"/>
        <v>346.96347336689064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12.920510688146312</v>
      </c>
      <c r="AA91" s="21">
        <f>EXP(-LN(2)/25)*AA90+(1-EXP(-LN(2)/25))/(LN(2)/25)*Calculateur!V91*Calculateur!X91*VLOOKUP('Données projet'!$B$9,Paramètres!$A$1:$I$89,3,0)*0.475*44/12</f>
        <v>3.3026592033226301</v>
      </c>
      <c r="AB91" s="21">
        <f>EXP(-LN(2)/2)*AB90+(1-EXP(-LN(2)/2))/(LN(2)/2)*V91*Y91*VLOOKUP('Données projet'!$B$9,Paramètres!$A$1:$I$89,3,0)*0.475*44/12</f>
        <v>0</v>
      </c>
      <c r="AC91" s="22">
        <f t="shared" si="57"/>
        <v>16.223169891468942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0</v>
      </c>
      <c r="AJ91" s="13">
        <f>AI91*VLOOKUP('Données projet'!$B$10,Paramètres!$A$1:$I$89,3,0)*VLOOKUP('Données projet'!$B$10,Paramètres!$A$1:$I$89,5,0)</f>
        <v>0</v>
      </c>
      <c r="AK91" s="13" t="e">
        <f t="shared" si="89"/>
        <v>#NUM!</v>
      </c>
      <c r="AL91" s="20" t="e">
        <f t="shared" si="58"/>
        <v>#NUM!</v>
      </c>
      <c r="AM91" s="59" t="e">
        <f t="shared" si="59"/>
        <v>#NUM!</v>
      </c>
      <c r="AN91" s="59">
        <f ca="1">AVERAGE(OFFSET($AM$3,0,0,'Données projet'!$E$10+1,1))-AVERAGE(OFFSET($H$3,0,0,'Données projet'!$E$10+1,1))</f>
        <v>101.15586831191774</v>
      </c>
      <c r="AO91" s="59">
        <f t="shared" si="90"/>
        <v>346.96347336689064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12.920510688146312</v>
      </c>
      <c r="AV91" s="21">
        <f>EXP(-LN(2)/25)*AV90+(1-EXP(-LN(2)/25))/(LN(2)/25)*Calculateur!AQ91*Calculateur!AS91*VLOOKUP('Données projet'!$B$10,Paramètres!$A$1:$I$89,3,0)*0.475*44/12</f>
        <v>3.3026592033226301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16.223169891468942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6.6</v>
      </c>
      <c r="BD91" s="12">
        <f>IF('Données projet'!$A$88&gt;35,BD90+BC91-BL90,IF(A91&lt;'Données projet'!$A$88,$BA$205^A91,IF(A91='Données projet'!$A$88,'Données projet'!$B$88,BD90+BC91-BL90)))</f>
        <v>344.80000000000013</v>
      </c>
      <c r="BE91" s="13">
        <f>BD91*VLOOKUP('Données projet'!$B$11,Paramètres!$A$1:$I$89,3,0)*VLOOKUP('Données projet'!$B$11,Paramètres!$A$1:$I$89,5,0)</f>
        <v>311.97504000000009</v>
      </c>
      <c r="BF91" s="13">
        <f t="shared" si="91"/>
        <v>73.681144552074599</v>
      </c>
      <c r="BG91" s="20">
        <f t="shared" si="61"/>
        <v>671.68452142819672</v>
      </c>
      <c r="BH91" s="59">
        <f t="shared" si="62"/>
        <v>965.01785476153009</v>
      </c>
      <c r="BI91" s="59">
        <f ca="1">AVERAGE(OFFSET($BH$3,0,0,'Données projet'!$E$11+1,1))-AVERAGE(OFFSET($H$3,0,0,'Données projet'!$E$11+1,1))</f>
        <v>352.62747127358324</v>
      </c>
      <c r="BJ91" s="59">
        <f t="shared" si="92"/>
        <v>283.16932763435011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26.399142142237054</v>
      </c>
      <c r="BQ91" s="21">
        <f>EXP(-LN(2)/25)*BQ90+(1-EXP(-LN(2)/25))/(LN(2)/25)*Calculateur!BL91*Calculateur!BN91*VLOOKUP('Données projet'!$B$11,Paramètres!$A$1:$I$89,3,0)*0.475*44/12</f>
        <v>0</v>
      </c>
      <c r="BR91" s="21">
        <f>EXP(-LN(2)/2)*BR90+(1-EXP(-LN(2)/2))/(LN(2)/2)*BL91*BO91*VLOOKUP('Données projet'!$B$11,Paramètres!$A$1:$I$89,3,0)*0.475*44/12</f>
        <v>0</v>
      </c>
      <c r="BS91" s="22">
        <f t="shared" si="63"/>
        <v>26.399142142237054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6.6</v>
      </c>
      <c r="BY91" s="12">
        <f>IF('Données projet'!$A$114&gt;35,BY90+BX91-CG90,IF(A91&lt;'Données projet'!$A$114,$BV$205^A91,IF(A91='Données projet'!$A$114,'Données projet'!$B$114,BY90+BX91-CG90)))</f>
        <v>344.80000000000013</v>
      </c>
      <c r="BZ91" s="13">
        <f>BY91*VLOOKUP('Données projet'!$B$12,Paramètres!$A$1:$I$89,3,0)*VLOOKUP('Données projet'!$B$12,Paramètres!$A$1:$I$89,5,0)</f>
        <v>360.38496000000015</v>
      </c>
      <c r="CA91" s="13">
        <f t="shared" si="93"/>
        <v>83.697229810236507</v>
      </c>
      <c r="CB91" s="20">
        <f t="shared" si="64"/>
        <v>773.44314725282891</v>
      </c>
      <c r="CC91" s="59">
        <f t="shared" si="65"/>
        <v>1066.7764805861623</v>
      </c>
      <c r="CD91" s="59">
        <f ca="1">AVERAGE(OFFSET($CC$3,0,0,'Données projet'!$E$12+1,1))-AVERAGE(OFFSET($H$3,0,0,'Données projet'!$E$12+1,1))</f>
        <v>423.49657671419374</v>
      </c>
      <c r="CE91" s="59">
        <f t="shared" si="94"/>
        <v>329.6783569381081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30.495560750515217</v>
      </c>
      <c r="CL91" s="21">
        <f>EXP(-LN(2)/25)*CL90+(1-EXP(-LN(2)/25))/(LN(2)/25)*Calculateur!CG91*Calculateur!CI91*VLOOKUP('Données projet'!$B$12,Paramètres!$A$1:$I$89,3,0)*0.475*44/12</f>
        <v>0</v>
      </c>
      <c r="CM91" s="21">
        <f>EXP(-LN(2)/2)*CM90+(1-EXP(-LN(2)/2))/(LN(2)/2)*CG91*CJ91*VLOOKUP('Données projet'!$B$12,Paramètres!$A$1:$I$89,3,0)*0.475*44/12</f>
        <v>0</v>
      </c>
      <c r="CN91" s="22">
        <f t="shared" si="66"/>
        <v>30.495560750515217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6.6</v>
      </c>
      <c r="CT91" s="12">
        <f>IF('Données projet'!$A$140&gt;35,CT90+CS91-DB90,IF(A91&lt;'Données projet'!$A$140,$CQ$205^A91,IF(A91='Données projet'!$A$140,'Données projet'!$B$140,CT90+CS91-DB90)))</f>
        <v>344.80000000000013</v>
      </c>
      <c r="CU91" s="17">
        <f>CT91*VLOOKUP('Données projet'!$B$13,Paramètres!$A$1:$I$89,3,0)*VLOOKUP('Données projet'!$B$13,Paramètres!$A$1:$I$89,5,0)</f>
        <v>349.62720000000013</v>
      </c>
      <c r="CV91" s="13">
        <f t="shared" si="95"/>
        <v>81.485743085784506</v>
      </c>
      <c r="CW91" s="20">
        <f t="shared" si="67"/>
        <v>750.85504254107491</v>
      </c>
      <c r="CX91" s="59">
        <f t="shared" si="68"/>
        <v>1044.1883758744082</v>
      </c>
      <c r="CY91" s="59">
        <f ca="1">AVERAGE(OFFSET($CX$3,0,0,'Données projet'!$E$13+1,1))-AVERAGE(OFFSET($H$3,0,0,'Données projet'!$E$13+1,1))</f>
        <v>407.76560346703042</v>
      </c>
      <c r="CZ91" s="59">
        <f t="shared" si="96"/>
        <v>319.35531375725202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29.585245504231189</v>
      </c>
      <c r="DG91" s="21">
        <f>EXP(-LN(2)/25)*DG90+(1-EXP(-LN(2)/25))/(LN(2)/25)*Calculateur!DB91*Calculateur!DD91*VLOOKUP('Données projet'!$B$13,Paramètres!$A$1:$I$89,3,0)*0.475*44/12</f>
        <v>0</v>
      </c>
      <c r="DH91" s="21">
        <f>EXP(-LN(2)/2)*DH90+(1-EXP(-LN(2)/2))/(LN(2)/2)*DB91*DE91*VLOOKUP('Données projet'!$B$13,Paramètres!$A$1:$I$89,3,0)*0.475*44/12</f>
        <v>0</v>
      </c>
      <c r="DI91" s="22">
        <f t="shared" si="69"/>
        <v>29.585245504231189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2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79.138800000000117</v>
      </c>
      <c r="D92" s="11">
        <f t="shared" si="86"/>
        <v>21.926483794395363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780.15306788656164</v>
      </c>
      <c r="H92" s="67">
        <f t="shared" si="56"/>
        <v>432.68870260857216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0</v>
      </c>
      <c r="O92" s="13">
        <f>N92*VLOOKUP('Données projet'!$B$9,Paramètres!$A$1:$I$89,3,0)*VLOOKUP('Données projet'!$B$9,Paramètres!$A$1:$I$89,5,0)</f>
        <v>0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101.15586831191774</v>
      </c>
      <c r="T92" s="59">
        <f t="shared" si="88"/>
        <v>346.96347336689064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12.667147354285124</v>
      </c>
      <c r="AA92" s="21">
        <f>EXP(-LN(2)/25)*AA91+(1-EXP(-LN(2)/25))/(LN(2)/25)*Calculateur!V92*Calculateur!X92*VLOOKUP('Données projet'!$B$9,Paramètres!$A$1:$I$89,3,0)*0.475*44/12</f>
        <v>3.2123478137284738</v>
      </c>
      <c r="AB92" s="21">
        <f>EXP(-LN(2)/2)*AB91+(1-EXP(-LN(2)/2))/(LN(2)/2)*V92*Y92*VLOOKUP('Données projet'!$B$9,Paramètres!$A$1:$I$89,3,0)*0.475*44/12</f>
        <v>0</v>
      </c>
      <c r="AC92" s="22">
        <f t="shared" si="57"/>
        <v>15.879495168013598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0</v>
      </c>
      <c r="AJ92" s="13">
        <f>AI92*VLOOKUP('Données projet'!$B$10,Paramètres!$A$1:$I$89,3,0)*VLOOKUP('Données projet'!$B$10,Paramètres!$A$1:$I$89,5,0)</f>
        <v>0</v>
      </c>
      <c r="AK92" s="13" t="e">
        <f t="shared" si="89"/>
        <v>#NUM!</v>
      </c>
      <c r="AL92" s="20" t="e">
        <f t="shared" si="58"/>
        <v>#NUM!</v>
      </c>
      <c r="AM92" s="59" t="e">
        <f t="shared" si="59"/>
        <v>#NUM!</v>
      </c>
      <c r="AN92" s="59">
        <f ca="1">AVERAGE(OFFSET($AM$3,0,0,'Données projet'!$E$10+1,1))-AVERAGE(OFFSET($H$3,0,0,'Données projet'!$E$10+1,1))</f>
        <v>101.15586831191774</v>
      </c>
      <c r="AO92" s="59">
        <f t="shared" si="90"/>
        <v>346.96347336689064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12.667147354285124</v>
      </c>
      <c r="AV92" s="21">
        <f>EXP(-LN(2)/25)*AV91+(1-EXP(-LN(2)/25))/(LN(2)/25)*Calculateur!AQ92*Calculateur!AS92*VLOOKUP('Données projet'!$B$10,Paramètres!$A$1:$I$89,3,0)*0.475*44/12</f>
        <v>3.2123478137284738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15.879495168013598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6.6</v>
      </c>
      <c r="BD92" s="12">
        <f>IF('Données projet'!$A$88&gt;35,BD91+BC92-BL91,IF(A92&lt;'Données projet'!$A$88,$BA$205^A92,IF(A92='Données projet'!$A$88,'Données projet'!$B$88,BD91+BC92-BL91)))</f>
        <v>351.40000000000015</v>
      </c>
      <c r="BE92" s="13">
        <f>BD92*VLOOKUP('Données projet'!$B$11,Paramètres!$A$1:$I$89,3,0)*VLOOKUP('Données projet'!$B$11,Paramètres!$A$1:$I$89,5,0)</f>
        <v>317.94672000000014</v>
      </c>
      <c r="BF92" s="13">
        <f t="shared" si="91"/>
        <v>74.925968901822259</v>
      </c>
      <c r="BG92" s="20">
        <f t="shared" si="61"/>
        <v>684.25326650400723</v>
      </c>
      <c r="BH92" s="59">
        <f t="shared" si="62"/>
        <v>977.5865998373406</v>
      </c>
      <c r="BI92" s="59">
        <f ca="1">AVERAGE(OFFSET($BH$3,0,0,'Données projet'!$E$11+1,1))-AVERAGE(OFFSET($H$3,0,0,'Données projet'!$E$11+1,1))</f>
        <v>352.62747127358324</v>
      </c>
      <c r="BJ92" s="59">
        <f t="shared" si="92"/>
        <v>283.16932763435011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25.881471066714564</v>
      </c>
      <c r="BQ92" s="21">
        <f>EXP(-LN(2)/25)*BQ91+(1-EXP(-LN(2)/25))/(LN(2)/25)*Calculateur!BL92*Calculateur!BN92*VLOOKUP('Données projet'!$B$11,Paramètres!$A$1:$I$89,3,0)*0.475*44/12</f>
        <v>0</v>
      </c>
      <c r="BR92" s="21">
        <f>EXP(-LN(2)/2)*BR91+(1-EXP(-LN(2)/2))/(LN(2)/2)*BL92*BO92*VLOOKUP('Données projet'!$B$11,Paramètres!$A$1:$I$89,3,0)*0.475*44/12</f>
        <v>0</v>
      </c>
      <c r="BS92" s="22">
        <f t="shared" si="63"/>
        <v>25.881471066714564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6.6</v>
      </c>
      <c r="BY92" s="12">
        <f>IF('Données projet'!$A$114&gt;35,BY91+BX92-CG91,IF(A92&lt;'Données projet'!$A$114,$BV$205^A92,IF(A92='Données projet'!$A$114,'Données projet'!$B$114,BY91+BX92-CG91)))</f>
        <v>351.40000000000015</v>
      </c>
      <c r="BZ92" s="13">
        <f>BY92*VLOOKUP('Données projet'!$B$12,Paramètres!$A$1:$I$89,3,0)*VLOOKUP('Données projet'!$B$12,Paramètres!$A$1:$I$89,5,0)</f>
        <v>367.28328000000016</v>
      </c>
      <c r="CA92" s="13">
        <f t="shared" si="93"/>
        <v>85.111273393674225</v>
      </c>
      <c r="CB92" s="20">
        <f t="shared" si="64"/>
        <v>787.92051382731631</v>
      </c>
      <c r="CC92" s="59">
        <f t="shared" si="65"/>
        <v>1081.2538471606497</v>
      </c>
      <c r="CD92" s="59">
        <f ca="1">AVERAGE(OFFSET($CC$3,0,0,'Données projet'!$E$12+1,1))-AVERAGE(OFFSET($H$3,0,0,'Données projet'!$E$12+1,1))</f>
        <v>423.49657671419374</v>
      </c>
      <c r="CE92" s="59">
        <f t="shared" si="94"/>
        <v>329.6783569381081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29.897561404653029</v>
      </c>
      <c r="CL92" s="21">
        <f>EXP(-LN(2)/25)*CL91+(1-EXP(-LN(2)/25))/(LN(2)/25)*Calculateur!CG92*Calculateur!CI92*VLOOKUP('Données projet'!$B$12,Paramètres!$A$1:$I$89,3,0)*0.475*44/12</f>
        <v>0</v>
      </c>
      <c r="CM92" s="21">
        <f>EXP(-LN(2)/2)*CM91+(1-EXP(-LN(2)/2))/(LN(2)/2)*CG92*CJ92*VLOOKUP('Données projet'!$B$12,Paramètres!$A$1:$I$89,3,0)*0.475*44/12</f>
        <v>0</v>
      </c>
      <c r="CN92" s="22">
        <f t="shared" si="66"/>
        <v>29.897561404653029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6.6</v>
      </c>
      <c r="CT92" s="12">
        <f>IF('Données projet'!$A$140&gt;35,CT91+CS92-DB91,IF(A92&lt;'Données projet'!$A$140,$CQ$205^A92,IF(A92='Données projet'!$A$140,'Données projet'!$B$140,CT91+CS92-DB91)))</f>
        <v>351.40000000000015</v>
      </c>
      <c r="CU92" s="17">
        <f>CT92*VLOOKUP('Données projet'!$B$13,Paramètres!$A$1:$I$89,3,0)*VLOOKUP('Données projet'!$B$13,Paramètres!$A$1:$I$89,5,0)</f>
        <v>356.31960000000021</v>
      </c>
      <c r="CV92" s="13">
        <f t="shared" si="95"/>
        <v>82.862424158901803</v>
      </c>
      <c r="CW92" s="20">
        <f t="shared" si="67"/>
        <v>764.90869207675416</v>
      </c>
      <c r="CX92" s="59">
        <f t="shared" si="68"/>
        <v>1058.2420254100875</v>
      </c>
      <c r="CY92" s="59">
        <f ca="1">AVERAGE(OFFSET($CX$3,0,0,'Données projet'!$E$13+1,1))-AVERAGE(OFFSET($H$3,0,0,'Données projet'!$E$13+1,1))</f>
        <v>407.76560346703042</v>
      </c>
      <c r="CZ92" s="59">
        <f t="shared" si="96"/>
        <v>319.35531375725202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29.005096885111154</v>
      </c>
      <c r="DG92" s="21">
        <f>EXP(-LN(2)/25)*DG91+(1-EXP(-LN(2)/25))/(LN(2)/25)*Calculateur!DB92*Calculateur!DD92*VLOOKUP('Données projet'!$B$13,Paramètres!$A$1:$I$89,3,0)*0.475*44/12</f>
        <v>0</v>
      </c>
      <c r="DH92" s="21">
        <f>EXP(-LN(2)/2)*DH91+(1-EXP(-LN(2)/2))/(LN(2)/2)*DB92*DE92*VLOOKUP('Données projet'!$B$13,Paramètres!$A$1:$I$89,3,0)*0.475*44/12</f>
        <v>0</v>
      </c>
      <c r="DI92" s="22">
        <f t="shared" si="69"/>
        <v>29.005096885111154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2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80.028000000000119</v>
      </c>
      <c r="D93" s="11">
        <f t="shared" si="86"/>
        <v>22.144030134787187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788.69637297028794</v>
      </c>
      <c r="H93" s="67">
        <f t="shared" si="56"/>
        <v>434.61628581808787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0</v>
      </c>
      <c r="O93" s="13">
        <f>N93*VLOOKUP('Données projet'!$B$9,Paramètres!$A$1:$I$89,3,0)*VLOOKUP('Données projet'!$B$9,Paramètres!$A$1:$I$89,5,0)</f>
        <v>0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101.15586831191774</v>
      </c>
      <c r="T93" s="59">
        <f t="shared" si="88"/>
        <v>346.96347336689064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12.418752320864581</v>
      </c>
      <c r="AA93" s="21">
        <f>EXP(-LN(2)/25)*AA92+(1-EXP(-LN(2)/25))/(LN(2)/25)*Calculateur!V93*Calculateur!X93*VLOOKUP('Données projet'!$B$9,Paramètres!$A$1:$I$89,3,0)*0.475*44/12</f>
        <v>3.124505993832039</v>
      </c>
      <c r="AB93" s="21">
        <f>EXP(-LN(2)/2)*AB92+(1-EXP(-LN(2)/2))/(LN(2)/2)*V93*Y93*VLOOKUP('Données projet'!$B$9,Paramètres!$A$1:$I$89,3,0)*0.475*44/12</f>
        <v>0</v>
      </c>
      <c r="AC93" s="22">
        <f t="shared" si="57"/>
        <v>15.543258314696619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0</v>
      </c>
      <c r="AJ93" s="13">
        <f>AI93*VLOOKUP('Données projet'!$B$10,Paramètres!$A$1:$I$89,3,0)*VLOOKUP('Données projet'!$B$10,Paramètres!$A$1:$I$89,5,0)</f>
        <v>0</v>
      </c>
      <c r="AK93" s="13" t="e">
        <f t="shared" si="89"/>
        <v>#NUM!</v>
      </c>
      <c r="AL93" s="20" t="e">
        <f t="shared" si="58"/>
        <v>#NUM!</v>
      </c>
      <c r="AM93" s="59" t="e">
        <f t="shared" si="59"/>
        <v>#NUM!</v>
      </c>
      <c r="AN93" s="59">
        <f ca="1">AVERAGE(OFFSET($AM$3,0,0,'Données projet'!$E$10+1,1))-AVERAGE(OFFSET($H$3,0,0,'Données projet'!$E$10+1,1))</f>
        <v>101.15586831191774</v>
      </c>
      <c r="AO93" s="59">
        <f t="shared" si="90"/>
        <v>346.96347336689064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12.418752320864581</v>
      </c>
      <c r="AV93" s="21">
        <f>EXP(-LN(2)/25)*AV92+(1-EXP(-LN(2)/25))/(LN(2)/25)*Calculateur!AQ93*Calculateur!AS93*VLOOKUP('Données projet'!$B$10,Paramètres!$A$1:$I$89,3,0)*0.475*44/12</f>
        <v>3.124505993832039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15.543258314696619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>
        <f>VLOOKUP(A93,'Données projet'!$A$87:$I$107,2,0)</f>
        <v>358</v>
      </c>
      <c r="BB93" s="12">
        <f>VLOOKUP(A93,'Données projet'!$A$87:$I$107,9,0)</f>
        <v>6.6</v>
      </c>
      <c r="BC93" s="12">
        <f t="array" ref="BC93">INDEX(BB:BB,MIN(IF(ISNUMBER(BB93:BB289),ROW(BB93:BB289),"")))</f>
        <v>6.6</v>
      </c>
      <c r="BD93" s="12">
        <f>IF('Données projet'!$A$88&gt;35,BD92+BC93-BL92,IF(A93&lt;'Données projet'!$A$88,$BA$205^A93,IF(A93='Données projet'!$A$88,'Données projet'!$B$88,BD92+BC93-BL92)))</f>
        <v>358.00000000000017</v>
      </c>
      <c r="BE93" s="13">
        <f>BD93*VLOOKUP('Données projet'!$B$11,Paramètres!$A$1:$I$89,3,0)*VLOOKUP('Données projet'!$B$11,Paramètres!$A$1:$I$89,5,0)</f>
        <v>323.91840000000013</v>
      </c>
      <c r="BF93" s="13">
        <f t="shared" si="91"/>
        <v>76.168074587293162</v>
      </c>
      <c r="BG93" s="20">
        <f t="shared" si="61"/>
        <v>696.8172765728691</v>
      </c>
      <c r="BH93" s="59">
        <f t="shared" si="62"/>
        <v>990.15060990620236</v>
      </c>
      <c r="BI93" s="59">
        <f ca="1">AVERAGE(OFFSET($BH$3,0,0,'Données projet'!$E$11+1,1))-AVERAGE(OFFSET($H$3,0,0,'Données projet'!$E$11+1,1))</f>
        <v>352.62747127358324</v>
      </c>
      <c r="BJ93" s="59">
        <f t="shared" si="92"/>
        <v>283.16932763435011</v>
      </c>
      <c r="BK93" s="15">
        <f>IF(ISNA(VLOOKUP(A93,'Données projet'!$A$87:$I$107,3,0)),0,VLOOKUP(A93,'Données projet'!$A$87:$I$107,3,0))</f>
        <v>15</v>
      </c>
      <c r="BL93" s="15">
        <f>IF(ISNA(VLOOKUP(A93,'Données projet'!$A$87:$I$107,4,0)),0,VLOOKUP(A93,'Données projet'!$A$87:$I$107,4,0))</f>
        <v>56</v>
      </c>
      <c r="BM93" s="16">
        <f>IF(ISNA(VLOOKUP(A93,'Données projet'!$A$87:$I$107,5,0)),0%,VLOOKUP(A93,'Données projet'!$A$87:$I$107,5,0)*VLOOKUP('Données projet'!$B$11,Paramètres!$A$1:$I$89,7,0))</f>
        <v>0.30099999999999999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42.233821332745109</v>
      </c>
      <c r="BQ93" s="21">
        <f>EXP(-LN(2)/25)*BQ92+(1-EXP(-LN(2)/25))/(LN(2)/25)*Calculateur!BL93*Calculateur!BN93*VLOOKUP('Données projet'!$B$11,Paramètres!$A$1:$I$89,3,0)*0.475*44/12</f>
        <v>0</v>
      </c>
      <c r="BR93" s="21">
        <f>EXP(-LN(2)/2)*BR92+(1-EXP(-LN(2)/2))/(LN(2)/2)*BL93*BO93*VLOOKUP('Données projet'!$B$11,Paramètres!$A$1:$I$89,3,0)*0.475*44/12</f>
        <v>0</v>
      </c>
      <c r="BS93" s="22">
        <f t="shared" si="63"/>
        <v>42.233821332745109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>
        <f>VLOOKUP(A93,'Données projet'!$A$113:$I$133,2,0)</f>
        <v>358</v>
      </c>
      <c r="BW93" s="12">
        <f>VLOOKUP(A93,'Données projet'!$A$113:$I$133,9,0)</f>
        <v>6.6</v>
      </c>
      <c r="BX93" s="12">
        <f t="array" ref="BX93">INDEX(BW:BW,MIN(IF(ISNUMBER(BW93:BW289),ROW(BW93:BW289),"")))</f>
        <v>6.6</v>
      </c>
      <c r="BY93" s="12">
        <f>IF('Données projet'!$A$114&gt;35,BY92+BX93-CG92,IF(A93&lt;'Données projet'!$A$114,$BV$205^A93,IF(A93='Données projet'!$A$114,'Données projet'!$B$114,BY92+BX93-CG92)))</f>
        <v>358.00000000000017</v>
      </c>
      <c r="BZ93" s="13">
        <f>BY93*VLOOKUP('Données projet'!$B$12,Paramètres!$A$1:$I$89,3,0)*VLOOKUP('Données projet'!$B$12,Paramètres!$A$1:$I$89,5,0)</f>
        <v>374.18160000000023</v>
      </c>
      <c r="CA93" s="13">
        <f t="shared" si="93"/>
        <v>86.52222874239277</v>
      </c>
      <c r="CB93" s="20">
        <f t="shared" si="64"/>
        <v>802.39250172633444</v>
      </c>
      <c r="CC93" s="59">
        <f t="shared" si="65"/>
        <v>1095.7258350596678</v>
      </c>
      <c r="CD93" s="59">
        <f ca="1">AVERAGE(OFFSET($CC$3,0,0,'Données projet'!$E$12+1,1))-AVERAGE(OFFSET($H$3,0,0,'Données projet'!$E$12+1,1))</f>
        <v>423.49657671419374</v>
      </c>
      <c r="CE93" s="59">
        <f t="shared" si="94"/>
        <v>329.6783569381081</v>
      </c>
      <c r="CF93" s="15">
        <f>IF(ISNA(VLOOKUP(A93,'Données projet'!$A$113:$I$133,3,0)),0,VLOOKUP(A93,'Données projet'!$A$113:$I$133,3,0))</f>
        <v>15</v>
      </c>
      <c r="CG93" s="15">
        <f>IF(ISNA(VLOOKUP(A93,'Données projet'!$A$113:$I$133,4,0)),0,VLOOKUP(A93,'Données projet'!$A$113:$I$133,4,0))</f>
        <v>56</v>
      </c>
      <c r="CH93" s="16">
        <f>IF(ISNA(VLOOKUP(A93,'Données projet'!$A$113:$I$133,5,0)),0%,VLOOKUP(A93,'Données projet'!$A$113:$I$133,5,0)*VLOOKUP('Données projet'!$B$12,Paramètres!$A$1:$I$89,7,0))</f>
        <v>0.30099999999999999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48.787345332653828</v>
      </c>
      <c r="CL93" s="21">
        <f>EXP(-LN(2)/25)*CL92+(1-EXP(-LN(2)/25))/(LN(2)/25)*Calculateur!CG93*Calculateur!CI93*VLOOKUP('Données projet'!$B$12,Paramètres!$A$1:$I$89,3,0)*0.475*44/12</f>
        <v>0</v>
      </c>
      <c r="CM93" s="21">
        <f>EXP(-LN(2)/2)*CM92+(1-EXP(-LN(2)/2))/(LN(2)/2)*CG93*CJ93*VLOOKUP('Données projet'!$B$12,Paramètres!$A$1:$I$89,3,0)*0.475*44/12</f>
        <v>0</v>
      </c>
      <c r="CN93" s="22">
        <f t="shared" si="66"/>
        <v>48.787345332653828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>
        <f>VLOOKUP(A93,'Données projet'!$A$139:$I$159,2,0)</f>
        <v>358</v>
      </c>
      <c r="CR93" s="12">
        <f>VLOOKUP(A93,'Données projet'!$A$139:$I$159,9,0)</f>
        <v>6.6</v>
      </c>
      <c r="CS93" s="12">
        <f t="array" ref="CS93">INDEX(CR:CR,MIN(IF(ISNUMBER(CR93:CR289),ROW(CR93:CR289),"")))</f>
        <v>6.6</v>
      </c>
      <c r="CT93" s="12">
        <f>IF('Données projet'!$A$140&gt;35,CT92+CS93-DB92,IF(A93&lt;'Données projet'!$A$140,$CQ$205^A93,IF(A93='Données projet'!$A$140,'Données projet'!$B$140,CT92+CS93-DB92)))</f>
        <v>358.00000000000017</v>
      </c>
      <c r="CU93" s="17">
        <f>CT93*VLOOKUP('Données projet'!$B$13,Paramètres!$A$1:$I$89,3,0)*VLOOKUP('Données projet'!$B$13,Paramètres!$A$1:$I$89,5,0)</f>
        <v>363.01200000000023</v>
      </c>
      <c r="CV93" s="13">
        <f t="shared" si="95"/>
        <v>84.23609859605908</v>
      </c>
      <c r="CW93" s="20">
        <f t="shared" si="67"/>
        <v>778.95710505480326</v>
      </c>
      <c r="CX93" s="59">
        <f t="shared" si="68"/>
        <v>1072.2904383881366</v>
      </c>
      <c r="CY93" s="59">
        <f ca="1">AVERAGE(OFFSET($CX$3,0,0,'Données projet'!$E$13+1,1))-AVERAGE(OFFSET($H$3,0,0,'Données projet'!$E$13+1,1))</f>
        <v>407.76560346703042</v>
      </c>
      <c r="CZ93" s="59">
        <f t="shared" si="96"/>
        <v>319.35531375725202</v>
      </c>
      <c r="DA93" s="15">
        <f>IF(ISNA(VLOOKUP(A93,'Données projet'!$A$139:$I$159,3,0)),0,VLOOKUP(A93,'Données projet'!$A$139:$I$159,3,0))</f>
        <v>15</v>
      </c>
      <c r="DB93" s="15">
        <f>IF(ISNA(VLOOKUP(A93,'Données projet'!$A$139:$I$159,4,0)),0,VLOOKUP(A93,'Données projet'!$A$139:$I$159,4,0))</f>
        <v>56</v>
      </c>
      <c r="DC93" s="16">
        <f>IF(ISNA(VLOOKUP(A93,'Données projet'!$A$139:$I$159,5,0)),0%,VLOOKUP(A93,'Données projet'!$A$139:$I$159,5,0)*VLOOKUP('Données projet'!$B$13,Paramètres!$A$1:$I$89,7,0))</f>
        <v>0.30099999999999999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>
        <f>EXP(-LN(2)/35)*DF92+(1-EXP(-LN(2)/35))/(LN(2)/35)*DB93*DC93*VLOOKUP('Données projet'!$B$13,Paramètres!$A$1:$I$89,3,0)*0.475*44/12</f>
        <v>47.331006666007454</v>
      </c>
      <c r="DG93" s="21">
        <f>EXP(-LN(2)/25)*DG92+(1-EXP(-LN(2)/25))/(LN(2)/25)*Calculateur!DB93*Calculateur!DD93*VLOOKUP('Données projet'!$B$13,Paramètres!$A$1:$I$89,3,0)*0.475*44/12</f>
        <v>0</v>
      </c>
      <c r="DH93" s="21">
        <f>EXP(-LN(2)/2)*DH92+(1-EXP(-LN(2)/2))/(LN(2)/2)*DB93*DE93*VLOOKUP('Données projet'!$B$13,Paramètres!$A$1:$I$89,3,0)*0.475*44/12</f>
        <v>0</v>
      </c>
      <c r="DI93" s="22">
        <f t="shared" si="69"/>
        <v>47.331006666007454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2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80.917200000000122</v>
      </c>
      <c r="D94" s="11">
        <f t="shared" si="86"/>
        <v>22.361295290994477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797.23750750943202</v>
      </c>
      <c r="H94" s="67">
        <f t="shared" si="56"/>
        <v>436.54337929848225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0</v>
      </c>
      <c r="O94" s="13">
        <f>N94*VLOOKUP('Données projet'!$B$9,Paramètres!$A$1:$I$89,3,0)*VLOOKUP('Données projet'!$B$9,Paramètres!$A$1:$I$89,5,0)</f>
        <v>0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101.15586831191774</v>
      </c>
      <c r="T94" s="59">
        <f t="shared" si="88"/>
        <v>346.96347336689064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12.175228162543403</v>
      </c>
      <c r="AA94" s="21">
        <f>EXP(-LN(2)/25)*AA93+(1-EXP(-LN(2)/25))/(LN(2)/25)*Calculateur!V94*Calculateur!X94*VLOOKUP('Données projet'!$B$9,Paramètres!$A$1:$I$89,3,0)*0.475*44/12</f>
        <v>3.0390662131200727</v>
      </c>
      <c r="AB94" s="21">
        <f>EXP(-LN(2)/2)*AB93+(1-EXP(-LN(2)/2))/(LN(2)/2)*V94*Y94*VLOOKUP('Données projet'!$B$9,Paramètres!$A$1:$I$89,3,0)*0.475*44/12</f>
        <v>0</v>
      </c>
      <c r="AC94" s="22">
        <f t="shared" si="57"/>
        <v>15.214294375663476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0</v>
      </c>
      <c r="AJ94" s="13">
        <f>AI94*VLOOKUP('Données projet'!$B$10,Paramètres!$A$1:$I$89,3,0)*VLOOKUP('Données projet'!$B$10,Paramètres!$A$1:$I$89,5,0)</f>
        <v>0</v>
      </c>
      <c r="AK94" s="13" t="e">
        <f t="shared" si="89"/>
        <v>#NUM!</v>
      </c>
      <c r="AL94" s="20" t="e">
        <f t="shared" si="58"/>
        <v>#NUM!</v>
      </c>
      <c r="AM94" s="59" t="e">
        <f t="shared" si="59"/>
        <v>#NUM!</v>
      </c>
      <c r="AN94" s="59">
        <f ca="1">AVERAGE(OFFSET($AM$3,0,0,'Données projet'!$E$10+1,1))-AVERAGE(OFFSET($H$3,0,0,'Données projet'!$E$10+1,1))</f>
        <v>101.15586831191774</v>
      </c>
      <c r="AO94" s="59">
        <f t="shared" si="90"/>
        <v>346.96347336689064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12.175228162543403</v>
      </c>
      <c r="AV94" s="21">
        <f>EXP(-LN(2)/25)*AV93+(1-EXP(-LN(2)/25))/(LN(2)/25)*Calculateur!AQ94*Calculateur!AS94*VLOOKUP('Données projet'!$B$10,Paramètres!$A$1:$I$89,3,0)*0.475*44/12</f>
        <v>3.0390662131200727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15.214294375663476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6</v>
      </c>
      <c r="BD94" s="12">
        <f>IF('Données projet'!$A$88&gt;35,BD93+BC94-BL93,IF(A94&lt;'Données projet'!$A$88,$BA$205^A94,IF(A94='Données projet'!$A$88,'Données projet'!$B$88,BD93+BC94-BL93)))</f>
        <v>308.00000000000017</v>
      </c>
      <c r="BE94" s="13">
        <f>BD94*VLOOKUP('Données projet'!$B$11,Paramètres!$A$1:$I$89,3,0)*VLOOKUP('Données projet'!$B$11,Paramètres!$A$1:$I$89,5,0)</f>
        <v>278.67840000000018</v>
      </c>
      <c r="BF94" s="13">
        <f t="shared" si="91"/>
        <v>66.687639951856809</v>
      </c>
      <c r="BG94" s="20">
        <f t="shared" si="61"/>
        <v>601.51251958281762</v>
      </c>
      <c r="BH94" s="59">
        <f t="shared" si="62"/>
        <v>894.84585291615099</v>
      </c>
      <c r="BI94" s="59">
        <f ca="1">AVERAGE(OFFSET($BH$3,0,0,'Données projet'!$E$11+1,1))-AVERAGE(OFFSET($H$3,0,0,'Données projet'!$E$11+1,1))</f>
        <v>352.62747127358324</v>
      </c>
      <c r="BJ94" s="59">
        <f t="shared" si="92"/>
        <v>283.16932763435011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41.40564185649739</v>
      </c>
      <c r="BQ94" s="21">
        <f>EXP(-LN(2)/25)*BQ93+(1-EXP(-LN(2)/25))/(LN(2)/25)*Calculateur!BL94*Calculateur!BN94*VLOOKUP('Données projet'!$B$11,Paramètres!$A$1:$I$89,3,0)*0.475*44/12</f>
        <v>0</v>
      </c>
      <c r="BR94" s="21">
        <f>EXP(-LN(2)/2)*BR93+(1-EXP(-LN(2)/2))/(LN(2)/2)*BL94*BO94*VLOOKUP('Données projet'!$B$11,Paramètres!$A$1:$I$89,3,0)*0.475*44/12</f>
        <v>0</v>
      </c>
      <c r="BS94" s="22">
        <f t="shared" si="63"/>
        <v>41.40564185649739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6</v>
      </c>
      <c r="BY94" s="12">
        <f>IF('Données projet'!$A$114&gt;35,BY93+BX94-CG93,IF(A94&lt;'Données projet'!$A$114,$BV$205^A94,IF(A94='Données projet'!$A$114,'Données projet'!$B$114,BY93+BX94-CG93)))</f>
        <v>308.00000000000017</v>
      </c>
      <c r="BZ94" s="13">
        <f>BY94*VLOOKUP('Données projet'!$B$12,Paramètres!$A$1:$I$89,3,0)*VLOOKUP('Données projet'!$B$12,Paramètres!$A$1:$I$89,5,0)</f>
        <v>321.92160000000018</v>
      </c>
      <c r="CA94" s="13">
        <f t="shared" si="93"/>
        <v>75.753040489321577</v>
      </c>
      <c r="CB94" s="20">
        <f t="shared" si="64"/>
        <v>692.6166655189021</v>
      </c>
      <c r="CC94" s="59">
        <f t="shared" si="65"/>
        <v>985.94999885223547</v>
      </c>
      <c r="CD94" s="59">
        <f ca="1">AVERAGE(OFFSET($CC$3,0,0,'Données projet'!$E$12+1,1))-AVERAGE(OFFSET($H$3,0,0,'Données projet'!$E$12+1,1))</f>
        <v>423.49657671419374</v>
      </c>
      <c r="CE94" s="59">
        <f t="shared" si="94"/>
        <v>329.6783569381081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47.830655248022843</v>
      </c>
      <c r="CL94" s="21">
        <f>EXP(-LN(2)/25)*CL93+(1-EXP(-LN(2)/25))/(LN(2)/25)*Calculateur!CG94*Calculateur!CI94*VLOOKUP('Données projet'!$B$12,Paramètres!$A$1:$I$89,3,0)*0.475*44/12</f>
        <v>0</v>
      </c>
      <c r="CM94" s="21">
        <f>EXP(-LN(2)/2)*CM93+(1-EXP(-LN(2)/2))/(LN(2)/2)*CG94*CJ94*VLOOKUP('Données projet'!$B$12,Paramètres!$A$1:$I$89,3,0)*0.475*44/12</f>
        <v>0</v>
      </c>
      <c r="CN94" s="22">
        <f t="shared" si="66"/>
        <v>47.830655248022843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6</v>
      </c>
      <c r="CT94" s="12">
        <f>IF('Données projet'!$A$140&gt;35,CT93+CS94-DB93,IF(A94&lt;'Données projet'!$A$140,$CQ$205^A94,IF(A94='Données projet'!$A$140,'Données projet'!$B$140,CT93+CS94-DB93)))</f>
        <v>308.00000000000017</v>
      </c>
      <c r="CU94" s="17">
        <f>CT94*VLOOKUP('Données projet'!$B$13,Paramètres!$A$1:$I$89,3,0)*VLOOKUP('Données projet'!$B$13,Paramètres!$A$1:$I$89,5,0)</f>
        <v>312.31200000000024</v>
      </c>
      <c r="CV94" s="13">
        <f t="shared" si="95"/>
        <v>73.751458791112086</v>
      </c>
      <c r="CW94" s="20">
        <f t="shared" si="67"/>
        <v>672.39385739452064</v>
      </c>
      <c r="CX94" s="59">
        <f t="shared" si="68"/>
        <v>965.72719072785389</v>
      </c>
      <c r="CY94" s="59">
        <f ca="1">AVERAGE(OFFSET($CX$3,0,0,'Données projet'!$E$13+1,1))-AVERAGE(OFFSET($H$3,0,0,'Données projet'!$E$13+1,1))</f>
        <v>407.76560346703042</v>
      </c>
      <c r="CZ94" s="59">
        <f t="shared" si="96"/>
        <v>319.35531375725202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46.402874494350527</v>
      </c>
      <c r="DG94" s="21">
        <f>EXP(-LN(2)/25)*DG93+(1-EXP(-LN(2)/25))/(LN(2)/25)*Calculateur!DB94*Calculateur!DD94*VLOOKUP('Données projet'!$B$13,Paramètres!$A$1:$I$89,3,0)*0.475*44/12</f>
        <v>0</v>
      </c>
      <c r="DH94" s="21">
        <f>EXP(-LN(2)/2)*DH93+(1-EXP(-LN(2)/2))/(LN(2)/2)*DB94*DE94*VLOOKUP('Données projet'!$B$13,Paramètres!$A$1:$I$89,3,0)*0.475*44/12</f>
        <v>0</v>
      </c>
      <c r="DI94" s="22">
        <f t="shared" si="69"/>
        <v>46.402874494350527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2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81.806400000000124</v>
      </c>
      <c r="D95" s="11">
        <f t="shared" si="86"/>
        <v>22.578282710556053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805.77649811657409</v>
      </c>
      <c r="H95" s="67">
        <f t="shared" si="56"/>
        <v>438.46998905421867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0</v>
      </c>
      <c r="O95" s="13">
        <f>N95*VLOOKUP('Données projet'!$B$9,Paramètres!$A$1:$I$89,3,0)*VLOOKUP('Données projet'!$B$9,Paramètres!$A$1:$I$89,5,0)</f>
        <v>0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101.15586831191774</v>
      </c>
      <c r="T95" s="59">
        <f t="shared" si="88"/>
        <v>346.96347336689064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11.936479364431834</v>
      </c>
      <c r="AA95" s="21">
        <f>EXP(-LN(2)/25)*AA94+(1-EXP(-LN(2)/25))/(LN(2)/25)*Calculateur!V95*Calculateur!X95*VLOOKUP('Données projet'!$B$9,Paramètres!$A$1:$I$89,3,0)*0.475*44/12</f>
        <v>2.9559627877047583</v>
      </c>
      <c r="AB95" s="21">
        <f>EXP(-LN(2)/2)*AB94+(1-EXP(-LN(2)/2))/(LN(2)/2)*V95*Y95*VLOOKUP('Données projet'!$B$9,Paramètres!$A$1:$I$89,3,0)*0.475*44/12</f>
        <v>0</v>
      </c>
      <c r="AC95" s="22">
        <f t="shared" si="57"/>
        <v>14.892442152136592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0</v>
      </c>
      <c r="AJ95" s="13">
        <f>AI95*VLOOKUP('Données projet'!$B$10,Paramètres!$A$1:$I$89,3,0)*VLOOKUP('Données projet'!$B$10,Paramètres!$A$1:$I$89,5,0)</f>
        <v>0</v>
      </c>
      <c r="AK95" s="13" t="e">
        <f t="shared" si="89"/>
        <v>#NUM!</v>
      </c>
      <c r="AL95" s="20" t="e">
        <f t="shared" si="58"/>
        <v>#NUM!</v>
      </c>
      <c r="AM95" s="59" t="e">
        <f t="shared" si="59"/>
        <v>#NUM!</v>
      </c>
      <c r="AN95" s="59">
        <f ca="1">AVERAGE(OFFSET($AM$3,0,0,'Données projet'!$E$10+1,1))-AVERAGE(OFFSET($H$3,0,0,'Données projet'!$E$10+1,1))</f>
        <v>101.15586831191774</v>
      </c>
      <c r="AO95" s="59">
        <f t="shared" si="90"/>
        <v>346.96347336689064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11.936479364431834</v>
      </c>
      <c r="AV95" s="21">
        <f>EXP(-LN(2)/25)*AV94+(1-EXP(-LN(2)/25))/(LN(2)/25)*Calculateur!AQ95*Calculateur!AS95*VLOOKUP('Données projet'!$B$10,Paramètres!$A$1:$I$89,3,0)*0.475*44/12</f>
        <v>2.9559627877047583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14.892442152136592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6</v>
      </c>
      <c r="BD95" s="12">
        <f>IF('Données projet'!$A$88&gt;35,BD94+BC95-BL94,IF(A95&lt;'Données projet'!$A$88,$BA$205^A95,IF(A95='Données projet'!$A$88,'Données projet'!$B$88,BD94+BC95-BL94)))</f>
        <v>314.00000000000017</v>
      </c>
      <c r="BE95" s="13">
        <f>BD95*VLOOKUP('Données projet'!$B$11,Paramètres!$A$1:$I$89,3,0)*VLOOKUP('Données projet'!$B$11,Paramètres!$A$1:$I$89,5,0)</f>
        <v>284.10720000000015</v>
      </c>
      <c r="BF95" s="13">
        <f t="shared" si="91"/>
        <v>67.834241327943772</v>
      </c>
      <c r="BG95" s="20">
        <f t="shared" si="61"/>
        <v>612.96467697950231</v>
      </c>
      <c r="BH95" s="59">
        <f t="shared" si="62"/>
        <v>906.29801031283569</v>
      </c>
      <c r="BI95" s="59">
        <f ca="1">AVERAGE(OFFSET($BH$3,0,0,'Données projet'!$E$11+1,1))-AVERAGE(OFFSET($H$3,0,0,'Données projet'!$E$11+1,1))</f>
        <v>352.62747127358324</v>
      </c>
      <c r="BJ95" s="59">
        <f t="shared" si="92"/>
        <v>283.16932763435011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40.593702474639286</v>
      </c>
      <c r="BQ95" s="21">
        <f>EXP(-LN(2)/25)*BQ94+(1-EXP(-LN(2)/25))/(LN(2)/25)*Calculateur!BL95*Calculateur!BN95*VLOOKUP('Données projet'!$B$11,Paramètres!$A$1:$I$89,3,0)*0.475*44/12</f>
        <v>0</v>
      </c>
      <c r="BR95" s="21">
        <f>EXP(-LN(2)/2)*BR94+(1-EXP(-LN(2)/2))/(LN(2)/2)*BL95*BO95*VLOOKUP('Données projet'!$B$11,Paramètres!$A$1:$I$89,3,0)*0.475*44/12</f>
        <v>0</v>
      </c>
      <c r="BS95" s="22">
        <f t="shared" si="63"/>
        <v>40.593702474639286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6</v>
      </c>
      <c r="BY95" s="12">
        <f>IF('Données projet'!$A$114&gt;35,BY94+BX95-CG94,IF(A95&lt;'Données projet'!$A$114,$BV$205^A95,IF(A95='Données projet'!$A$114,'Données projet'!$B$114,BY94+BX95-CG94)))</f>
        <v>314.00000000000017</v>
      </c>
      <c r="BZ95" s="13">
        <f>BY95*VLOOKUP('Données projet'!$B$12,Paramètres!$A$1:$I$89,3,0)*VLOOKUP('Données projet'!$B$12,Paramètres!$A$1:$I$89,5,0)</f>
        <v>328.1928000000002</v>
      </c>
      <c r="CA95" s="13">
        <f t="shared" si="93"/>
        <v>77.055508840736223</v>
      </c>
      <c r="CB95" s="20">
        <f t="shared" si="64"/>
        <v>705.80747123094909</v>
      </c>
      <c r="CC95" s="59">
        <f t="shared" si="65"/>
        <v>999.14080456428246</v>
      </c>
      <c r="CD95" s="59">
        <f ca="1">AVERAGE(OFFSET($CC$3,0,0,'Données projet'!$E$12+1,1))-AVERAGE(OFFSET($H$3,0,0,'Données projet'!$E$12+1,1))</f>
        <v>423.49657671419374</v>
      </c>
      <c r="CE95" s="59">
        <f t="shared" si="94"/>
        <v>329.6783569381081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46.892725272428144</v>
      </c>
      <c r="CL95" s="21">
        <f>EXP(-LN(2)/25)*CL94+(1-EXP(-LN(2)/25))/(LN(2)/25)*Calculateur!CG95*Calculateur!CI95*VLOOKUP('Données projet'!$B$12,Paramètres!$A$1:$I$89,3,0)*0.475*44/12</f>
        <v>0</v>
      </c>
      <c r="CM95" s="21">
        <f>EXP(-LN(2)/2)*CM94+(1-EXP(-LN(2)/2))/(LN(2)/2)*CG95*CJ95*VLOOKUP('Données projet'!$B$12,Paramètres!$A$1:$I$89,3,0)*0.475*44/12</f>
        <v>0</v>
      </c>
      <c r="CN95" s="22">
        <f t="shared" si="66"/>
        <v>46.892725272428144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6</v>
      </c>
      <c r="CT95" s="12">
        <f>IF('Données projet'!$A$140&gt;35,CT94+CS95-DB94,IF(A95&lt;'Données projet'!$A$140,$CQ$205^A95,IF(A95='Données projet'!$A$140,'Données projet'!$B$140,CT94+CS95-DB94)))</f>
        <v>314.00000000000017</v>
      </c>
      <c r="CU95" s="17">
        <f>CT95*VLOOKUP('Données projet'!$B$13,Paramètres!$A$1:$I$89,3,0)*VLOOKUP('Données projet'!$B$13,Paramètres!$A$1:$I$89,5,0)</f>
        <v>318.39600000000019</v>
      </c>
      <c r="CV95" s="13">
        <f t="shared" si="95"/>
        <v>75.019512724335002</v>
      </c>
      <c r="CW95" s="20">
        <f t="shared" si="67"/>
        <v>685.19868466155049</v>
      </c>
      <c r="CX95" s="59">
        <f t="shared" si="68"/>
        <v>978.53201799488374</v>
      </c>
      <c r="CY95" s="59">
        <f ca="1">AVERAGE(OFFSET($CX$3,0,0,'Données projet'!$E$13+1,1))-AVERAGE(OFFSET($H$3,0,0,'Données projet'!$E$13+1,1))</f>
        <v>407.76560346703042</v>
      </c>
      <c r="CZ95" s="59">
        <f t="shared" si="96"/>
        <v>319.35531375725202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45.492942428475068</v>
      </c>
      <c r="DG95" s="21">
        <f>EXP(-LN(2)/25)*DG94+(1-EXP(-LN(2)/25))/(LN(2)/25)*Calculateur!DB95*Calculateur!DD95*VLOOKUP('Données projet'!$B$13,Paramètres!$A$1:$I$89,3,0)*0.475*44/12</f>
        <v>0</v>
      </c>
      <c r="DH95" s="21">
        <f>EXP(-LN(2)/2)*DH94+(1-EXP(-LN(2)/2))/(LN(2)/2)*DB95*DE95*VLOOKUP('Données projet'!$B$13,Paramètres!$A$1:$I$89,3,0)*0.475*44/12</f>
        <v>0</v>
      </c>
      <c r="DI95" s="22">
        <f t="shared" si="69"/>
        <v>45.492942428475068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2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82.695600000000127</v>
      </c>
      <c r="D96" s="11">
        <f t="shared" si="86"/>
        <v>22.794995761747877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814.31337079244076</v>
      </c>
      <c r="H96" s="67">
        <f t="shared" si="56"/>
        <v>440.39612095171111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0</v>
      </c>
      <c r="O96" s="13">
        <f>N96*VLOOKUP('Données projet'!$B$9,Paramètres!$A$1:$I$89,3,0)*VLOOKUP('Données projet'!$B$9,Paramètres!$A$1:$I$89,5,0)</f>
        <v>0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101.15586831191774</v>
      </c>
      <c r="T96" s="59">
        <f t="shared" si="88"/>
        <v>346.96347336689064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11.702412284628846</v>
      </c>
      <c r="AA96" s="21">
        <f>EXP(-LN(2)/25)*AA95+(1-EXP(-LN(2)/25))/(LN(2)/25)*Calculateur!V96*Calculateur!X96*VLOOKUP('Données projet'!$B$9,Paramètres!$A$1:$I$89,3,0)*0.475*44/12</f>
        <v>2.8751318298276445</v>
      </c>
      <c r="AB96" s="21">
        <f>EXP(-LN(2)/2)*AB95+(1-EXP(-LN(2)/2))/(LN(2)/2)*V96*Y96*VLOOKUP('Données projet'!$B$9,Paramètres!$A$1:$I$89,3,0)*0.475*44/12</f>
        <v>0</v>
      </c>
      <c r="AC96" s="22">
        <f t="shared" si="57"/>
        <v>14.57754411445649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0</v>
      </c>
      <c r="AJ96" s="13">
        <f>AI96*VLOOKUP('Données projet'!$B$10,Paramètres!$A$1:$I$89,3,0)*VLOOKUP('Données projet'!$B$10,Paramètres!$A$1:$I$89,5,0)</f>
        <v>0</v>
      </c>
      <c r="AK96" s="13" t="e">
        <f t="shared" si="89"/>
        <v>#NUM!</v>
      </c>
      <c r="AL96" s="20" t="e">
        <f t="shared" si="58"/>
        <v>#NUM!</v>
      </c>
      <c r="AM96" s="59" t="e">
        <f t="shared" si="59"/>
        <v>#NUM!</v>
      </c>
      <c r="AN96" s="59">
        <f ca="1">AVERAGE(OFFSET($AM$3,0,0,'Données projet'!$E$10+1,1))-AVERAGE(OFFSET($H$3,0,0,'Données projet'!$E$10+1,1))</f>
        <v>101.15586831191774</v>
      </c>
      <c r="AO96" s="59">
        <f t="shared" si="90"/>
        <v>346.96347336689064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11.702412284628846</v>
      </c>
      <c r="AV96" s="21">
        <f>EXP(-LN(2)/25)*AV95+(1-EXP(-LN(2)/25))/(LN(2)/25)*Calculateur!AQ96*Calculateur!AS96*VLOOKUP('Données projet'!$B$10,Paramètres!$A$1:$I$89,3,0)*0.475*44/12</f>
        <v>2.8751318298276445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14.57754411445649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6</v>
      </c>
      <c r="BD96" s="12">
        <f>IF('Données projet'!$A$88&gt;35,BD95+BC96-BL95,IF(A96&lt;'Données projet'!$A$88,$BA$205^A96,IF(A96='Données projet'!$A$88,'Données projet'!$B$88,BD95+BC96-BL95)))</f>
        <v>320.00000000000017</v>
      </c>
      <c r="BE96" s="13">
        <f>BD96*VLOOKUP('Données projet'!$B$11,Paramètres!$A$1:$I$89,3,0)*VLOOKUP('Données projet'!$B$11,Paramètres!$A$1:$I$89,5,0)</f>
        <v>289.53600000000012</v>
      </c>
      <c r="BF96" s="13">
        <f t="shared" si="91"/>
        <v>68.978295099044416</v>
      </c>
      <c r="BG96" s="20">
        <f t="shared" si="61"/>
        <v>624.41239729750248</v>
      </c>
      <c r="BH96" s="59">
        <f t="shared" si="62"/>
        <v>917.74573063083585</v>
      </c>
      <c r="BI96" s="59">
        <f ca="1">AVERAGE(OFFSET($BH$3,0,0,'Données projet'!$E$11+1,1))-AVERAGE(OFFSET($H$3,0,0,'Données projet'!$E$11+1,1))</f>
        <v>352.62747127358324</v>
      </c>
      <c r="BJ96" s="59">
        <f t="shared" si="92"/>
        <v>283.16932763435011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39.797684728825303</v>
      </c>
      <c r="BQ96" s="21">
        <f>EXP(-LN(2)/25)*BQ95+(1-EXP(-LN(2)/25))/(LN(2)/25)*Calculateur!BL96*Calculateur!BN96*VLOOKUP('Données projet'!$B$11,Paramètres!$A$1:$I$89,3,0)*0.475*44/12</f>
        <v>0</v>
      </c>
      <c r="BR96" s="21">
        <f>EXP(-LN(2)/2)*BR95+(1-EXP(-LN(2)/2))/(LN(2)/2)*BL96*BO96*VLOOKUP('Données projet'!$B$11,Paramètres!$A$1:$I$89,3,0)*0.475*44/12</f>
        <v>0</v>
      </c>
      <c r="BS96" s="22">
        <f t="shared" si="63"/>
        <v>39.797684728825303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6</v>
      </c>
      <c r="BY96" s="12">
        <f>IF('Données projet'!$A$114&gt;35,BY95+BX96-CG95,IF(A96&lt;'Données projet'!$A$114,$BV$205^A96,IF(A96='Données projet'!$A$114,'Données projet'!$B$114,BY95+BX96-CG95)))</f>
        <v>320.00000000000017</v>
      </c>
      <c r="BZ96" s="13">
        <f>BY96*VLOOKUP('Données projet'!$B$12,Paramètres!$A$1:$I$89,3,0)*VLOOKUP('Données projet'!$B$12,Paramètres!$A$1:$I$89,5,0)</f>
        <v>334.46400000000023</v>
      </c>
      <c r="CA96" s="13">
        <f t="shared" si="93"/>
        <v>78.355083270221414</v>
      </c>
      <c r="CB96" s="20">
        <f t="shared" si="64"/>
        <v>718.99323669563603</v>
      </c>
      <c r="CC96" s="59">
        <f t="shared" si="65"/>
        <v>1012.3265700289694</v>
      </c>
      <c r="CD96" s="59">
        <f ca="1">AVERAGE(OFFSET($CC$3,0,0,'Données projet'!$E$12+1,1))-AVERAGE(OFFSET($H$3,0,0,'Données projet'!$E$12+1,1))</f>
        <v>423.49657671419374</v>
      </c>
      <c r="CE96" s="59">
        <f t="shared" si="94"/>
        <v>329.6783569381081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45.973187531574055</v>
      </c>
      <c r="CL96" s="21">
        <f>EXP(-LN(2)/25)*CL95+(1-EXP(-LN(2)/25))/(LN(2)/25)*Calculateur!CG96*Calculateur!CI96*VLOOKUP('Données projet'!$B$12,Paramètres!$A$1:$I$89,3,0)*0.475*44/12</f>
        <v>0</v>
      </c>
      <c r="CM96" s="21">
        <f>EXP(-LN(2)/2)*CM95+(1-EXP(-LN(2)/2))/(LN(2)/2)*CG96*CJ96*VLOOKUP('Données projet'!$B$12,Paramètres!$A$1:$I$89,3,0)*0.475*44/12</f>
        <v>0</v>
      </c>
      <c r="CN96" s="22">
        <f t="shared" si="66"/>
        <v>45.973187531574055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6</v>
      </c>
      <c r="CT96" s="12">
        <f>IF('Données projet'!$A$140&gt;35,CT95+CS96-DB95,IF(A96&lt;'Données projet'!$A$140,$CQ$205^A96,IF(A96='Données projet'!$A$140,'Données projet'!$B$140,CT95+CS96-DB95)))</f>
        <v>320.00000000000017</v>
      </c>
      <c r="CU96" s="17">
        <f>CT96*VLOOKUP('Données projet'!$B$13,Paramètres!$A$1:$I$89,3,0)*VLOOKUP('Données projet'!$B$13,Paramètres!$A$1:$I$89,5,0)</f>
        <v>324.48000000000019</v>
      </c>
      <c r="CV96" s="13">
        <f t="shared" si="95"/>
        <v>76.284749200165578</v>
      </c>
      <c r="CW96" s="20">
        <f t="shared" si="67"/>
        <v>697.99860485695535</v>
      </c>
      <c r="CX96" s="59">
        <f t="shared" si="68"/>
        <v>991.33193819028861</v>
      </c>
      <c r="CY96" s="59">
        <f ca="1">AVERAGE(OFFSET($CX$3,0,0,'Données projet'!$E$13+1,1))-AVERAGE(OFFSET($H$3,0,0,'Données projet'!$E$13+1,1))</f>
        <v>407.76560346703042</v>
      </c>
      <c r="CZ96" s="59">
        <f t="shared" si="96"/>
        <v>319.35531375725202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44.600853575407669</v>
      </c>
      <c r="DG96" s="21">
        <f>EXP(-LN(2)/25)*DG95+(1-EXP(-LN(2)/25))/(LN(2)/25)*Calculateur!DB96*Calculateur!DD96*VLOOKUP('Données projet'!$B$13,Paramètres!$A$1:$I$89,3,0)*0.475*44/12</f>
        <v>0</v>
      </c>
      <c r="DH96" s="21">
        <f>EXP(-LN(2)/2)*DH95+(1-EXP(-LN(2)/2))/(LN(2)/2)*DB96*DE96*VLOOKUP('Données projet'!$B$13,Paramètres!$A$1:$I$89,3,0)*0.475*44/12</f>
        <v>0</v>
      </c>
      <c r="DI96" s="22">
        <f t="shared" si="69"/>
        <v>44.600853575407669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2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83.584800000000129</v>
      </c>
      <c r="D97" s="11">
        <f t="shared" si="86"/>
        <v>23.011437736237649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822.84815094639691</v>
      </c>
      <c r="H97" s="67">
        <f t="shared" si="56"/>
        <v>442.32178072394748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0</v>
      </c>
      <c r="O97" s="13">
        <f>N97*VLOOKUP('Données projet'!$B$9,Paramètres!$A$1:$I$89,3,0)*VLOOKUP('Données projet'!$B$9,Paramètres!$A$1:$I$89,5,0)</f>
        <v>0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101.15586831191774</v>
      </c>
      <c r="T97" s="59">
        <f t="shared" si="88"/>
        <v>346.96347336689064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11.472935117493972</v>
      </c>
      <c r="AA97" s="21">
        <f>EXP(-LN(2)/25)*AA96+(1-EXP(-LN(2)/25))/(LN(2)/25)*Calculateur!V97*Calculateur!X97*VLOOKUP('Données projet'!$B$9,Paramètres!$A$1:$I$89,3,0)*0.475*44/12</f>
        <v>2.7965111987443958</v>
      </c>
      <c r="AB97" s="21">
        <f>EXP(-LN(2)/2)*AB96+(1-EXP(-LN(2)/2))/(LN(2)/2)*V97*Y97*VLOOKUP('Données projet'!$B$9,Paramètres!$A$1:$I$89,3,0)*0.475*44/12</f>
        <v>0</v>
      </c>
      <c r="AC97" s="22">
        <f t="shared" si="57"/>
        <v>14.269446316238367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0</v>
      </c>
      <c r="AJ97" s="13">
        <f>AI97*VLOOKUP('Données projet'!$B$10,Paramètres!$A$1:$I$89,3,0)*VLOOKUP('Données projet'!$B$10,Paramètres!$A$1:$I$89,5,0)</f>
        <v>0</v>
      </c>
      <c r="AK97" s="13" t="e">
        <f t="shared" si="89"/>
        <v>#NUM!</v>
      </c>
      <c r="AL97" s="20" t="e">
        <f t="shared" si="58"/>
        <v>#NUM!</v>
      </c>
      <c r="AM97" s="59" t="e">
        <f t="shared" si="59"/>
        <v>#NUM!</v>
      </c>
      <c r="AN97" s="59">
        <f ca="1">AVERAGE(OFFSET($AM$3,0,0,'Données projet'!$E$10+1,1))-AVERAGE(OFFSET($H$3,0,0,'Données projet'!$E$10+1,1))</f>
        <v>101.15586831191774</v>
      </c>
      <c r="AO97" s="59">
        <f t="shared" si="90"/>
        <v>346.96347336689064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11.472935117493972</v>
      </c>
      <c r="AV97" s="21">
        <f>EXP(-LN(2)/25)*AV96+(1-EXP(-LN(2)/25))/(LN(2)/25)*Calculateur!AQ97*Calculateur!AS97*VLOOKUP('Données projet'!$B$10,Paramètres!$A$1:$I$89,3,0)*0.475*44/12</f>
        <v>2.7965111987443958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14.269446316238367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6</v>
      </c>
      <c r="BD97" s="12">
        <f>IF('Données projet'!$A$88&gt;35,BD96+BC97-BL96,IF(A97&lt;'Données projet'!$A$88,$BA$205^A97,IF(A97='Données projet'!$A$88,'Données projet'!$B$88,BD96+BC97-BL96)))</f>
        <v>326.00000000000017</v>
      </c>
      <c r="BE97" s="13">
        <f>BD97*VLOOKUP('Données projet'!$B$11,Paramètres!$A$1:$I$89,3,0)*VLOOKUP('Données projet'!$B$11,Paramètres!$A$1:$I$89,5,0)</f>
        <v>294.96480000000014</v>
      </c>
      <c r="BF97" s="13">
        <f t="shared" si="91"/>
        <v>70.119854541045058</v>
      </c>
      <c r="BG97" s="20">
        <f t="shared" si="61"/>
        <v>635.85577332565367</v>
      </c>
      <c r="BH97" s="59">
        <f t="shared" si="62"/>
        <v>929.18910665898693</v>
      </c>
      <c r="BI97" s="59">
        <f ca="1">AVERAGE(OFFSET($BH$3,0,0,'Données projet'!$E$11+1,1))-AVERAGE(OFFSET($H$3,0,0,'Données projet'!$E$11+1,1))</f>
        <v>352.62747127358324</v>
      </c>
      <c r="BJ97" s="59">
        <f t="shared" si="92"/>
        <v>283.16932763435011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39.017276405483848</v>
      </c>
      <c r="BQ97" s="21">
        <f>EXP(-LN(2)/25)*BQ96+(1-EXP(-LN(2)/25))/(LN(2)/25)*Calculateur!BL97*Calculateur!BN97*VLOOKUP('Données projet'!$B$11,Paramètres!$A$1:$I$89,3,0)*0.475*44/12</f>
        <v>0</v>
      </c>
      <c r="BR97" s="21">
        <f>EXP(-LN(2)/2)*BR96+(1-EXP(-LN(2)/2))/(LN(2)/2)*BL97*BO97*VLOOKUP('Données projet'!$B$11,Paramètres!$A$1:$I$89,3,0)*0.475*44/12</f>
        <v>0</v>
      </c>
      <c r="BS97" s="22">
        <f t="shared" si="63"/>
        <v>39.017276405483848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6</v>
      </c>
      <c r="BY97" s="12">
        <f>IF('Données projet'!$A$114&gt;35,BY96+BX97-CG96,IF(A97&lt;'Données projet'!$A$114,$BV$205^A97,IF(A97='Données projet'!$A$114,'Données projet'!$B$114,BY96+BX97-CG96)))</f>
        <v>326.00000000000017</v>
      </c>
      <c r="BZ97" s="13">
        <f>BY97*VLOOKUP('Données projet'!$B$12,Paramètres!$A$1:$I$89,3,0)*VLOOKUP('Données projet'!$B$12,Paramètres!$A$1:$I$89,5,0)</f>
        <v>340.73520000000019</v>
      </c>
      <c r="CA97" s="13">
        <f t="shared" si="93"/>
        <v>79.651824295893874</v>
      </c>
      <c r="CB97" s="20">
        <f t="shared" si="64"/>
        <v>732.17406731534891</v>
      </c>
      <c r="CC97" s="59">
        <f t="shared" si="65"/>
        <v>1025.5074006486823</v>
      </c>
      <c r="CD97" s="59">
        <f ca="1">AVERAGE(OFFSET($CC$3,0,0,'Données projet'!$E$12+1,1))-AVERAGE(OFFSET($H$3,0,0,'Données projet'!$E$12+1,1))</f>
        <v>423.49657671419374</v>
      </c>
      <c r="CE97" s="59">
        <f t="shared" si="94"/>
        <v>329.6783569381081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45.071681364955474</v>
      </c>
      <c r="CL97" s="21">
        <f>EXP(-LN(2)/25)*CL96+(1-EXP(-LN(2)/25))/(LN(2)/25)*Calculateur!CG97*Calculateur!CI97*VLOOKUP('Données projet'!$B$12,Paramètres!$A$1:$I$89,3,0)*0.475*44/12</f>
        <v>0</v>
      </c>
      <c r="CM97" s="21">
        <f>EXP(-LN(2)/2)*CM96+(1-EXP(-LN(2)/2))/(LN(2)/2)*CG97*CJ97*VLOOKUP('Données projet'!$B$12,Paramètres!$A$1:$I$89,3,0)*0.475*44/12</f>
        <v>0</v>
      </c>
      <c r="CN97" s="22">
        <f t="shared" si="66"/>
        <v>45.071681364955474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6</v>
      </c>
      <c r="CT97" s="12">
        <f>IF('Données projet'!$A$140&gt;35,CT96+CS97-DB96,IF(A97&lt;'Données projet'!$A$140,$CQ$205^A97,IF(A97='Données projet'!$A$140,'Données projet'!$B$140,CT96+CS97-DB96)))</f>
        <v>326.00000000000017</v>
      </c>
      <c r="CU97" s="17">
        <f>CT97*VLOOKUP('Données projet'!$B$13,Paramètres!$A$1:$I$89,3,0)*VLOOKUP('Données projet'!$B$13,Paramètres!$A$1:$I$89,5,0)</f>
        <v>330.56400000000019</v>
      </c>
      <c r="CV97" s="13">
        <f t="shared" si="95"/>
        <v>77.547227137682924</v>
      </c>
      <c r="CW97" s="20">
        <f t="shared" si="67"/>
        <v>710.79372059813147</v>
      </c>
      <c r="CX97" s="59">
        <f t="shared" si="68"/>
        <v>1004.1270539314648</v>
      </c>
      <c r="CY97" s="59">
        <f ca="1">AVERAGE(OFFSET($CX$3,0,0,'Données projet'!$E$13+1,1))-AVERAGE(OFFSET($H$3,0,0,'Données projet'!$E$13+1,1))</f>
        <v>407.76560346703042</v>
      </c>
      <c r="CZ97" s="59">
        <f t="shared" si="96"/>
        <v>319.35531375725202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>
        <f>EXP(-LN(2)/35)*DF96+(1-EXP(-LN(2)/35))/(LN(2)/35)*DB97*DC97*VLOOKUP('Données projet'!$B$13,Paramètres!$A$1:$I$89,3,0)*0.475*44/12</f>
        <v>43.726258040628451</v>
      </c>
      <c r="DG97" s="21">
        <f>EXP(-LN(2)/25)*DG96+(1-EXP(-LN(2)/25))/(LN(2)/25)*Calculateur!DB97*Calculateur!DD97*VLOOKUP('Données projet'!$B$13,Paramètres!$A$1:$I$89,3,0)*0.475*44/12</f>
        <v>0</v>
      </c>
      <c r="DH97" s="21">
        <f>EXP(-LN(2)/2)*DH96+(1-EXP(-LN(2)/2))/(LN(2)/2)*DB97*DE97*VLOOKUP('Données projet'!$B$13,Paramètres!$A$1:$I$89,3,0)*0.475*44/12</f>
        <v>0</v>
      </c>
      <c r="DI97" s="22">
        <f t="shared" si="69"/>
        <v>43.726258040628451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2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84.474000000000132</v>
      </c>
      <c r="D98" s="11">
        <f t="shared" si="86"/>
        <v>23.227611851623202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831.38086341603992</v>
      </c>
      <c r="H98" s="67">
        <f t="shared" si="56"/>
        <v>444.24697397491065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0</v>
      </c>
      <c r="O98" s="13">
        <f>N98*VLOOKUP('Données projet'!$B$9,Paramètres!$A$1:$I$89,3,0)*VLOOKUP('Données projet'!$B$9,Paramètres!$A$1:$I$89,5,0)</f>
        <v>0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101.15586831191774</v>
      </c>
      <c r="T98" s="59">
        <f t="shared" si="88"/>
        <v>346.96347336689064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11.247957857639362</v>
      </c>
      <c r="AA98" s="21">
        <f>EXP(-LN(2)/25)*AA97+(1-EXP(-LN(2)/25))/(LN(2)/25)*Calculateur!V98*Calculateur!X98*VLOOKUP('Données projet'!$B$9,Paramètres!$A$1:$I$89,3,0)*0.475*44/12</f>
        <v>2.7200404529525977</v>
      </c>
      <c r="AB98" s="21">
        <f>EXP(-LN(2)/2)*AB97+(1-EXP(-LN(2)/2))/(LN(2)/2)*V98*Y98*VLOOKUP('Données projet'!$B$9,Paramètres!$A$1:$I$89,3,0)*0.475*44/12</f>
        <v>0</v>
      </c>
      <c r="AC98" s="22">
        <f t="shared" si="57"/>
        <v>13.967998310591959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0</v>
      </c>
      <c r="AJ98" s="13">
        <f>AI98*VLOOKUP('Données projet'!$B$10,Paramètres!$A$1:$I$89,3,0)*VLOOKUP('Données projet'!$B$10,Paramètres!$A$1:$I$89,5,0)</f>
        <v>0</v>
      </c>
      <c r="AK98" s="13" t="e">
        <f t="shared" si="89"/>
        <v>#NUM!</v>
      </c>
      <c r="AL98" s="20" t="e">
        <f t="shared" si="58"/>
        <v>#NUM!</v>
      </c>
      <c r="AM98" s="59" t="e">
        <f t="shared" si="59"/>
        <v>#NUM!</v>
      </c>
      <c r="AN98" s="59">
        <f ca="1">AVERAGE(OFFSET($AM$3,0,0,'Données projet'!$E$10+1,1))-AVERAGE(OFFSET($H$3,0,0,'Données projet'!$E$10+1,1))</f>
        <v>101.15586831191774</v>
      </c>
      <c r="AO98" s="59">
        <f t="shared" si="90"/>
        <v>346.96347336689064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11.247957857639362</v>
      </c>
      <c r="AV98" s="21">
        <f>EXP(-LN(2)/25)*AV97+(1-EXP(-LN(2)/25))/(LN(2)/25)*Calculateur!AQ98*Calculateur!AS98*VLOOKUP('Données projet'!$B$10,Paramètres!$A$1:$I$89,3,0)*0.475*44/12</f>
        <v>2.7200404529525977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13.967998310591959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6</v>
      </c>
      <c r="BD98" s="12">
        <f>IF('Données projet'!$A$88&gt;35,BD97+BC98-BL97,IF(A98&lt;'Données projet'!$A$88,$BA$205^A98,IF(A98='Données projet'!$A$88,'Données projet'!$B$88,BD97+BC98-BL97)))</f>
        <v>332.00000000000017</v>
      </c>
      <c r="BE98" s="13">
        <f>BD98*VLOOKUP('Données projet'!$B$11,Paramètres!$A$1:$I$89,3,0)*VLOOKUP('Données projet'!$B$11,Paramètres!$A$1:$I$89,5,0)</f>
        <v>300.39360000000016</v>
      </c>
      <c r="BF98" s="13">
        <f t="shared" si="91"/>
        <v>71.258970856492738</v>
      </c>
      <c r="BG98" s="20">
        <f t="shared" si="61"/>
        <v>647.29489424172516</v>
      </c>
      <c r="BH98" s="59">
        <f t="shared" si="62"/>
        <v>940.62822757505842</v>
      </c>
      <c r="BI98" s="59">
        <f ca="1">AVERAGE(OFFSET($BH$3,0,0,'Données projet'!$E$11+1,1))-AVERAGE(OFFSET($H$3,0,0,'Données projet'!$E$11+1,1))</f>
        <v>352.62747127358324</v>
      </c>
      <c r="BJ98" s="59">
        <f t="shared" si="92"/>
        <v>283.16932763435011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38.25217141336104</v>
      </c>
      <c r="BQ98" s="21">
        <f>EXP(-LN(2)/25)*BQ97+(1-EXP(-LN(2)/25))/(LN(2)/25)*Calculateur!BL98*Calculateur!BN98*VLOOKUP('Données projet'!$B$11,Paramètres!$A$1:$I$89,3,0)*0.475*44/12</f>
        <v>0</v>
      </c>
      <c r="BR98" s="21">
        <f>EXP(-LN(2)/2)*BR97+(1-EXP(-LN(2)/2))/(LN(2)/2)*BL98*BO98*VLOOKUP('Données projet'!$B$11,Paramètres!$A$1:$I$89,3,0)*0.475*44/12</f>
        <v>0</v>
      </c>
      <c r="BS98" s="22">
        <f t="shared" si="63"/>
        <v>38.25217141336104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6</v>
      </c>
      <c r="BY98" s="12">
        <f>IF('Données projet'!$A$114&gt;35,BY97+BX98-CG97,IF(A98&lt;'Données projet'!$A$114,$BV$205^A98,IF(A98='Données projet'!$A$114,'Données projet'!$B$114,BY97+BX98-CG97)))</f>
        <v>332.00000000000017</v>
      </c>
      <c r="BZ98" s="13">
        <f>BY98*VLOOKUP('Données projet'!$B$12,Paramètres!$A$1:$I$89,3,0)*VLOOKUP('Données projet'!$B$12,Paramètres!$A$1:$I$89,5,0)</f>
        <v>347.00640000000021</v>
      </c>
      <c r="CA98" s="13">
        <f t="shared" si="93"/>
        <v>80.945790080684674</v>
      </c>
      <c r="CB98" s="20">
        <f t="shared" si="64"/>
        <v>745.3500643905262</v>
      </c>
      <c r="CC98" s="59">
        <f t="shared" si="65"/>
        <v>1038.6833977238596</v>
      </c>
      <c r="CD98" s="59">
        <f ca="1">AVERAGE(OFFSET($CC$3,0,0,'Données projet'!$E$12+1,1))-AVERAGE(OFFSET($H$3,0,0,'Données projet'!$E$12+1,1))</f>
        <v>423.49657671419374</v>
      </c>
      <c r="CE98" s="59">
        <f t="shared" si="94"/>
        <v>329.6783569381081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44.18785318439982</v>
      </c>
      <c r="CL98" s="21">
        <f>EXP(-LN(2)/25)*CL97+(1-EXP(-LN(2)/25))/(LN(2)/25)*Calculateur!CG98*Calculateur!CI98*VLOOKUP('Données projet'!$B$12,Paramètres!$A$1:$I$89,3,0)*0.475*44/12</f>
        <v>0</v>
      </c>
      <c r="CM98" s="21">
        <f>EXP(-LN(2)/2)*CM97+(1-EXP(-LN(2)/2))/(LN(2)/2)*CG98*CJ98*VLOOKUP('Données projet'!$B$12,Paramètres!$A$1:$I$89,3,0)*0.475*44/12</f>
        <v>0</v>
      </c>
      <c r="CN98" s="22">
        <f t="shared" si="66"/>
        <v>44.18785318439982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6</v>
      </c>
      <c r="CT98" s="12">
        <f>IF('Données projet'!$A$140&gt;35,CT97+CS98-DB97,IF(A98&lt;'Données projet'!$A$140,$CQ$205^A98,IF(A98='Données projet'!$A$140,'Données projet'!$B$140,CT97+CS98-DB97)))</f>
        <v>332.00000000000017</v>
      </c>
      <c r="CU98" s="17">
        <f>CT98*VLOOKUP('Données projet'!$B$13,Paramètres!$A$1:$I$89,3,0)*VLOOKUP('Données projet'!$B$13,Paramètres!$A$1:$I$89,5,0)</f>
        <v>336.6480000000002</v>
      </c>
      <c r="CV98" s="13">
        <f t="shared" si="95"/>
        <v>78.807003163010378</v>
      </c>
      <c r="CW98" s="20">
        <f t="shared" si="67"/>
        <v>723.58413050891011</v>
      </c>
      <c r="CX98" s="59">
        <f t="shared" si="68"/>
        <v>1016.9174638422435</v>
      </c>
      <c r="CY98" s="59">
        <f ca="1">AVERAGE(OFFSET($CX$3,0,0,'Données projet'!$E$13+1,1))-AVERAGE(OFFSET($H$3,0,0,'Données projet'!$E$13+1,1))</f>
        <v>407.76560346703042</v>
      </c>
      <c r="CZ98" s="59">
        <f t="shared" si="96"/>
        <v>319.35531375725202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>
        <f>EXP(-LN(2)/35)*DF97+(1-EXP(-LN(2)/35))/(LN(2)/35)*DB98*DC98*VLOOKUP('Données projet'!$B$13,Paramètres!$A$1:$I$89,3,0)*0.475*44/12</f>
        <v>42.868812790835648</v>
      </c>
      <c r="DG98" s="21">
        <f>EXP(-LN(2)/25)*DG97+(1-EXP(-LN(2)/25))/(LN(2)/25)*Calculateur!DB98*Calculateur!DD98*VLOOKUP('Données projet'!$B$13,Paramètres!$A$1:$I$89,3,0)*0.475*44/12</f>
        <v>0</v>
      </c>
      <c r="DH98" s="21">
        <f>EXP(-LN(2)/2)*DH97+(1-EXP(-LN(2)/2))/(LN(2)/2)*DB98*DE98*VLOOKUP('Données projet'!$B$13,Paramètres!$A$1:$I$89,3,0)*0.475*44/12</f>
        <v>0</v>
      </c>
      <c r="DI98" s="22">
        <f t="shared" si="69"/>
        <v>42.868812790835648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2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85.363200000000134</v>
      </c>
      <c r="D99" s="11">
        <f t="shared" si="86"/>
        <v>23.443521253861071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839.91153248594617</v>
      </c>
      <c r="H99" s="67">
        <f t="shared" si="56"/>
        <v>446.17170618380828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0</v>
      </c>
      <c r="O99" s="13">
        <f>N99*VLOOKUP('Données projet'!$B$9,Paramètres!$A$1:$I$89,3,0)*VLOOKUP('Données projet'!$B$9,Paramètres!$A$1:$I$89,5,0)</f>
        <v>0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101.15586831191774</v>
      </c>
      <c r="T99" s="59">
        <f t="shared" si="88"/>
        <v>346.96347336689064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11.027392264627922</v>
      </c>
      <c r="AA99" s="21">
        <f>EXP(-LN(2)/25)*AA98+(1-EXP(-LN(2)/25))/(LN(2)/25)*Calculateur!V99*Calculateur!X99*VLOOKUP('Données projet'!$B$9,Paramètres!$A$1:$I$89,3,0)*0.475*44/12</f>
        <v>2.6456608037258982</v>
      </c>
      <c r="AB99" s="21">
        <f>EXP(-LN(2)/2)*AB98+(1-EXP(-LN(2)/2))/(LN(2)/2)*V99*Y99*VLOOKUP('Données projet'!$B$9,Paramètres!$A$1:$I$89,3,0)*0.475*44/12</f>
        <v>0</v>
      </c>
      <c r="AC99" s="22">
        <f t="shared" si="57"/>
        <v>13.67305306835382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0</v>
      </c>
      <c r="AJ99" s="13">
        <f>AI99*VLOOKUP('Données projet'!$B$10,Paramètres!$A$1:$I$89,3,0)*VLOOKUP('Données projet'!$B$10,Paramètres!$A$1:$I$89,5,0)</f>
        <v>0</v>
      </c>
      <c r="AK99" s="13" t="e">
        <f t="shared" si="89"/>
        <v>#NUM!</v>
      </c>
      <c r="AL99" s="20" t="e">
        <f t="shared" si="58"/>
        <v>#NUM!</v>
      </c>
      <c r="AM99" s="59" t="e">
        <f t="shared" si="59"/>
        <v>#NUM!</v>
      </c>
      <c r="AN99" s="59">
        <f ca="1">AVERAGE(OFFSET($AM$3,0,0,'Données projet'!$E$10+1,1))-AVERAGE(OFFSET($H$3,0,0,'Données projet'!$E$10+1,1))</f>
        <v>101.15586831191774</v>
      </c>
      <c r="AO99" s="59">
        <f t="shared" si="90"/>
        <v>346.96347336689064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11.027392264627922</v>
      </c>
      <c r="AV99" s="21">
        <f>EXP(-LN(2)/25)*AV98+(1-EXP(-LN(2)/25))/(LN(2)/25)*Calculateur!AQ99*Calculateur!AS99*VLOOKUP('Données projet'!$B$10,Paramètres!$A$1:$I$89,3,0)*0.475*44/12</f>
        <v>2.6456608037258982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13.67305306835382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6</v>
      </c>
      <c r="BD99" s="12">
        <f>IF('Données projet'!$A$88&gt;35,BD98+BC99-BL98,IF(A99&lt;'Données projet'!$A$88,$BA$205^A99,IF(A99='Données projet'!$A$88,'Données projet'!$B$88,BD98+BC99-BL98)))</f>
        <v>338.00000000000017</v>
      </c>
      <c r="BE99" s="13">
        <f>BD99*VLOOKUP('Données projet'!$B$11,Paramètres!$A$1:$I$89,3,0)*VLOOKUP('Données projet'!$B$11,Paramètres!$A$1:$I$89,5,0)</f>
        <v>305.82240000000013</v>
      </c>
      <c r="BF99" s="13">
        <f t="shared" si="91"/>
        <v>72.395693291268998</v>
      </c>
      <c r="BG99" s="20">
        <f t="shared" si="61"/>
        <v>658.72984581562707</v>
      </c>
      <c r="BH99" s="59">
        <f t="shared" si="62"/>
        <v>952.06317914896044</v>
      </c>
      <c r="BI99" s="59">
        <f ca="1">AVERAGE(OFFSET($BH$3,0,0,'Données projet'!$E$11+1,1))-AVERAGE(OFFSET($H$3,0,0,'Données projet'!$E$11+1,1))</f>
        <v>352.62747127358324</v>
      </c>
      <c r="BJ99" s="59">
        <f t="shared" si="92"/>
        <v>283.16932763435011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37.502069663465797</v>
      </c>
      <c r="BQ99" s="21">
        <f>EXP(-LN(2)/25)*BQ98+(1-EXP(-LN(2)/25))/(LN(2)/25)*Calculateur!BL99*Calculateur!BN99*VLOOKUP('Données projet'!$B$11,Paramètres!$A$1:$I$89,3,0)*0.475*44/12</f>
        <v>0</v>
      </c>
      <c r="BR99" s="21">
        <f>EXP(-LN(2)/2)*BR98+(1-EXP(-LN(2)/2))/(LN(2)/2)*BL99*BO99*VLOOKUP('Données projet'!$B$11,Paramètres!$A$1:$I$89,3,0)*0.475*44/12</f>
        <v>0</v>
      </c>
      <c r="BS99" s="22">
        <f t="shared" si="63"/>
        <v>37.502069663465797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6</v>
      </c>
      <c r="BY99" s="12">
        <f>IF('Données projet'!$A$114&gt;35,BY98+BX99-CG98,IF(A99&lt;'Données projet'!$A$114,$BV$205^A99,IF(A99='Données projet'!$A$114,'Données projet'!$B$114,BY98+BX99-CG98)))</f>
        <v>338.00000000000017</v>
      </c>
      <c r="BZ99" s="13">
        <f>BY99*VLOOKUP('Données projet'!$B$12,Paramètres!$A$1:$I$89,3,0)*VLOOKUP('Données projet'!$B$12,Paramètres!$A$1:$I$89,5,0)</f>
        <v>353.27760000000018</v>
      </c>
      <c r="CA99" s="13">
        <f t="shared" si="93"/>
        <v>82.237036564874117</v>
      </c>
      <c r="CB99" s="20">
        <f t="shared" si="64"/>
        <v>758.52132535048941</v>
      </c>
      <c r="CC99" s="59">
        <f t="shared" si="65"/>
        <v>1051.8546586838227</v>
      </c>
      <c r="CD99" s="59">
        <f ca="1">AVERAGE(OFFSET($CC$3,0,0,'Données projet'!$E$12+1,1))-AVERAGE(OFFSET($H$3,0,0,'Données projet'!$E$12+1,1))</f>
        <v>423.49657671419374</v>
      </c>
      <c r="CE99" s="59">
        <f t="shared" si="94"/>
        <v>329.6783569381081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43.321356335382902</v>
      </c>
      <c r="CL99" s="21">
        <f>EXP(-LN(2)/25)*CL98+(1-EXP(-LN(2)/25))/(LN(2)/25)*Calculateur!CG99*Calculateur!CI99*VLOOKUP('Données projet'!$B$12,Paramètres!$A$1:$I$89,3,0)*0.475*44/12</f>
        <v>0</v>
      </c>
      <c r="CM99" s="21">
        <f>EXP(-LN(2)/2)*CM98+(1-EXP(-LN(2)/2))/(LN(2)/2)*CG99*CJ99*VLOOKUP('Données projet'!$B$12,Paramètres!$A$1:$I$89,3,0)*0.475*44/12</f>
        <v>0</v>
      </c>
      <c r="CN99" s="22">
        <f t="shared" si="66"/>
        <v>43.321356335382902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6</v>
      </c>
      <c r="CT99" s="12">
        <f>IF('Données projet'!$A$140&gt;35,CT98+CS99-DB98,IF(A99&lt;'Données projet'!$A$140,$CQ$205^A99,IF(A99='Données projet'!$A$140,'Données projet'!$B$140,CT98+CS99-DB98)))</f>
        <v>338.00000000000017</v>
      </c>
      <c r="CU99" s="17">
        <f>CT99*VLOOKUP('Données projet'!$B$13,Paramètres!$A$1:$I$89,3,0)*VLOOKUP('Données projet'!$B$13,Paramètres!$A$1:$I$89,5,0)</f>
        <v>342.7320000000002</v>
      </c>
      <c r="CV99" s="13">
        <f t="shared" si="95"/>
        <v>80.064131738348422</v>
      </c>
      <c r="CW99" s="20">
        <f t="shared" si="67"/>
        <v>736.36992944429039</v>
      </c>
      <c r="CX99" s="59">
        <f t="shared" si="68"/>
        <v>1029.7032627776236</v>
      </c>
      <c r="CY99" s="59">
        <f ca="1">AVERAGE(OFFSET($CX$3,0,0,'Données projet'!$E$13+1,1))-AVERAGE(OFFSET($H$3,0,0,'Données projet'!$E$13+1,1))</f>
        <v>407.76560346703042</v>
      </c>
      <c r="CZ99" s="59">
        <f t="shared" si="96"/>
        <v>319.35531375725202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42.028181519401322</v>
      </c>
      <c r="DG99" s="21">
        <f>EXP(-LN(2)/25)*DG98+(1-EXP(-LN(2)/25))/(LN(2)/25)*Calculateur!DB99*Calculateur!DD99*VLOOKUP('Données projet'!$B$13,Paramètres!$A$1:$I$89,3,0)*0.475*44/12</f>
        <v>0</v>
      </c>
      <c r="DH99" s="21">
        <f>EXP(-LN(2)/2)*DH98+(1-EXP(-LN(2)/2))/(LN(2)/2)*DB99*DE99*VLOOKUP('Données projet'!$B$13,Paramètres!$A$1:$I$89,3,0)*0.475*44/12</f>
        <v>0</v>
      </c>
      <c r="DI99" s="22">
        <f t="shared" si="69"/>
        <v>42.028181519401322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2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86.252400000000137</v>
      </c>
      <c r="D100" s="11">
        <f t="shared" si="86"/>
        <v>23.659169019590845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848.44018190561474</v>
      </c>
      <c r="H100" s="67">
        <f t="shared" si="56"/>
        <v>448.09598270912102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0</v>
      </c>
      <c r="O100" s="13">
        <f>N100*VLOOKUP('Données projet'!$B$9,Paramètres!$A$1:$I$89,3,0)*VLOOKUP('Données projet'!$B$9,Paramètres!$A$1:$I$89,5,0)</f>
        <v>0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101.15586831191774</v>
      </c>
      <c r="T100" s="59">
        <f t="shared" si="88"/>
        <v>346.96347336689064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10.811151828363709</v>
      </c>
      <c r="AA100" s="21">
        <f>EXP(-LN(2)/25)*AA99+(1-EXP(-LN(2)/25))/(LN(2)/25)*Calculateur!V100*Calculateur!X100*VLOOKUP('Données projet'!$B$9,Paramètres!$A$1:$I$89,3,0)*0.475*44/12</f>
        <v>2.5733150699187584</v>
      </c>
      <c r="AB100" s="21">
        <f>EXP(-LN(2)/2)*AB99+(1-EXP(-LN(2)/2))/(LN(2)/2)*V100*Y100*VLOOKUP('Données projet'!$B$9,Paramètres!$A$1:$I$89,3,0)*0.475*44/12</f>
        <v>0</v>
      </c>
      <c r="AC100" s="22">
        <f t="shared" si="57"/>
        <v>13.384466898282467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0</v>
      </c>
      <c r="AJ100" s="13">
        <f>AI100*VLOOKUP('Données projet'!$B$10,Paramètres!$A$1:$I$89,3,0)*VLOOKUP('Données projet'!$B$10,Paramètres!$A$1:$I$89,5,0)</f>
        <v>0</v>
      </c>
      <c r="AK100" s="13" t="e">
        <f t="shared" si="89"/>
        <v>#NUM!</v>
      </c>
      <c r="AL100" s="20" t="e">
        <f t="shared" si="58"/>
        <v>#NUM!</v>
      </c>
      <c r="AM100" s="59" t="e">
        <f t="shared" si="59"/>
        <v>#NUM!</v>
      </c>
      <c r="AN100" s="59">
        <f ca="1">AVERAGE(OFFSET($AM$3,0,0,'Données projet'!$E$10+1,1))-AVERAGE(OFFSET($H$3,0,0,'Données projet'!$E$10+1,1))</f>
        <v>101.15586831191774</v>
      </c>
      <c r="AO100" s="59">
        <f t="shared" si="90"/>
        <v>346.96347336689064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10.811151828363709</v>
      </c>
      <c r="AV100" s="21">
        <f>EXP(-LN(2)/25)*AV99+(1-EXP(-LN(2)/25))/(LN(2)/25)*Calculateur!AQ100*Calculateur!AS100*VLOOKUP('Données projet'!$B$10,Paramètres!$A$1:$I$89,3,0)*0.475*44/12</f>
        <v>2.5733150699187584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13.384466898282467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6</v>
      </c>
      <c r="BD100" s="12">
        <f>IF('Données projet'!$A$88&gt;35,BD99+BC100-BL99,IF(A100&lt;'Données projet'!$A$88,$BA$205^A100,IF(A100='Données projet'!$A$88,'Données projet'!$B$88,BD99+BC100-BL99)))</f>
        <v>344.00000000000017</v>
      </c>
      <c r="BE100" s="13">
        <f>BD100*VLOOKUP('Données projet'!$B$11,Paramètres!$A$1:$I$89,3,0)*VLOOKUP('Données projet'!$B$11,Paramètres!$A$1:$I$89,5,0)</f>
        <v>311.25120000000015</v>
      </c>
      <c r="BF100" s="13">
        <f t="shared" si="91"/>
        <v>73.530069242745114</v>
      </c>
      <c r="BG100" s="20">
        <f t="shared" si="61"/>
        <v>670.1607105977813</v>
      </c>
      <c r="BH100" s="59">
        <f t="shared" si="62"/>
        <v>963.49404393111467</v>
      </c>
      <c r="BI100" s="59">
        <f ca="1">AVERAGE(OFFSET($BH$3,0,0,'Données projet'!$E$11+1,1))-AVERAGE(OFFSET($H$3,0,0,'Données projet'!$E$11+1,1))</f>
        <v>352.62747127358324</v>
      </c>
      <c r="BJ100" s="59">
        <f t="shared" si="92"/>
        <v>283.16932763435011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36.766676951369107</v>
      </c>
      <c r="BQ100" s="21">
        <f>EXP(-LN(2)/25)*BQ99+(1-EXP(-LN(2)/25))/(LN(2)/25)*Calculateur!BL100*Calculateur!BN100*VLOOKUP('Données projet'!$B$11,Paramètres!$A$1:$I$89,3,0)*0.475*44/12</f>
        <v>0</v>
      </c>
      <c r="BR100" s="21">
        <f>EXP(-LN(2)/2)*BR99+(1-EXP(-LN(2)/2))/(LN(2)/2)*BL100*BO100*VLOOKUP('Données projet'!$B$11,Paramètres!$A$1:$I$89,3,0)*0.475*44/12</f>
        <v>0</v>
      </c>
      <c r="BS100" s="22">
        <f t="shared" si="63"/>
        <v>36.766676951369107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6</v>
      </c>
      <c r="BY100" s="12">
        <f>IF('Données projet'!$A$114&gt;35,BY99+BX100-CG99,IF(A100&lt;'Données projet'!$A$114,$BV$205^A100,IF(A100='Données projet'!$A$114,'Données projet'!$B$114,BY99+BX100-CG99)))</f>
        <v>344.00000000000017</v>
      </c>
      <c r="BZ100" s="13">
        <f>BY100*VLOOKUP('Données projet'!$B$12,Paramètres!$A$1:$I$89,3,0)*VLOOKUP('Données projet'!$B$12,Paramètres!$A$1:$I$89,5,0)</f>
        <v>359.5488000000002</v>
      </c>
      <c r="CA100" s="13">
        <f t="shared" si="93"/>
        <v>83.52561758894872</v>
      </c>
      <c r="CB100" s="20">
        <f t="shared" si="64"/>
        <v>771.6879439674193</v>
      </c>
      <c r="CC100" s="59">
        <f t="shared" si="65"/>
        <v>1065.0212773007527</v>
      </c>
      <c r="CD100" s="59">
        <f ca="1">AVERAGE(OFFSET($CC$3,0,0,'Données projet'!$E$12+1,1))-AVERAGE(OFFSET($H$3,0,0,'Données projet'!$E$12+1,1))</f>
        <v>423.49657671419374</v>
      </c>
      <c r="CE100" s="59">
        <f t="shared" si="94"/>
        <v>329.6783569381081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42.471850961064312</v>
      </c>
      <c r="CL100" s="21">
        <f>EXP(-LN(2)/25)*CL99+(1-EXP(-LN(2)/25))/(LN(2)/25)*Calculateur!CG100*Calculateur!CI100*VLOOKUP('Données projet'!$B$12,Paramètres!$A$1:$I$89,3,0)*0.475*44/12</f>
        <v>0</v>
      </c>
      <c r="CM100" s="21">
        <f>EXP(-LN(2)/2)*CM99+(1-EXP(-LN(2)/2))/(LN(2)/2)*CG100*CJ100*VLOOKUP('Données projet'!$B$12,Paramètres!$A$1:$I$89,3,0)*0.475*44/12</f>
        <v>0</v>
      </c>
      <c r="CN100" s="22">
        <f t="shared" si="66"/>
        <v>42.471850961064312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6</v>
      </c>
      <c r="CT100" s="12">
        <f>IF('Données projet'!$A$140&gt;35,CT99+CS100-DB99,IF(A100&lt;'Données projet'!$A$140,$CQ$205^A100,IF(A100='Données projet'!$A$140,'Données projet'!$B$140,CT99+CS100-DB99)))</f>
        <v>344.00000000000017</v>
      </c>
      <c r="CU100" s="17">
        <f>CT100*VLOOKUP('Données projet'!$B$13,Paramètres!$A$1:$I$89,3,0)*VLOOKUP('Données projet'!$B$13,Paramètres!$A$1:$I$89,5,0)</f>
        <v>348.8160000000002</v>
      </c>
      <c r="CV100" s="13">
        <f t="shared" si="95"/>
        <v>81.318665281585453</v>
      </c>
      <c r="CW100" s="20">
        <f t="shared" si="67"/>
        <v>749.15120869876171</v>
      </c>
      <c r="CX100" s="59">
        <f t="shared" si="68"/>
        <v>1042.4845420320951</v>
      </c>
      <c r="CY100" s="59">
        <f ca="1">AVERAGE(OFFSET($CX$3,0,0,'Données projet'!$E$13+1,1))-AVERAGE(OFFSET($H$3,0,0,'Données projet'!$E$13+1,1))</f>
        <v>407.76560346703042</v>
      </c>
      <c r="CZ100" s="59">
        <f t="shared" si="96"/>
        <v>319.35531375725202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41.204034514465377</v>
      </c>
      <c r="DG100" s="21">
        <f>EXP(-LN(2)/25)*DG99+(1-EXP(-LN(2)/25))/(LN(2)/25)*Calculateur!DB100*Calculateur!DD100*VLOOKUP('Données projet'!$B$13,Paramètres!$A$1:$I$89,3,0)*0.475*44/12</f>
        <v>0</v>
      </c>
      <c r="DH100" s="21">
        <f>EXP(-LN(2)/2)*DH99+(1-EXP(-LN(2)/2))/(LN(2)/2)*DB100*DE100*VLOOKUP('Données projet'!$B$13,Paramètres!$A$1:$I$89,3,0)*0.475*44/12</f>
        <v>0</v>
      </c>
      <c r="DI100" s="22">
        <f t="shared" si="69"/>
        <v>41.204034514465377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2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87.141600000000139</v>
      </c>
      <c r="D101" s="11">
        <f t="shared" si="86"/>
        <v>23.874558158360987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856.96683490664736</v>
      </c>
      <c r="H101" s="67">
        <f t="shared" si="56"/>
        <v>450.01980879247901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0</v>
      </c>
      <c r="O101" s="13">
        <f>N101*VLOOKUP('Données projet'!$B$9,Paramètres!$A$1:$I$89,3,0)*VLOOKUP('Données projet'!$B$9,Paramètres!$A$1:$I$89,5,0)</f>
        <v>0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101.15586831191774</v>
      </c>
      <c r="T101" s="59">
        <f t="shared" si="88"/>
        <v>346.96347336689064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10.599151735160994</v>
      </c>
      <c r="AA101" s="21">
        <f>EXP(-LN(2)/25)*AA100+(1-EXP(-LN(2)/25))/(LN(2)/25)*Calculateur!V101*Calculateur!X101*VLOOKUP('Données projet'!$B$9,Paramètres!$A$1:$I$89,3,0)*0.475*44/12</f>
        <v>2.502947634007072</v>
      </c>
      <c r="AB101" s="21">
        <f>EXP(-LN(2)/2)*AB100+(1-EXP(-LN(2)/2))/(LN(2)/2)*V101*Y101*VLOOKUP('Données projet'!$B$9,Paramètres!$A$1:$I$89,3,0)*0.475*44/12</f>
        <v>0</v>
      </c>
      <c r="AC101" s="22">
        <f t="shared" si="57"/>
        <v>13.102099369168066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0</v>
      </c>
      <c r="AJ101" s="13">
        <f>AI101*VLOOKUP('Données projet'!$B$10,Paramètres!$A$1:$I$89,3,0)*VLOOKUP('Données projet'!$B$10,Paramètres!$A$1:$I$89,5,0)</f>
        <v>0</v>
      </c>
      <c r="AK101" s="13" t="e">
        <f t="shared" si="89"/>
        <v>#NUM!</v>
      </c>
      <c r="AL101" s="20" t="e">
        <f t="shared" si="58"/>
        <v>#NUM!</v>
      </c>
      <c r="AM101" s="59" t="e">
        <f t="shared" si="59"/>
        <v>#NUM!</v>
      </c>
      <c r="AN101" s="59">
        <f ca="1">AVERAGE(OFFSET($AM$3,0,0,'Données projet'!$E$10+1,1))-AVERAGE(OFFSET($H$3,0,0,'Données projet'!$E$10+1,1))</f>
        <v>101.15586831191774</v>
      </c>
      <c r="AO101" s="59">
        <f t="shared" si="90"/>
        <v>346.96347336689064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10.599151735160994</v>
      </c>
      <c r="AV101" s="21">
        <f>EXP(-LN(2)/25)*AV100+(1-EXP(-LN(2)/25))/(LN(2)/25)*Calculateur!AQ101*Calculateur!AS101*VLOOKUP('Données projet'!$B$10,Paramètres!$A$1:$I$89,3,0)*0.475*44/12</f>
        <v>2.502947634007072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13.102099369168066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6</v>
      </c>
      <c r="BD101" s="12">
        <f>IF('Données projet'!$A$88&gt;35,BD100+BC101-BL100,IF(A101&lt;'Données projet'!$A$88,$BA$205^A101,IF(A101='Données projet'!$A$88,'Données projet'!$B$88,BD100+BC101-BL100)))</f>
        <v>350.00000000000017</v>
      </c>
      <c r="BE101" s="13">
        <f>BD101*VLOOKUP('Données projet'!$B$11,Paramètres!$A$1:$I$89,3,0)*VLOOKUP('Données projet'!$B$11,Paramètres!$A$1:$I$89,5,0)</f>
        <v>316.68000000000012</v>
      </c>
      <c r="BF101" s="13">
        <f t="shared" si="91"/>
        <v>74.662144360177763</v>
      </c>
      <c r="BG101" s="20">
        <f t="shared" si="61"/>
        <v>681.58756809397642</v>
      </c>
      <c r="BH101" s="59">
        <f t="shared" si="62"/>
        <v>974.92090142730967</v>
      </c>
      <c r="BI101" s="59">
        <f ca="1">AVERAGE(OFFSET($BH$3,0,0,'Données projet'!$E$11+1,1))-AVERAGE(OFFSET($H$3,0,0,'Données projet'!$E$11+1,1))</f>
        <v>352.62747127358324</v>
      </c>
      <c r="BJ101" s="59">
        <f t="shared" si="92"/>
        <v>283.16932763435011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36.045704841811371</v>
      </c>
      <c r="BQ101" s="21">
        <f>EXP(-LN(2)/25)*BQ100+(1-EXP(-LN(2)/25))/(LN(2)/25)*Calculateur!BL101*Calculateur!BN101*VLOOKUP('Données projet'!$B$11,Paramètres!$A$1:$I$89,3,0)*0.475*44/12</f>
        <v>0</v>
      </c>
      <c r="BR101" s="21">
        <f>EXP(-LN(2)/2)*BR100+(1-EXP(-LN(2)/2))/(LN(2)/2)*BL101*BO101*VLOOKUP('Données projet'!$B$11,Paramètres!$A$1:$I$89,3,0)*0.475*44/12</f>
        <v>0</v>
      </c>
      <c r="BS101" s="22">
        <f t="shared" si="63"/>
        <v>36.045704841811371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6</v>
      </c>
      <c r="BY101" s="12">
        <f>IF('Données projet'!$A$114&gt;35,BY100+BX101-CG100,IF(A101&lt;'Données projet'!$A$114,$BV$205^A101,IF(A101='Données projet'!$A$114,'Données projet'!$B$114,BY100+BX101-CG100)))</f>
        <v>350.00000000000017</v>
      </c>
      <c r="BZ101" s="13">
        <f>BY101*VLOOKUP('Données projet'!$B$12,Paramètres!$A$1:$I$89,3,0)*VLOOKUP('Données projet'!$B$12,Paramètres!$A$1:$I$89,5,0)</f>
        <v>365.82000000000022</v>
      </c>
      <c r="CA101" s="13">
        <f t="shared" si="93"/>
        <v>84.811585007644908</v>
      </c>
      <c r="CB101" s="20">
        <f t="shared" si="64"/>
        <v>784.85001055498196</v>
      </c>
      <c r="CC101" s="59">
        <f t="shared" si="65"/>
        <v>1078.1833438883152</v>
      </c>
      <c r="CD101" s="59">
        <f ca="1">AVERAGE(OFFSET($CC$3,0,0,'Données projet'!$E$12+1,1))-AVERAGE(OFFSET($H$3,0,0,'Données projet'!$E$12+1,1))</f>
        <v>423.49657671419374</v>
      </c>
      <c r="CE101" s="59">
        <f t="shared" si="94"/>
        <v>329.6783569381081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41.639003868988993</v>
      </c>
      <c r="CL101" s="21">
        <f>EXP(-LN(2)/25)*CL100+(1-EXP(-LN(2)/25))/(LN(2)/25)*Calculateur!CG101*Calculateur!CI101*VLOOKUP('Données projet'!$B$12,Paramètres!$A$1:$I$89,3,0)*0.475*44/12</f>
        <v>0</v>
      </c>
      <c r="CM101" s="21">
        <f>EXP(-LN(2)/2)*CM100+(1-EXP(-LN(2)/2))/(LN(2)/2)*CG101*CJ101*VLOOKUP('Données projet'!$B$12,Paramètres!$A$1:$I$89,3,0)*0.475*44/12</f>
        <v>0</v>
      </c>
      <c r="CN101" s="22">
        <f t="shared" si="66"/>
        <v>41.639003868988993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6</v>
      </c>
      <c r="CT101" s="12">
        <f>IF('Données projet'!$A$140&gt;35,CT100+CS101-DB100,IF(A101&lt;'Données projet'!$A$140,$CQ$205^A101,IF(A101='Données projet'!$A$140,'Données projet'!$B$140,CT100+CS101-DB100)))</f>
        <v>350.00000000000017</v>
      </c>
      <c r="CU101" s="17">
        <f>CT101*VLOOKUP('Données projet'!$B$13,Paramètres!$A$1:$I$89,3,0)*VLOOKUP('Données projet'!$B$13,Paramètres!$A$1:$I$89,5,0)</f>
        <v>354.9000000000002</v>
      </c>
      <c r="CV101" s="13">
        <f t="shared" si="95"/>
        <v>82.570654277328188</v>
      </c>
      <c r="CW101" s="20">
        <f t="shared" si="67"/>
        <v>761.92805619968021</v>
      </c>
      <c r="CX101" s="59">
        <f t="shared" si="68"/>
        <v>1055.2613895330135</v>
      </c>
      <c r="CY101" s="59">
        <f ca="1">AVERAGE(OFFSET($CX$3,0,0,'Données projet'!$E$13+1,1))-AVERAGE(OFFSET($H$3,0,0,'Données projet'!$E$13+1,1))</f>
        <v>407.76560346703042</v>
      </c>
      <c r="CZ101" s="59">
        <f t="shared" si="96"/>
        <v>319.35531375725202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40.396048529616188</v>
      </c>
      <c r="DG101" s="21">
        <f>EXP(-LN(2)/25)*DG100+(1-EXP(-LN(2)/25))/(LN(2)/25)*Calculateur!DB101*Calculateur!DD101*VLOOKUP('Données projet'!$B$13,Paramètres!$A$1:$I$89,3,0)*0.475*44/12</f>
        <v>0</v>
      </c>
      <c r="DH101" s="21">
        <f>EXP(-LN(2)/2)*DH100+(1-EXP(-LN(2)/2))/(LN(2)/2)*DB101*DE101*VLOOKUP('Données projet'!$B$13,Paramètres!$A$1:$I$89,3,0)*0.475*44/12</f>
        <v>0</v>
      </c>
      <c r="DI101" s="22">
        <f t="shared" si="69"/>
        <v>40.396048529616188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2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88.030800000000141</v>
      </c>
      <c r="D102" s="11">
        <f t="shared" si="86"/>
        <v>24.089691614761293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865.49151421921113</v>
      </c>
      <c r="H102" s="67">
        <f t="shared" si="56"/>
        <v>451.94318956237618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0</v>
      </c>
      <c r="O102" s="13">
        <f>N102*VLOOKUP('Données projet'!$B$9,Paramètres!$A$1:$I$89,3,0)*VLOOKUP('Données projet'!$B$9,Paramètres!$A$1:$I$89,5,0)</f>
        <v>0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101.15586831191774</v>
      </c>
      <c r="T102" s="59">
        <f t="shared" si="88"/>
        <v>346.96347336689064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10.391308834478695</v>
      </c>
      <c r="AA102" s="21">
        <f>EXP(-LN(2)/25)*AA101+(1-EXP(-LN(2)/25))/(LN(2)/25)*Calculateur!V102*Calculateur!X102*VLOOKUP('Données projet'!$B$9,Paramètres!$A$1:$I$89,3,0)*0.475*44/12</f>
        <v>2.4345043993308533</v>
      </c>
      <c r="AB102" s="21">
        <f>EXP(-LN(2)/2)*AB101+(1-EXP(-LN(2)/2))/(LN(2)/2)*V102*Y102*VLOOKUP('Données projet'!$B$9,Paramètres!$A$1:$I$89,3,0)*0.475*44/12</f>
        <v>0</v>
      </c>
      <c r="AC102" s="22">
        <f t="shared" si="57"/>
        <v>12.825813233809548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0</v>
      </c>
      <c r="AJ102" s="13">
        <f>AI102*VLOOKUP('Données projet'!$B$10,Paramètres!$A$1:$I$89,3,0)*VLOOKUP('Données projet'!$B$10,Paramètres!$A$1:$I$89,5,0)</f>
        <v>0</v>
      </c>
      <c r="AK102" s="13" t="e">
        <f t="shared" si="89"/>
        <v>#NUM!</v>
      </c>
      <c r="AL102" s="20" t="e">
        <f t="shared" si="58"/>
        <v>#NUM!</v>
      </c>
      <c r="AM102" s="59" t="e">
        <f t="shared" si="59"/>
        <v>#NUM!</v>
      </c>
      <c r="AN102" s="59">
        <f ca="1">AVERAGE(OFFSET($AM$3,0,0,'Données projet'!$E$10+1,1))-AVERAGE(OFFSET($H$3,0,0,'Données projet'!$E$10+1,1))</f>
        <v>101.15586831191774</v>
      </c>
      <c r="AO102" s="59">
        <f t="shared" si="90"/>
        <v>346.96347336689064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10.391308834478695</v>
      </c>
      <c r="AV102" s="21">
        <f>EXP(-LN(2)/25)*AV101+(1-EXP(-LN(2)/25))/(LN(2)/25)*Calculateur!AQ102*Calculateur!AS102*VLOOKUP('Données projet'!$B$10,Paramètres!$A$1:$I$89,3,0)*0.475*44/12</f>
        <v>2.4345043993308533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12.825813233809548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6</v>
      </c>
      <c r="BD102" s="12">
        <f>IF('Données projet'!$A$88&gt;35,BD101+BC102-BL101,IF(A102&lt;'Données projet'!$A$88,$BA$205^A102,IF(A102='Données projet'!$A$88,'Données projet'!$B$88,BD101+BC102-BL101)))</f>
        <v>356.00000000000017</v>
      </c>
      <c r="BE102" s="13">
        <f>BD102*VLOOKUP('Données projet'!$B$11,Paramètres!$A$1:$I$89,3,0)*VLOOKUP('Données projet'!$B$11,Paramètres!$A$1:$I$89,5,0)</f>
        <v>322.10880000000014</v>
      </c>
      <c r="BF102" s="13">
        <f t="shared" si="91"/>
        <v>75.791962638025339</v>
      </c>
      <c r="BG102" s="20">
        <f t="shared" si="61"/>
        <v>693.01049492789434</v>
      </c>
      <c r="BH102" s="59">
        <f t="shared" si="62"/>
        <v>986.3438282612276</v>
      </c>
      <c r="BI102" s="59">
        <f ca="1">AVERAGE(OFFSET($BH$3,0,0,'Données projet'!$E$11+1,1))-AVERAGE(OFFSET($H$3,0,0,'Données projet'!$E$11+1,1))</f>
        <v>352.62747127358324</v>
      </c>
      <c r="BJ102" s="59">
        <f t="shared" si="92"/>
        <v>283.16932763435011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35.338870555572498</v>
      </c>
      <c r="BQ102" s="21">
        <f>EXP(-LN(2)/25)*BQ101+(1-EXP(-LN(2)/25))/(LN(2)/25)*Calculateur!BL102*Calculateur!BN102*VLOOKUP('Données projet'!$B$11,Paramètres!$A$1:$I$89,3,0)*0.475*44/12</f>
        <v>0</v>
      </c>
      <c r="BR102" s="21">
        <f>EXP(-LN(2)/2)*BR101+(1-EXP(-LN(2)/2))/(LN(2)/2)*BL102*BO102*VLOOKUP('Données projet'!$B$11,Paramètres!$A$1:$I$89,3,0)*0.475*44/12</f>
        <v>0</v>
      </c>
      <c r="BS102" s="22">
        <f t="shared" si="63"/>
        <v>35.338870555572498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6</v>
      </c>
      <c r="BY102" s="12">
        <f>IF('Données projet'!$A$114&gt;35,BY101+BX102-CG101,IF(A102&lt;'Données projet'!$A$114,$BV$205^A102,IF(A102='Données projet'!$A$114,'Données projet'!$B$114,BY101+BX102-CG101)))</f>
        <v>356.00000000000017</v>
      </c>
      <c r="BZ102" s="13">
        <f>BY102*VLOOKUP('Données projet'!$B$12,Paramètres!$A$1:$I$89,3,0)*VLOOKUP('Données projet'!$B$12,Paramètres!$A$1:$I$89,5,0)</f>
        <v>372.09120000000019</v>
      </c>
      <c r="CA102" s="13">
        <f t="shared" si="93"/>
        <v>86.094988795950343</v>
      </c>
      <c r="CB102" s="20">
        <f t="shared" si="64"/>
        <v>798.00761215294722</v>
      </c>
      <c r="CC102" s="59">
        <f t="shared" si="65"/>
        <v>1091.3409454862806</v>
      </c>
      <c r="CD102" s="59">
        <f ca="1">AVERAGE(OFFSET($CC$3,0,0,'Données projet'!$E$12+1,1))-AVERAGE(OFFSET($H$3,0,0,'Données projet'!$E$12+1,1))</f>
        <v>423.49657671419374</v>
      </c>
      <c r="CE102" s="59">
        <f t="shared" si="94"/>
        <v>329.6783569381081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40.822488400402705</v>
      </c>
      <c r="CL102" s="21">
        <f>EXP(-LN(2)/25)*CL101+(1-EXP(-LN(2)/25))/(LN(2)/25)*Calculateur!CG102*Calculateur!CI102*VLOOKUP('Données projet'!$B$12,Paramètres!$A$1:$I$89,3,0)*0.475*44/12</f>
        <v>0</v>
      </c>
      <c r="CM102" s="21">
        <f>EXP(-LN(2)/2)*CM101+(1-EXP(-LN(2)/2))/(LN(2)/2)*CG102*CJ102*VLOOKUP('Données projet'!$B$12,Paramètres!$A$1:$I$89,3,0)*0.475*44/12</f>
        <v>0</v>
      </c>
      <c r="CN102" s="22">
        <f t="shared" si="66"/>
        <v>40.822488400402705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6</v>
      </c>
      <c r="CT102" s="12">
        <f>IF('Données projet'!$A$140&gt;35,CT101+CS102-DB101,IF(A102&lt;'Données projet'!$A$140,$CQ$205^A102,IF(A102='Données projet'!$A$140,'Données projet'!$B$140,CT101+CS102-DB101)))</f>
        <v>356.00000000000017</v>
      </c>
      <c r="CU102" s="17">
        <f>CT102*VLOOKUP('Données projet'!$B$13,Paramètres!$A$1:$I$89,3,0)*VLOOKUP('Données projet'!$B$13,Paramètres!$A$1:$I$89,5,0)</f>
        <v>360.98400000000021</v>
      </c>
      <c r="CV102" s="13">
        <f t="shared" si="95"/>
        <v>83.820147380102171</v>
      </c>
      <c r="CW102" s="20">
        <f t="shared" si="67"/>
        <v>774.70055668701161</v>
      </c>
      <c r="CX102" s="59">
        <f t="shared" si="68"/>
        <v>1068.0338900203449</v>
      </c>
      <c r="CY102" s="59">
        <f ca="1">AVERAGE(OFFSET($CX$3,0,0,'Données projet'!$E$13+1,1))-AVERAGE(OFFSET($H$3,0,0,'Données projet'!$E$13+1,1))</f>
        <v>407.76560346703042</v>
      </c>
      <c r="CZ102" s="59">
        <f t="shared" si="96"/>
        <v>319.35531375725202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39.603906657107103</v>
      </c>
      <c r="DG102" s="21">
        <f>EXP(-LN(2)/25)*DG101+(1-EXP(-LN(2)/25))/(LN(2)/25)*Calculateur!DB102*Calculateur!DD102*VLOOKUP('Données projet'!$B$13,Paramètres!$A$1:$I$89,3,0)*0.475*44/12</f>
        <v>0</v>
      </c>
      <c r="DH102" s="21">
        <f>EXP(-LN(2)/2)*DH101+(1-EXP(-LN(2)/2))/(LN(2)/2)*DB102*DE102*VLOOKUP('Données projet'!$B$13,Paramètres!$A$1:$I$89,3,0)*0.475*44/12</f>
        <v>0</v>
      </c>
      <c r="DI102" s="22">
        <f t="shared" si="69"/>
        <v>39.603906657107103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2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88.920000000000144</v>
      </c>
      <c r="D103" s="11">
        <f t="shared" si="86"/>
        <v>24.304572270466512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874.01424208781282</v>
      </c>
      <c r="H103" s="67">
        <f t="shared" si="56"/>
        <v>453.86613003772942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0</v>
      </c>
      <c r="O103" s="13">
        <f>N103*VLOOKUP('Données projet'!$B$9,Paramètres!$A$1:$I$89,3,0)*VLOOKUP('Données projet'!$B$9,Paramètres!$A$1:$I$89,5,0)</f>
        <v>0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101.15586831191774</v>
      </c>
      <c r="T103" s="59">
        <f t="shared" si="88"/>
        <v>346.96347336689064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10.187541606307123</v>
      </c>
      <c r="AA103" s="21">
        <f>EXP(-LN(2)/25)*AA102+(1-EXP(-LN(2)/25))/(LN(2)/25)*Calculateur!V103*Calculateur!X103*VLOOKUP('Données projet'!$B$9,Paramètres!$A$1:$I$89,3,0)*0.475*44/12</f>
        <v>2.3679327485061288</v>
      </c>
      <c r="AB103" s="21">
        <f>EXP(-LN(2)/2)*AB102+(1-EXP(-LN(2)/2))/(LN(2)/2)*V103*Y103*VLOOKUP('Données projet'!$B$9,Paramètres!$A$1:$I$89,3,0)*0.475*44/12</f>
        <v>0</v>
      </c>
      <c r="AC103" s="22">
        <f t="shared" si="57"/>
        <v>12.555474354813253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0</v>
      </c>
      <c r="AJ103" s="13">
        <f>AI103*VLOOKUP('Données projet'!$B$10,Paramètres!$A$1:$I$89,3,0)*VLOOKUP('Données projet'!$B$10,Paramètres!$A$1:$I$89,5,0)</f>
        <v>0</v>
      </c>
      <c r="AK103" s="13" t="e">
        <f t="shared" si="89"/>
        <v>#NUM!</v>
      </c>
      <c r="AL103" s="20" t="e">
        <f t="shared" si="58"/>
        <v>#NUM!</v>
      </c>
      <c r="AM103" s="59" t="e">
        <f t="shared" si="59"/>
        <v>#NUM!</v>
      </c>
      <c r="AN103" s="59">
        <f ca="1">AVERAGE(OFFSET($AM$3,0,0,'Données projet'!$E$10+1,1))-AVERAGE(OFFSET($H$3,0,0,'Données projet'!$E$10+1,1))</f>
        <v>101.15586831191774</v>
      </c>
      <c r="AO103" s="59">
        <f t="shared" si="90"/>
        <v>346.96347336689064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10.187541606307123</v>
      </c>
      <c r="AV103" s="21">
        <f>EXP(-LN(2)/25)*AV102+(1-EXP(-LN(2)/25))/(LN(2)/25)*Calculateur!AQ103*Calculateur!AS103*VLOOKUP('Données projet'!$B$10,Paramètres!$A$1:$I$89,3,0)*0.475*44/12</f>
        <v>2.3679327485061288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12.555474354813253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>
        <f>VLOOKUP(A103,'Données projet'!$A$87:$I$107,2,0)</f>
        <v>362</v>
      </c>
      <c r="BB103" s="12">
        <f>VLOOKUP(A103,'Données projet'!$A$87:$I$107,9,0)</f>
        <v>6</v>
      </c>
      <c r="BC103" s="12">
        <f t="array" ref="BC103">INDEX(BB:BB,MIN(IF(ISNUMBER(BB103:BB299),ROW(BB103:BB299),"")))</f>
        <v>6</v>
      </c>
      <c r="BD103" s="12">
        <f>IF('Données projet'!$A$88&gt;35,BD102+BC103-BL102,IF(A103&lt;'Données projet'!$A$88,$BA$205^A103,IF(A103='Données projet'!$A$88,'Données projet'!$B$88,BD102+BC103-BL102)))</f>
        <v>362.00000000000017</v>
      </c>
      <c r="BE103" s="13">
        <f>BD103*VLOOKUP('Données projet'!$B$11,Paramètres!$A$1:$I$89,3,0)*VLOOKUP('Données projet'!$B$11,Paramètres!$A$1:$I$89,5,0)</f>
        <v>327.53760000000017</v>
      </c>
      <c r="BF103" s="13">
        <f t="shared" si="91"/>
        <v>76.919566502794808</v>
      </c>
      <c r="BG103" s="20">
        <f t="shared" si="61"/>
        <v>704.42956499236789</v>
      </c>
      <c r="BH103" s="59">
        <f t="shared" si="62"/>
        <v>997.76289832570114</v>
      </c>
      <c r="BI103" s="59">
        <f ca="1">AVERAGE(OFFSET($BH$3,0,0,'Données projet'!$E$11+1,1))-AVERAGE(OFFSET($H$3,0,0,'Données projet'!$E$11+1,1))</f>
        <v>352.62747127358324</v>
      </c>
      <c r="BJ103" s="59">
        <f t="shared" si="92"/>
        <v>283.16932763435011</v>
      </c>
      <c r="BK103" s="15">
        <f>IF(ISNA(VLOOKUP(A103,'Données projet'!$A$87:$I$107,3,0)),0,VLOOKUP(A103,'Données projet'!$A$87:$I$107,3,0))</f>
        <v>17</v>
      </c>
      <c r="BL103" s="15">
        <f>IF(ISNA(VLOOKUP(A103,'Données projet'!$A$87:$I$107,4,0)),0,VLOOKUP(A103,'Données projet'!$A$87:$I$107,4,0))</f>
        <v>56</v>
      </c>
      <c r="BM103" s="16">
        <f>IF(ISNA(VLOOKUP(A103,'Données projet'!$A$87:$I$107,5,0)),0%,VLOOKUP(A103,'Données projet'!$A$87:$I$107,5,0)*VLOOKUP('Données projet'!$B$11,Paramètres!$A$1:$I$89,7,0))</f>
        <v>0.34400000000000003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53.914319861429249</v>
      </c>
      <c r="BQ103" s="21">
        <f>EXP(-LN(2)/25)*BQ102+(1-EXP(-LN(2)/25))/(LN(2)/25)*Calculateur!BL103*Calculateur!BN103*VLOOKUP('Données projet'!$B$11,Paramètres!$A$1:$I$89,3,0)*0.475*44/12</f>
        <v>0</v>
      </c>
      <c r="BR103" s="21">
        <f>EXP(-LN(2)/2)*BR102+(1-EXP(-LN(2)/2))/(LN(2)/2)*BL103*BO103*VLOOKUP('Données projet'!$B$11,Paramètres!$A$1:$I$89,3,0)*0.475*44/12</f>
        <v>0</v>
      </c>
      <c r="BS103" s="22">
        <f t="shared" si="63"/>
        <v>53.914319861429249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>
        <f>VLOOKUP(A103,'Données projet'!$A$113:$I$133,2,0)</f>
        <v>362</v>
      </c>
      <c r="BW103" s="12">
        <f>VLOOKUP(A103,'Données projet'!$A$113:$I$133,9,0)</f>
        <v>6</v>
      </c>
      <c r="BX103" s="12">
        <f t="array" ref="BX103">INDEX(BW:BW,MIN(IF(ISNUMBER(BW103:BW299),ROW(BW103:BW299),"")))</f>
        <v>6</v>
      </c>
      <c r="BY103" s="12">
        <f>IF('Données projet'!$A$114&gt;35,BY102+BX103-CG102,IF(A103&lt;'Données projet'!$A$114,$BV$205^A103,IF(A103='Données projet'!$A$114,'Données projet'!$B$114,BY102+BX103-CG102)))</f>
        <v>362.00000000000017</v>
      </c>
      <c r="BZ103" s="13">
        <f>BY103*VLOOKUP('Données projet'!$B$12,Paramètres!$A$1:$I$89,3,0)*VLOOKUP('Données projet'!$B$12,Paramètres!$A$1:$I$89,5,0)</f>
        <v>378.36240000000021</v>
      </c>
      <c r="CA103" s="13">
        <f t="shared" si="93"/>
        <v>87.375877147756881</v>
      </c>
      <c r="CB103" s="20">
        <f t="shared" si="64"/>
        <v>811.16083269901026</v>
      </c>
      <c r="CC103" s="59">
        <f t="shared" si="65"/>
        <v>1104.4941660323436</v>
      </c>
      <c r="CD103" s="59">
        <f ca="1">AVERAGE(OFFSET($CC$3,0,0,'Données projet'!$E$12+1,1))-AVERAGE(OFFSET($H$3,0,0,'Données projet'!$E$12+1,1))</f>
        <v>423.49657671419374</v>
      </c>
      <c r="CE103" s="59">
        <f t="shared" si="94"/>
        <v>329.6783569381081</v>
      </c>
      <c r="CF103" s="15">
        <f>IF(ISNA(VLOOKUP(A103,'Données projet'!$A$113:$I$133,3,0)),0,VLOOKUP(A103,'Données projet'!$A$113:$I$133,3,0))</f>
        <v>17</v>
      </c>
      <c r="CG103" s="15">
        <f>IF(ISNA(VLOOKUP(A103,'Données projet'!$A$113:$I$133,4,0)),0,VLOOKUP(A103,'Données projet'!$A$113:$I$133,4,0))</f>
        <v>56</v>
      </c>
      <c r="CH103" s="16">
        <f>IF(ISNA(VLOOKUP(A103,'Données projet'!$A$113:$I$133,5,0)),0%,VLOOKUP(A103,'Données projet'!$A$113:$I$133,5,0)*VLOOKUP('Données projet'!$B$12,Paramètres!$A$1:$I$89,7,0))</f>
        <v>0.34400000000000003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62.280335012340686</v>
      </c>
      <c r="CL103" s="21">
        <f>EXP(-LN(2)/25)*CL102+(1-EXP(-LN(2)/25))/(LN(2)/25)*Calculateur!CG103*Calculateur!CI103*VLOOKUP('Données projet'!$B$12,Paramètres!$A$1:$I$89,3,0)*0.475*44/12</f>
        <v>0</v>
      </c>
      <c r="CM103" s="21">
        <f>EXP(-LN(2)/2)*CM102+(1-EXP(-LN(2)/2))/(LN(2)/2)*CG103*CJ103*VLOOKUP('Données projet'!$B$12,Paramètres!$A$1:$I$89,3,0)*0.475*44/12</f>
        <v>0</v>
      </c>
      <c r="CN103" s="22">
        <f t="shared" si="66"/>
        <v>62.280335012340686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>
        <f>VLOOKUP(A103,'Données projet'!$A$139:$I$159,2,0)</f>
        <v>362</v>
      </c>
      <c r="CR103" s="12">
        <f>VLOOKUP(A103,'Données projet'!$A$139:$I$159,9,0)</f>
        <v>6</v>
      </c>
      <c r="CS103" s="12">
        <f t="array" ref="CS103">INDEX(CR:CR,MIN(IF(ISNUMBER(CR103:CR299),ROW(CR103:CR299),"")))</f>
        <v>6</v>
      </c>
      <c r="CT103" s="12">
        <f>IF('Données projet'!$A$140&gt;35,CT102+CS103-DB102,IF(A103&lt;'Données projet'!$A$140,$CQ$205^A103,IF(A103='Données projet'!$A$140,'Données projet'!$B$140,CT102+CS103-DB102)))</f>
        <v>362.00000000000017</v>
      </c>
      <c r="CU103" s="17">
        <f>CT103*VLOOKUP('Données projet'!$B$13,Paramètres!$A$1:$I$89,3,0)*VLOOKUP('Données projet'!$B$13,Paramètres!$A$1:$I$89,5,0)</f>
        <v>367.06800000000021</v>
      </c>
      <c r="CV103" s="13">
        <f t="shared" si="95"/>
        <v>85.067191510398061</v>
      </c>
      <c r="CW103" s="20">
        <f t="shared" si="67"/>
        <v>787.4687918806103</v>
      </c>
      <c r="CX103" s="59">
        <f t="shared" si="68"/>
        <v>1080.8021252139436</v>
      </c>
      <c r="CY103" s="59">
        <f ca="1">AVERAGE(OFFSET($CX$3,0,0,'Données projet'!$E$13+1,1))-AVERAGE(OFFSET($H$3,0,0,'Données projet'!$E$13+1,1))</f>
        <v>407.76560346703042</v>
      </c>
      <c r="CZ103" s="59">
        <f t="shared" si="96"/>
        <v>319.35531375725202</v>
      </c>
      <c r="DA103" s="15">
        <f>IF(ISNA(VLOOKUP(A103,'Données projet'!$A$139:$I$159,3,0)),0,VLOOKUP(A103,'Données projet'!$A$139:$I$159,3,0))</f>
        <v>17</v>
      </c>
      <c r="DB103" s="15">
        <f>IF(ISNA(VLOOKUP(A103,'Données projet'!$A$139:$I$159,4,0)),0,VLOOKUP(A103,'Données projet'!$A$139:$I$159,4,0))</f>
        <v>56</v>
      </c>
      <c r="DC103" s="16">
        <f>IF(ISNA(VLOOKUP(A103,'Données projet'!$A$139:$I$159,5,0)),0%,VLOOKUP(A103,'Données projet'!$A$139:$I$159,5,0)*VLOOKUP('Données projet'!$B$13,Paramètres!$A$1:$I$89,7,0))</f>
        <v>0.34400000000000003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>
        <f>EXP(-LN(2)/35)*DF102+(1-EXP(-LN(2)/35))/(LN(2)/35)*DB103*DC103*VLOOKUP('Données projet'!$B$13,Paramètres!$A$1:$I$89,3,0)*0.475*44/12</f>
        <v>60.421220534360359</v>
      </c>
      <c r="DG103" s="21">
        <f>EXP(-LN(2)/25)*DG102+(1-EXP(-LN(2)/25))/(LN(2)/25)*Calculateur!DB103*Calculateur!DD103*VLOOKUP('Données projet'!$B$13,Paramètres!$A$1:$I$89,3,0)*0.475*44/12</f>
        <v>0</v>
      </c>
      <c r="DH103" s="21">
        <f>EXP(-LN(2)/2)*DH102+(1-EXP(-LN(2)/2))/(LN(2)/2)*DB103*DE103*VLOOKUP('Données projet'!$B$13,Paramètres!$A$1:$I$89,3,0)*0.475*44/12</f>
        <v>0</v>
      </c>
      <c r="DI103" s="22">
        <f t="shared" si="69"/>
        <v>60.421220534360359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2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89.809200000000146</v>
      </c>
      <c r="D104" s="11">
        <f t="shared" si="86"/>
        <v>24.519202946196138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882.53504028642749</v>
      </c>
      <c r="H104" s="67">
        <f t="shared" si="56"/>
        <v>455.78863513129187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0</v>
      </c>
      <c r="O104" s="13">
        <f>N104*VLOOKUP('Données projet'!$B$9,Paramètres!$A$1:$I$89,3,0)*VLOOKUP('Données projet'!$B$9,Paramètres!$A$1:$I$89,5,0)</f>
        <v>0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101.15586831191774</v>
      </c>
      <c r="T104" s="59">
        <f t="shared" si="88"/>
        <v>346.96347336689064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9.98777012919426</v>
      </c>
      <c r="AA104" s="21">
        <f>EXP(-LN(2)/25)*AA103+(1-EXP(-LN(2)/25))/(LN(2)/25)*Calculateur!V104*Calculateur!X104*VLOOKUP('Données projet'!$B$9,Paramètres!$A$1:$I$89,3,0)*0.475*44/12</f>
        <v>2.3031815029740574</v>
      </c>
      <c r="AB104" s="21">
        <f>EXP(-LN(2)/2)*AB103+(1-EXP(-LN(2)/2))/(LN(2)/2)*V104*Y104*VLOOKUP('Données projet'!$B$9,Paramètres!$A$1:$I$89,3,0)*0.475*44/12</f>
        <v>0</v>
      </c>
      <c r="AC104" s="22">
        <f t="shared" si="57"/>
        <v>12.290951632168317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0</v>
      </c>
      <c r="AJ104" s="13">
        <f>AI104*VLOOKUP('Données projet'!$B$10,Paramètres!$A$1:$I$89,3,0)*VLOOKUP('Données projet'!$B$10,Paramètres!$A$1:$I$89,5,0)</f>
        <v>0</v>
      </c>
      <c r="AK104" s="13" t="e">
        <f t="shared" si="89"/>
        <v>#NUM!</v>
      </c>
      <c r="AL104" s="20" t="e">
        <f t="shared" si="58"/>
        <v>#NUM!</v>
      </c>
      <c r="AM104" s="59" t="e">
        <f t="shared" si="59"/>
        <v>#NUM!</v>
      </c>
      <c r="AN104" s="59">
        <f ca="1">AVERAGE(OFFSET($AM$3,0,0,'Données projet'!$E$10+1,1))-AVERAGE(OFFSET($H$3,0,0,'Données projet'!$E$10+1,1))</f>
        <v>101.15586831191774</v>
      </c>
      <c r="AO104" s="59">
        <f t="shared" si="90"/>
        <v>346.96347336689064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9.98777012919426</v>
      </c>
      <c r="AV104" s="21">
        <f>EXP(-LN(2)/25)*AV103+(1-EXP(-LN(2)/25))/(LN(2)/25)*Calculateur!AQ104*Calculateur!AS104*VLOOKUP('Données projet'!$B$10,Paramètres!$A$1:$I$89,3,0)*0.475*44/12</f>
        <v>2.3031815029740574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12.290951632168317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5.2</v>
      </c>
      <c r="BD104" s="12">
        <f>IF('Données projet'!$A$88&gt;35,BD103+BC104-BL103,IF(A104&lt;'Données projet'!$A$88,$BA$205^A104,IF(A104='Données projet'!$A$88,'Données projet'!$B$88,BD103+BC104-BL103)))</f>
        <v>311.20000000000016</v>
      </c>
      <c r="BE104" s="13">
        <f>BD104*VLOOKUP('Données projet'!$B$11,Paramètres!$A$1:$I$89,3,0)*VLOOKUP('Données projet'!$B$11,Paramètres!$A$1:$I$89,5,0)</f>
        <v>281.57376000000011</v>
      </c>
      <c r="BF104" s="13">
        <f t="shared" si="91"/>
        <v>67.299481043335049</v>
      </c>
      <c r="BG104" s="20">
        <f t="shared" si="61"/>
        <v>607.62089481714213</v>
      </c>
      <c r="BH104" s="59">
        <f t="shared" si="62"/>
        <v>900.9542281504755</v>
      </c>
      <c r="BI104" s="59">
        <f ca="1">AVERAGE(OFFSET($BH$3,0,0,'Données projet'!$E$11+1,1))-AVERAGE(OFFSET($H$3,0,0,'Données projet'!$E$11+1,1))</f>
        <v>352.62747127358324</v>
      </c>
      <c r="BJ104" s="59">
        <f t="shared" si="92"/>
        <v>283.16932763435011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52.857092933434664</v>
      </c>
      <c r="BQ104" s="21">
        <f>EXP(-LN(2)/25)*BQ103+(1-EXP(-LN(2)/25))/(LN(2)/25)*Calculateur!BL104*Calculateur!BN104*VLOOKUP('Données projet'!$B$11,Paramètres!$A$1:$I$89,3,0)*0.475*44/12</f>
        <v>0</v>
      </c>
      <c r="BR104" s="21">
        <f>EXP(-LN(2)/2)*BR103+(1-EXP(-LN(2)/2))/(LN(2)/2)*BL104*BO104*VLOOKUP('Données projet'!$B$11,Paramètres!$A$1:$I$89,3,0)*0.475*44/12</f>
        <v>0</v>
      </c>
      <c r="BS104" s="22">
        <f t="shared" si="63"/>
        <v>52.857092933434664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5.2</v>
      </c>
      <c r="BY104" s="12">
        <f>IF('Données projet'!$A$114&gt;35,BY103+BX104-CG103,IF(A104&lt;'Données projet'!$A$114,$BV$205^A104,IF(A104='Données projet'!$A$114,'Données projet'!$B$114,BY103+BX104-CG103)))</f>
        <v>311.20000000000016</v>
      </c>
      <c r="BZ104" s="13">
        <f>BY104*VLOOKUP('Données projet'!$B$12,Paramètres!$A$1:$I$89,3,0)*VLOOKUP('Données projet'!$B$12,Paramètres!$A$1:$I$89,5,0)</f>
        <v>325.26624000000021</v>
      </c>
      <c r="CA104" s="13">
        <f t="shared" si="93"/>
        <v>76.448054183152152</v>
      </c>
      <c r="CB104" s="20">
        <f t="shared" si="64"/>
        <v>699.6523957023237</v>
      </c>
      <c r="CC104" s="59">
        <f t="shared" si="65"/>
        <v>992.98572903565696</v>
      </c>
      <c r="CD104" s="59">
        <f ca="1">AVERAGE(OFFSET($CC$3,0,0,'Données projet'!$E$12+1,1))-AVERAGE(OFFSET($H$3,0,0,'Données projet'!$E$12+1,1))</f>
        <v>423.49657671419374</v>
      </c>
      <c r="CE104" s="59">
        <f t="shared" si="94"/>
        <v>329.6783569381081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61.059055630002113</v>
      </c>
      <c r="CL104" s="21">
        <f>EXP(-LN(2)/25)*CL103+(1-EXP(-LN(2)/25))/(LN(2)/25)*Calculateur!CG104*Calculateur!CI104*VLOOKUP('Données projet'!$B$12,Paramètres!$A$1:$I$89,3,0)*0.475*44/12</f>
        <v>0</v>
      </c>
      <c r="CM104" s="21">
        <f>EXP(-LN(2)/2)*CM103+(1-EXP(-LN(2)/2))/(LN(2)/2)*CG104*CJ104*VLOOKUP('Données projet'!$B$12,Paramètres!$A$1:$I$89,3,0)*0.475*44/12</f>
        <v>0</v>
      </c>
      <c r="CN104" s="22">
        <f t="shared" si="66"/>
        <v>61.059055630002113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5.2</v>
      </c>
      <c r="CT104" s="12">
        <f>IF('Données projet'!$A$140&gt;35,CT103+CS104-DB103,IF(A104&lt;'Données projet'!$A$140,$CQ$205^A104,IF(A104='Données projet'!$A$140,'Données projet'!$B$140,CT103+CS104-DB103)))</f>
        <v>311.20000000000016</v>
      </c>
      <c r="CU104" s="17">
        <f>CT104*VLOOKUP('Données projet'!$B$13,Paramètres!$A$1:$I$89,3,0)*VLOOKUP('Données projet'!$B$13,Paramètres!$A$1:$I$89,5,0)</f>
        <v>315.55680000000018</v>
      </c>
      <c r="CV104" s="13">
        <f t="shared" si="95"/>
        <v>74.42810851327107</v>
      </c>
      <c r="CW104" s="20">
        <f t="shared" si="67"/>
        <v>679.22371566061418</v>
      </c>
      <c r="CX104" s="59">
        <f t="shared" si="68"/>
        <v>972.55704899394755</v>
      </c>
      <c r="CY104" s="59">
        <f ca="1">AVERAGE(OFFSET($CX$3,0,0,'Données projet'!$E$13+1,1))-AVERAGE(OFFSET($H$3,0,0,'Données projet'!$E$13+1,1))</f>
        <v>407.76560346703042</v>
      </c>
      <c r="CZ104" s="59">
        <f t="shared" si="96"/>
        <v>319.35531375725202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59.236397252987118</v>
      </c>
      <c r="DG104" s="21">
        <f>EXP(-LN(2)/25)*DG103+(1-EXP(-LN(2)/25))/(LN(2)/25)*Calculateur!DB104*Calculateur!DD104*VLOOKUP('Données projet'!$B$13,Paramètres!$A$1:$I$89,3,0)*0.475*44/12</f>
        <v>0</v>
      </c>
      <c r="DH104" s="21">
        <f>EXP(-LN(2)/2)*DH103+(1-EXP(-LN(2)/2))/(LN(2)/2)*DB104*DE104*VLOOKUP('Données projet'!$B$13,Paramètres!$A$1:$I$89,3,0)*0.475*44/12</f>
        <v>0</v>
      </c>
      <c r="DI104" s="22">
        <f t="shared" si="69"/>
        <v>59.236397252987118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2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90.698400000000149</v>
      </c>
      <c r="D105" s="11">
        <f t="shared" si="86"/>
        <v>24.733586403594217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891.05393013300909</v>
      </c>
      <c r="H105" s="67">
        <f t="shared" si="56"/>
        <v>457.71070965292688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0</v>
      </c>
      <c r="O105" s="13">
        <f>N105*VLOOKUP('Données projet'!$B$9,Paramètres!$A$1:$I$89,3,0)*VLOOKUP('Données projet'!$B$9,Paramètres!$A$1:$I$89,5,0)</f>
        <v>0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101.15586831191774</v>
      </c>
      <c r="T105" s="59">
        <f t="shared" si="88"/>
        <v>346.96347336689064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9.7919160488990098</v>
      </c>
      <c r="AA105" s="21">
        <f>EXP(-LN(2)/25)*AA104+(1-EXP(-LN(2)/25))/(LN(2)/25)*Calculateur!V105*Calculateur!X105*VLOOKUP('Données projet'!$B$9,Paramètres!$A$1:$I$89,3,0)*0.475*44/12</f>
        <v>2.2402008836561804</v>
      </c>
      <c r="AB105" s="21">
        <f>EXP(-LN(2)/2)*AB104+(1-EXP(-LN(2)/2))/(LN(2)/2)*V105*Y105*VLOOKUP('Données projet'!$B$9,Paramètres!$A$1:$I$89,3,0)*0.475*44/12</f>
        <v>0</v>
      </c>
      <c r="AC105" s="22">
        <f t="shared" si="57"/>
        <v>12.032116932555191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0</v>
      </c>
      <c r="AJ105" s="13">
        <f>AI105*VLOOKUP('Données projet'!$B$10,Paramètres!$A$1:$I$89,3,0)*VLOOKUP('Données projet'!$B$10,Paramètres!$A$1:$I$89,5,0)</f>
        <v>0</v>
      </c>
      <c r="AK105" s="13" t="e">
        <f t="shared" si="89"/>
        <v>#NUM!</v>
      </c>
      <c r="AL105" s="20" t="e">
        <f t="shared" si="58"/>
        <v>#NUM!</v>
      </c>
      <c r="AM105" s="59" t="e">
        <f t="shared" si="59"/>
        <v>#NUM!</v>
      </c>
      <c r="AN105" s="59">
        <f ca="1">AVERAGE(OFFSET($AM$3,0,0,'Données projet'!$E$10+1,1))-AVERAGE(OFFSET($H$3,0,0,'Données projet'!$E$10+1,1))</f>
        <v>101.15586831191774</v>
      </c>
      <c r="AO105" s="59">
        <f t="shared" si="90"/>
        <v>346.96347336689064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9.7919160488990098</v>
      </c>
      <c r="AV105" s="21">
        <f>EXP(-LN(2)/25)*AV104+(1-EXP(-LN(2)/25))/(LN(2)/25)*Calculateur!AQ105*Calculateur!AS105*VLOOKUP('Données projet'!$B$10,Paramètres!$A$1:$I$89,3,0)*0.475*44/12</f>
        <v>2.2402008836561804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12.032116932555191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5.2</v>
      </c>
      <c r="BD105" s="12">
        <f>IF('Données projet'!$A$88&gt;35,BD104+BC105-BL104,IF(A105&lt;'Données projet'!$A$88,$BA$205^A105,IF(A105='Données projet'!$A$88,'Données projet'!$B$88,BD104+BC105-BL104)))</f>
        <v>316.40000000000015</v>
      </c>
      <c r="BE105" s="13">
        <f>BD105*VLOOKUP('Données projet'!$B$11,Paramètres!$A$1:$I$89,3,0)*VLOOKUP('Données projet'!$B$11,Paramètres!$A$1:$I$89,5,0)</f>
        <v>286.27872000000013</v>
      </c>
      <c r="BF105" s="13">
        <f t="shared" si="91"/>
        <v>68.292165517667613</v>
      </c>
      <c r="BG105" s="20">
        <f t="shared" si="61"/>
        <v>617.54429227660466</v>
      </c>
      <c r="BH105" s="59">
        <f t="shared" si="62"/>
        <v>910.87762560993792</v>
      </c>
      <c r="BI105" s="59">
        <f ca="1">AVERAGE(OFFSET($BH$3,0,0,'Données projet'!$E$11+1,1))-AVERAGE(OFFSET($H$3,0,0,'Données projet'!$E$11+1,1))</f>
        <v>352.62747127358324</v>
      </c>
      <c r="BJ105" s="59">
        <f t="shared" si="92"/>
        <v>283.16932763435011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51.820597580653299</v>
      </c>
      <c r="BQ105" s="21">
        <f>EXP(-LN(2)/25)*BQ104+(1-EXP(-LN(2)/25))/(LN(2)/25)*Calculateur!BL105*Calculateur!BN105*VLOOKUP('Données projet'!$B$11,Paramètres!$A$1:$I$89,3,0)*0.475*44/12</f>
        <v>0</v>
      </c>
      <c r="BR105" s="21">
        <f>EXP(-LN(2)/2)*BR104+(1-EXP(-LN(2)/2))/(LN(2)/2)*BL105*BO105*VLOOKUP('Données projet'!$B$11,Paramètres!$A$1:$I$89,3,0)*0.475*44/12</f>
        <v>0</v>
      </c>
      <c r="BS105" s="22">
        <f t="shared" si="63"/>
        <v>51.820597580653299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5.2</v>
      </c>
      <c r="BY105" s="12">
        <f>IF('Données projet'!$A$114&gt;35,BY104+BX105-CG104,IF(A105&lt;'Données projet'!$A$114,$BV$205^A105,IF(A105='Données projet'!$A$114,'Données projet'!$B$114,BY104+BX105-CG104)))</f>
        <v>316.40000000000015</v>
      </c>
      <c r="BZ105" s="13">
        <f>BY105*VLOOKUP('Données projet'!$B$12,Paramètres!$A$1:$I$89,3,0)*VLOOKUP('Données projet'!$B$12,Paramètres!$A$1:$I$89,5,0)</f>
        <v>330.70128000000017</v>
      </c>
      <c r="CA105" s="13">
        <f t="shared" si="93"/>
        <v>77.575682439775449</v>
      </c>
      <c r="CB105" s="20">
        <f t="shared" si="64"/>
        <v>711.08237624927585</v>
      </c>
      <c r="CC105" s="59">
        <f t="shared" si="65"/>
        <v>1004.4157095826092</v>
      </c>
      <c r="CD105" s="59">
        <f ca="1">AVERAGE(OFFSET($CC$3,0,0,'Données projet'!$E$12+1,1))-AVERAGE(OFFSET($H$3,0,0,'Données projet'!$E$12+1,1))</f>
        <v>423.49657671419374</v>
      </c>
      <c r="CE105" s="59">
        <f t="shared" si="94"/>
        <v>329.6783569381081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59.861724791444331</v>
      </c>
      <c r="CL105" s="21">
        <f>EXP(-LN(2)/25)*CL104+(1-EXP(-LN(2)/25))/(LN(2)/25)*Calculateur!CG105*Calculateur!CI105*VLOOKUP('Données projet'!$B$12,Paramètres!$A$1:$I$89,3,0)*0.475*44/12</f>
        <v>0</v>
      </c>
      <c r="CM105" s="21">
        <f>EXP(-LN(2)/2)*CM104+(1-EXP(-LN(2)/2))/(LN(2)/2)*CG105*CJ105*VLOOKUP('Données projet'!$B$12,Paramètres!$A$1:$I$89,3,0)*0.475*44/12</f>
        <v>0</v>
      </c>
      <c r="CN105" s="22">
        <f t="shared" si="66"/>
        <v>59.861724791444331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5.2</v>
      </c>
      <c r="CT105" s="12">
        <f>IF('Données projet'!$A$140&gt;35,CT104+CS105-DB104,IF(A105&lt;'Données projet'!$A$140,$CQ$205^A105,IF(A105='Données projet'!$A$140,'Données projet'!$B$140,CT104+CS105-DB104)))</f>
        <v>316.40000000000015</v>
      </c>
      <c r="CU105" s="17">
        <f>CT105*VLOOKUP('Données projet'!$B$13,Paramètres!$A$1:$I$89,3,0)*VLOOKUP('Données projet'!$B$13,Paramètres!$A$1:$I$89,5,0)</f>
        <v>320.8296000000002</v>
      </c>
      <c r="CV105" s="13">
        <f t="shared" si="95"/>
        <v>75.525942057150743</v>
      </c>
      <c r="CW105" s="20">
        <f t="shared" si="67"/>
        <v>690.31923574953782</v>
      </c>
      <c r="CX105" s="59">
        <f t="shared" si="68"/>
        <v>983.6525690828712</v>
      </c>
      <c r="CY105" s="59">
        <f ca="1">AVERAGE(OFFSET($CX$3,0,0,'Données projet'!$E$13+1,1))-AVERAGE(OFFSET($H$3,0,0,'Données projet'!$E$13+1,1))</f>
        <v>407.76560346703042</v>
      </c>
      <c r="CZ105" s="59">
        <f t="shared" si="96"/>
        <v>319.35531375725202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58.074807633490764</v>
      </c>
      <c r="DG105" s="21">
        <f>EXP(-LN(2)/25)*DG104+(1-EXP(-LN(2)/25))/(LN(2)/25)*Calculateur!DB105*Calculateur!DD105*VLOOKUP('Données projet'!$B$13,Paramètres!$A$1:$I$89,3,0)*0.475*44/12</f>
        <v>0</v>
      </c>
      <c r="DH105" s="21">
        <f>EXP(-LN(2)/2)*DH104+(1-EXP(-LN(2)/2))/(LN(2)/2)*DB105*DE105*VLOOKUP('Données projet'!$B$13,Paramètres!$A$1:$I$89,3,0)*0.475*44/12</f>
        <v>0</v>
      </c>
      <c r="DI105" s="22">
        <f t="shared" si="69"/>
        <v>58.074807633490764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2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91.587600000000151</v>
      </c>
      <c r="D106" s="11">
        <f t="shared" si="86"/>
        <v>24.947725347033305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899.5709325034162</v>
      </c>
      <c r="H106" s="67">
        <f t="shared" si="56"/>
        <v>459.63235831274994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0</v>
      </c>
      <c r="O106" s="13">
        <f>N106*VLOOKUP('Données projet'!$B$9,Paramètres!$A$1:$I$89,3,0)*VLOOKUP('Données projet'!$B$9,Paramètres!$A$1:$I$89,5,0)</f>
        <v>0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101.15586831191774</v>
      </c>
      <c r="T106" s="59">
        <f t="shared" si="88"/>
        <v>346.96347336689064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9.5999025476591573</v>
      </c>
      <c r="AA106" s="21">
        <f>EXP(-LN(2)/25)*AA105+(1-EXP(-LN(2)/25))/(LN(2)/25)*Calculateur!V106*Calculateur!X106*VLOOKUP('Données projet'!$B$9,Paramètres!$A$1:$I$89,3,0)*0.475*44/12</f>
        <v>2.178942472685558</v>
      </c>
      <c r="AB106" s="21">
        <f>EXP(-LN(2)/2)*AB105+(1-EXP(-LN(2)/2))/(LN(2)/2)*V106*Y106*VLOOKUP('Données projet'!$B$9,Paramètres!$A$1:$I$89,3,0)*0.475*44/12</f>
        <v>0</v>
      </c>
      <c r="AC106" s="22">
        <f t="shared" si="57"/>
        <v>11.778845020344715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0</v>
      </c>
      <c r="AJ106" s="13">
        <f>AI106*VLOOKUP('Données projet'!$B$10,Paramètres!$A$1:$I$89,3,0)*VLOOKUP('Données projet'!$B$10,Paramètres!$A$1:$I$89,5,0)</f>
        <v>0</v>
      </c>
      <c r="AK106" s="13" t="e">
        <f t="shared" si="89"/>
        <v>#NUM!</v>
      </c>
      <c r="AL106" s="20" t="e">
        <f t="shared" si="58"/>
        <v>#NUM!</v>
      </c>
      <c r="AM106" s="59" t="e">
        <f t="shared" si="59"/>
        <v>#NUM!</v>
      </c>
      <c r="AN106" s="59">
        <f ca="1">AVERAGE(OFFSET($AM$3,0,0,'Données projet'!$E$10+1,1))-AVERAGE(OFFSET($H$3,0,0,'Données projet'!$E$10+1,1))</f>
        <v>101.15586831191774</v>
      </c>
      <c r="AO106" s="59">
        <f t="shared" si="90"/>
        <v>346.96347336689064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9.5999025476591573</v>
      </c>
      <c r="AV106" s="21">
        <f>EXP(-LN(2)/25)*AV105+(1-EXP(-LN(2)/25))/(LN(2)/25)*Calculateur!AQ106*Calculateur!AS106*VLOOKUP('Données projet'!$B$10,Paramètres!$A$1:$I$89,3,0)*0.475*44/12</f>
        <v>2.178942472685558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11.778845020344715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5.2</v>
      </c>
      <c r="BD106" s="12">
        <f>IF('Données projet'!$A$88&gt;35,BD105+BC106-BL105,IF(A106&lt;'Données projet'!$A$88,$BA$205^A106,IF(A106='Données projet'!$A$88,'Données projet'!$B$88,BD105+BC106-BL105)))</f>
        <v>321.60000000000014</v>
      </c>
      <c r="BE106" s="13">
        <f>BD106*VLOOKUP('Données projet'!$B$11,Paramètres!$A$1:$I$89,3,0)*VLOOKUP('Données projet'!$B$11,Paramètres!$A$1:$I$89,5,0)</f>
        <v>290.98368000000011</v>
      </c>
      <c r="BF106" s="13">
        <f t="shared" si="91"/>
        <v>69.282952690245423</v>
      </c>
      <c r="BG106" s="20">
        <f t="shared" si="61"/>
        <v>627.46438526884424</v>
      </c>
      <c r="BH106" s="59">
        <f t="shared" si="62"/>
        <v>920.79771860217761</v>
      </c>
      <c r="BI106" s="59">
        <f ca="1">AVERAGE(OFFSET($BH$3,0,0,'Données projet'!$E$11+1,1))-AVERAGE(OFFSET($H$3,0,0,'Données projet'!$E$11+1,1))</f>
        <v>352.62747127358324</v>
      </c>
      <c r="BJ106" s="59">
        <f t="shared" si="92"/>
        <v>283.16932763435011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50.804427269540234</v>
      </c>
      <c r="BQ106" s="21">
        <f>EXP(-LN(2)/25)*BQ105+(1-EXP(-LN(2)/25))/(LN(2)/25)*Calculateur!BL106*Calculateur!BN106*VLOOKUP('Données projet'!$B$11,Paramètres!$A$1:$I$89,3,0)*0.475*44/12</f>
        <v>0</v>
      </c>
      <c r="BR106" s="21">
        <f>EXP(-LN(2)/2)*BR105+(1-EXP(-LN(2)/2))/(LN(2)/2)*BL106*BO106*VLOOKUP('Données projet'!$B$11,Paramètres!$A$1:$I$89,3,0)*0.475*44/12</f>
        <v>0</v>
      </c>
      <c r="BS106" s="22">
        <f t="shared" si="63"/>
        <v>50.804427269540234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5.2</v>
      </c>
      <c r="BY106" s="12">
        <f>IF('Données projet'!$A$114&gt;35,BY105+BX106-CG105,IF(A106&lt;'Données projet'!$A$114,$BV$205^A106,IF(A106='Données projet'!$A$114,'Données projet'!$B$114,BY105+BX106-CG105)))</f>
        <v>321.60000000000014</v>
      </c>
      <c r="BZ106" s="13">
        <f>BY106*VLOOKUP('Données projet'!$B$12,Paramètres!$A$1:$I$89,3,0)*VLOOKUP('Données projet'!$B$12,Paramètres!$A$1:$I$89,5,0)</f>
        <v>336.13632000000018</v>
      </c>
      <c r="CA106" s="13">
        <f t="shared" si="93"/>
        <v>78.701155478779015</v>
      </c>
      <c r="CB106" s="20">
        <f t="shared" si="64"/>
        <v>722.50860312554039</v>
      </c>
      <c r="CC106" s="59">
        <f t="shared" si="65"/>
        <v>1015.8419364588738</v>
      </c>
      <c r="CD106" s="59">
        <f ca="1">AVERAGE(OFFSET($CC$3,0,0,'Données projet'!$E$12+1,1))-AVERAGE(OFFSET($H$3,0,0,'Données projet'!$E$12+1,1))</f>
        <v>423.49657671419374</v>
      </c>
      <c r="CE106" s="59">
        <f t="shared" si="94"/>
        <v>329.6783569381081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58.687872880330964</v>
      </c>
      <c r="CL106" s="21">
        <f>EXP(-LN(2)/25)*CL105+(1-EXP(-LN(2)/25))/(LN(2)/25)*Calculateur!CG106*Calculateur!CI106*VLOOKUP('Données projet'!$B$12,Paramètres!$A$1:$I$89,3,0)*0.475*44/12</f>
        <v>0</v>
      </c>
      <c r="CM106" s="21">
        <f>EXP(-LN(2)/2)*CM105+(1-EXP(-LN(2)/2))/(LN(2)/2)*CG106*CJ106*VLOOKUP('Données projet'!$B$12,Paramètres!$A$1:$I$89,3,0)*0.475*44/12</f>
        <v>0</v>
      </c>
      <c r="CN106" s="22">
        <f t="shared" si="66"/>
        <v>58.687872880330964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5.2</v>
      </c>
      <c r="CT106" s="12">
        <f>IF('Données projet'!$A$140&gt;35,CT105+CS106-DB105,IF(A106&lt;'Données projet'!$A$140,$CQ$205^A106,IF(A106='Données projet'!$A$140,'Données projet'!$B$140,CT105+CS106-DB105)))</f>
        <v>321.60000000000014</v>
      </c>
      <c r="CU106" s="17">
        <f>CT106*VLOOKUP('Données projet'!$B$13,Paramètres!$A$1:$I$89,3,0)*VLOOKUP('Données projet'!$B$13,Paramètres!$A$1:$I$89,5,0)</f>
        <v>326.10240000000016</v>
      </c>
      <c r="CV106" s="13">
        <f t="shared" si="95"/>
        <v>76.621677329562345</v>
      </c>
      <c r="CW106" s="20">
        <f t="shared" si="67"/>
        <v>701.41110134898815</v>
      </c>
      <c r="CX106" s="59">
        <f t="shared" si="68"/>
        <v>994.74443468232153</v>
      </c>
      <c r="CY106" s="59">
        <f ca="1">AVERAGE(OFFSET($CX$3,0,0,'Données projet'!$E$13+1,1))-AVERAGE(OFFSET($H$3,0,0,'Données projet'!$E$13+1,1))</f>
        <v>407.76560346703042</v>
      </c>
      <c r="CZ106" s="59">
        <f t="shared" si="96"/>
        <v>319.35531375725202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56.935996077933019</v>
      </c>
      <c r="DG106" s="21">
        <f>EXP(-LN(2)/25)*DG105+(1-EXP(-LN(2)/25))/(LN(2)/25)*Calculateur!DB106*Calculateur!DD106*VLOOKUP('Données projet'!$B$13,Paramètres!$A$1:$I$89,3,0)*0.475*44/12</f>
        <v>0</v>
      </c>
      <c r="DH106" s="21">
        <f>EXP(-LN(2)/2)*DH105+(1-EXP(-LN(2)/2))/(LN(2)/2)*DB106*DE106*VLOOKUP('Données projet'!$B$13,Paramètres!$A$1:$I$89,3,0)*0.475*44/12</f>
        <v>0</v>
      </c>
      <c r="DI106" s="22">
        <f t="shared" si="69"/>
        <v>56.935996077933019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2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92.476800000000154</v>
      </c>
      <c r="D107" s="11">
        <f t="shared" si="86"/>
        <v>25.161622425346469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908.08606784478104</v>
      </c>
      <c r="H107" s="67">
        <f t="shared" si="56"/>
        <v>461.55358572414536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0</v>
      </c>
      <c r="O107" s="13">
        <f>N107*VLOOKUP('Données projet'!$B$9,Paramètres!$A$1:$I$89,3,0)*VLOOKUP('Données projet'!$B$9,Paramètres!$A$1:$I$89,5,0)</f>
        <v>0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101.15586831191774</v>
      </c>
      <c r="T107" s="59">
        <f t="shared" si="88"/>
        <v>346.96347336689064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9.4116543140619466</v>
      </c>
      <c r="AA107" s="21">
        <f>EXP(-LN(2)/25)*AA106+(1-EXP(-LN(2)/25))/(LN(2)/25)*Calculateur!V107*Calculateur!X107*VLOOKUP('Données projet'!$B$9,Paramètres!$A$1:$I$89,3,0)*0.475*44/12</f>
        <v>2.1193591761843669</v>
      </c>
      <c r="AB107" s="21">
        <f>EXP(-LN(2)/2)*AB106+(1-EXP(-LN(2)/2))/(LN(2)/2)*V107*Y107*VLOOKUP('Données projet'!$B$9,Paramètres!$A$1:$I$89,3,0)*0.475*44/12</f>
        <v>0</v>
      </c>
      <c r="AC107" s="22">
        <f t="shared" si="57"/>
        <v>11.531013490246313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0</v>
      </c>
      <c r="AJ107" s="13">
        <f>AI107*VLOOKUP('Données projet'!$B$10,Paramètres!$A$1:$I$89,3,0)*VLOOKUP('Données projet'!$B$10,Paramètres!$A$1:$I$89,5,0)</f>
        <v>0</v>
      </c>
      <c r="AK107" s="13" t="e">
        <f t="shared" si="89"/>
        <v>#NUM!</v>
      </c>
      <c r="AL107" s="20" t="e">
        <f t="shared" si="58"/>
        <v>#NUM!</v>
      </c>
      <c r="AM107" s="59" t="e">
        <f t="shared" si="59"/>
        <v>#NUM!</v>
      </c>
      <c r="AN107" s="59">
        <f ca="1">AVERAGE(OFFSET($AM$3,0,0,'Données projet'!$E$10+1,1))-AVERAGE(OFFSET($H$3,0,0,'Données projet'!$E$10+1,1))</f>
        <v>101.15586831191774</v>
      </c>
      <c r="AO107" s="59">
        <f t="shared" si="90"/>
        <v>346.96347336689064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9.4116543140619466</v>
      </c>
      <c r="AV107" s="21">
        <f>EXP(-LN(2)/25)*AV106+(1-EXP(-LN(2)/25))/(LN(2)/25)*Calculateur!AQ107*Calculateur!AS107*VLOOKUP('Données projet'!$B$10,Paramètres!$A$1:$I$89,3,0)*0.475*44/12</f>
        <v>2.1193591761843669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11.531013490246313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5.2</v>
      </c>
      <c r="BD107" s="12">
        <f>IF('Données projet'!$A$88&gt;35,BD106+BC107-BL106,IF(A107&lt;'Données projet'!$A$88,$BA$205^A107,IF(A107='Données projet'!$A$88,'Données projet'!$B$88,BD106+BC107-BL106)))</f>
        <v>326.80000000000013</v>
      </c>
      <c r="BE107" s="13">
        <f>BD107*VLOOKUP('Données projet'!$B$11,Paramètres!$A$1:$I$89,3,0)*VLOOKUP('Données projet'!$B$11,Paramètres!$A$1:$I$89,5,0)</f>
        <v>295.68864000000013</v>
      </c>
      <c r="BF107" s="13">
        <f t="shared" si="91"/>
        <v>70.271876780519804</v>
      </c>
      <c r="BG107" s="20">
        <f t="shared" si="61"/>
        <v>637.38123339273886</v>
      </c>
      <c r="BH107" s="59">
        <f t="shared" si="62"/>
        <v>930.71456672607223</v>
      </c>
      <c r="BI107" s="59">
        <f ca="1">AVERAGE(OFFSET($BH$3,0,0,'Données projet'!$E$11+1,1))-AVERAGE(OFFSET($H$3,0,0,'Données projet'!$E$11+1,1))</f>
        <v>352.62747127358324</v>
      </c>
      <c r="BJ107" s="59">
        <f t="shared" si="92"/>
        <v>283.16932763435011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49.808183438425409</v>
      </c>
      <c r="BQ107" s="21">
        <f>EXP(-LN(2)/25)*BQ106+(1-EXP(-LN(2)/25))/(LN(2)/25)*Calculateur!BL107*Calculateur!BN107*VLOOKUP('Données projet'!$B$11,Paramètres!$A$1:$I$89,3,0)*0.475*44/12</f>
        <v>0</v>
      </c>
      <c r="BR107" s="21">
        <f>EXP(-LN(2)/2)*BR106+(1-EXP(-LN(2)/2))/(LN(2)/2)*BL107*BO107*VLOOKUP('Données projet'!$B$11,Paramètres!$A$1:$I$89,3,0)*0.475*44/12</f>
        <v>0</v>
      </c>
      <c r="BS107" s="22">
        <f t="shared" si="63"/>
        <v>49.808183438425409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5.2</v>
      </c>
      <c r="BY107" s="12">
        <f>IF('Données projet'!$A$114&gt;35,BY106+BX107-CG106,IF(A107&lt;'Données projet'!$A$114,$BV$205^A107,IF(A107='Données projet'!$A$114,'Données projet'!$B$114,BY106+BX107-CG106)))</f>
        <v>326.80000000000013</v>
      </c>
      <c r="BZ107" s="13">
        <f>BY107*VLOOKUP('Données projet'!$B$12,Paramètres!$A$1:$I$89,3,0)*VLOOKUP('Données projet'!$B$12,Paramètres!$A$1:$I$89,5,0)</f>
        <v>341.5713600000002</v>
      </c>
      <c r="CA107" s="13">
        <f t="shared" si="93"/>
        <v>79.824512171346015</v>
      </c>
      <c r="CB107" s="20">
        <f t="shared" si="64"/>
        <v>733.93114403176139</v>
      </c>
      <c r="CC107" s="59">
        <f t="shared" si="65"/>
        <v>1027.2644773650948</v>
      </c>
      <c r="CD107" s="59">
        <f ca="1">AVERAGE(OFFSET($CC$3,0,0,'Données projet'!$E$12+1,1))-AVERAGE(OFFSET($H$3,0,0,'Données projet'!$E$12+1,1))</f>
        <v>423.49657671419374</v>
      </c>
      <c r="CE107" s="59">
        <f t="shared" si="94"/>
        <v>329.6783569381081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57.537039489215566</v>
      </c>
      <c r="CL107" s="21">
        <f>EXP(-LN(2)/25)*CL106+(1-EXP(-LN(2)/25))/(LN(2)/25)*Calculateur!CG107*Calculateur!CI107*VLOOKUP('Données projet'!$B$12,Paramètres!$A$1:$I$89,3,0)*0.475*44/12</f>
        <v>0</v>
      </c>
      <c r="CM107" s="21">
        <f>EXP(-LN(2)/2)*CM106+(1-EXP(-LN(2)/2))/(LN(2)/2)*CG107*CJ107*VLOOKUP('Données projet'!$B$12,Paramètres!$A$1:$I$89,3,0)*0.475*44/12</f>
        <v>0</v>
      </c>
      <c r="CN107" s="22">
        <f t="shared" si="66"/>
        <v>57.537039489215566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5.2</v>
      </c>
      <c r="CT107" s="12">
        <f>IF('Données projet'!$A$140&gt;35,CT106+CS107-DB106,IF(A107&lt;'Données projet'!$A$140,$CQ$205^A107,IF(A107='Données projet'!$A$140,'Données projet'!$B$140,CT106+CS107-DB106)))</f>
        <v>326.80000000000013</v>
      </c>
      <c r="CU107" s="17">
        <f>CT107*VLOOKUP('Données projet'!$B$13,Paramètres!$A$1:$I$89,3,0)*VLOOKUP('Données projet'!$B$13,Paramètres!$A$1:$I$89,5,0)</f>
        <v>331.37520000000018</v>
      </c>
      <c r="CV107" s="13">
        <f t="shared" si="95"/>
        <v>77.715352174616967</v>
      </c>
      <c r="CW107" s="20">
        <f t="shared" si="67"/>
        <v>712.49937837079142</v>
      </c>
      <c r="CX107" s="59">
        <f t="shared" si="68"/>
        <v>1005.8327117041247</v>
      </c>
      <c r="CY107" s="59">
        <f ca="1">AVERAGE(OFFSET($CX$3,0,0,'Données projet'!$E$13+1,1))-AVERAGE(OFFSET($H$3,0,0,'Données projet'!$E$13+1,1))</f>
        <v>407.76560346703042</v>
      </c>
      <c r="CZ107" s="59">
        <f t="shared" si="96"/>
        <v>319.35531375725202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>
        <f>EXP(-LN(2)/35)*DF106+(1-EXP(-LN(2)/35))/(LN(2)/35)*DB107*DC107*VLOOKUP('Données projet'!$B$13,Paramètres!$A$1:$I$89,3,0)*0.475*44/12</f>
        <v>55.819515922373299</v>
      </c>
      <c r="DG107" s="21">
        <f>EXP(-LN(2)/25)*DG106+(1-EXP(-LN(2)/25))/(LN(2)/25)*Calculateur!DB107*Calculateur!DD107*VLOOKUP('Données projet'!$B$13,Paramètres!$A$1:$I$89,3,0)*0.475*44/12</f>
        <v>0</v>
      </c>
      <c r="DH107" s="21">
        <f>EXP(-LN(2)/2)*DH106+(1-EXP(-LN(2)/2))/(LN(2)/2)*DB107*DE107*VLOOKUP('Données projet'!$B$13,Paramètres!$A$1:$I$89,3,0)*0.475*44/12</f>
        <v>0</v>
      </c>
      <c r="DI107" s="22">
        <f t="shared" si="69"/>
        <v>55.819515922373299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2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93.366000000000156</v>
      </c>
      <c r="D108" s="11">
        <f t="shared" si="86"/>
        <v>25.375280233490724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916.59935618835073</v>
      </c>
      <c r="H108" s="67">
        <f t="shared" si="56"/>
        <v>463.47439640666329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0</v>
      </c>
      <c r="O108" s="13">
        <f>N108*VLOOKUP('Données projet'!$B$9,Paramètres!$A$1:$I$89,3,0)*VLOOKUP('Données projet'!$B$9,Paramètres!$A$1:$I$89,5,0)</f>
        <v>0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101.15586831191774</v>
      </c>
      <c r="T108" s="59">
        <f t="shared" si="88"/>
        <v>346.96347336689064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9.2270975135054911</v>
      </c>
      <c r="AA108" s="21">
        <f>EXP(-LN(2)/25)*AA107+(1-EXP(-LN(2)/25))/(LN(2)/25)*Calculateur!V108*Calculateur!X108*VLOOKUP('Données projet'!$B$9,Paramètres!$A$1:$I$89,3,0)*0.475*44/12</f>
        <v>2.06140518805935</v>
      </c>
      <c r="AB108" s="21">
        <f>EXP(-LN(2)/2)*AB107+(1-EXP(-LN(2)/2))/(LN(2)/2)*V108*Y108*VLOOKUP('Données projet'!$B$9,Paramètres!$A$1:$I$89,3,0)*0.475*44/12</f>
        <v>0</v>
      </c>
      <c r="AC108" s="22">
        <f t="shared" si="57"/>
        <v>11.288502701564841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0</v>
      </c>
      <c r="AJ108" s="13">
        <f>AI108*VLOOKUP('Données projet'!$B$10,Paramètres!$A$1:$I$89,3,0)*VLOOKUP('Données projet'!$B$10,Paramètres!$A$1:$I$89,5,0)</f>
        <v>0</v>
      </c>
      <c r="AK108" s="13" t="e">
        <f t="shared" si="89"/>
        <v>#NUM!</v>
      </c>
      <c r="AL108" s="20" t="e">
        <f t="shared" si="58"/>
        <v>#NUM!</v>
      </c>
      <c r="AM108" s="59" t="e">
        <f t="shared" si="59"/>
        <v>#NUM!</v>
      </c>
      <c r="AN108" s="59">
        <f ca="1">AVERAGE(OFFSET($AM$3,0,0,'Données projet'!$E$10+1,1))-AVERAGE(OFFSET($H$3,0,0,'Données projet'!$E$10+1,1))</f>
        <v>101.15586831191774</v>
      </c>
      <c r="AO108" s="59">
        <f t="shared" si="90"/>
        <v>346.96347336689064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9.2270975135054911</v>
      </c>
      <c r="AV108" s="21">
        <f>EXP(-LN(2)/25)*AV107+(1-EXP(-LN(2)/25))/(LN(2)/25)*Calculateur!AQ108*Calculateur!AS108*VLOOKUP('Données projet'!$B$10,Paramètres!$A$1:$I$89,3,0)*0.475*44/12</f>
        <v>2.06140518805935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11.288502701564841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5.2</v>
      </c>
      <c r="BD108" s="12">
        <f>IF('Données projet'!$A$88&gt;35,BD107+BC108-BL107,IF(A108&lt;'Données projet'!$A$88,$BA$205^A108,IF(A108='Données projet'!$A$88,'Données projet'!$B$88,BD107+BC108-BL107)))</f>
        <v>332.00000000000011</v>
      </c>
      <c r="BE108" s="13">
        <f>BD108*VLOOKUP('Données projet'!$B$11,Paramètres!$A$1:$I$89,3,0)*VLOOKUP('Données projet'!$B$11,Paramètres!$A$1:$I$89,5,0)</f>
        <v>300.39360000000011</v>
      </c>
      <c r="BF108" s="13">
        <f t="shared" si="91"/>
        <v>71.258970856492738</v>
      </c>
      <c r="BG108" s="20">
        <f t="shared" si="61"/>
        <v>647.29489424172505</v>
      </c>
      <c r="BH108" s="59">
        <f t="shared" si="62"/>
        <v>940.62822757505842</v>
      </c>
      <c r="BI108" s="59">
        <f ca="1">AVERAGE(OFFSET($BH$3,0,0,'Données projet'!$E$11+1,1))-AVERAGE(OFFSET($H$3,0,0,'Données projet'!$E$11+1,1))</f>
        <v>352.62747127358324</v>
      </c>
      <c r="BJ108" s="59">
        <f t="shared" si="92"/>
        <v>283.16932763435011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48.831475341190007</v>
      </c>
      <c r="BQ108" s="21">
        <f>EXP(-LN(2)/25)*BQ107+(1-EXP(-LN(2)/25))/(LN(2)/25)*Calculateur!BL108*Calculateur!BN108*VLOOKUP('Données projet'!$B$11,Paramètres!$A$1:$I$89,3,0)*0.475*44/12</f>
        <v>0</v>
      </c>
      <c r="BR108" s="21">
        <f>EXP(-LN(2)/2)*BR107+(1-EXP(-LN(2)/2))/(LN(2)/2)*BL108*BO108*VLOOKUP('Données projet'!$B$11,Paramètres!$A$1:$I$89,3,0)*0.475*44/12</f>
        <v>0</v>
      </c>
      <c r="BS108" s="22">
        <f t="shared" si="63"/>
        <v>48.831475341190007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5.2</v>
      </c>
      <c r="BY108" s="12">
        <f>IF('Données projet'!$A$114&gt;35,BY107+BX108-CG107,IF(A108&lt;'Données projet'!$A$114,$BV$205^A108,IF(A108='Données projet'!$A$114,'Données projet'!$B$114,BY107+BX108-CG107)))</f>
        <v>332.00000000000011</v>
      </c>
      <c r="BZ108" s="13">
        <f>BY108*VLOOKUP('Données projet'!$B$12,Paramètres!$A$1:$I$89,3,0)*VLOOKUP('Données projet'!$B$12,Paramètres!$A$1:$I$89,5,0)</f>
        <v>347.00640000000016</v>
      </c>
      <c r="CA108" s="13">
        <f t="shared" si="93"/>
        <v>80.945790080684674</v>
      </c>
      <c r="CB108" s="20">
        <f t="shared" si="64"/>
        <v>745.35006439052597</v>
      </c>
      <c r="CC108" s="59">
        <f t="shared" si="65"/>
        <v>1038.6833977238593</v>
      </c>
      <c r="CD108" s="59">
        <f ca="1">AVERAGE(OFFSET($CC$3,0,0,'Données projet'!$E$12+1,1))-AVERAGE(OFFSET($H$3,0,0,'Données projet'!$E$12+1,1))</f>
        <v>423.49657671419374</v>
      </c>
      <c r="CE108" s="59">
        <f t="shared" si="94"/>
        <v>329.6783569381081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56.408773238960883</v>
      </c>
      <c r="CL108" s="21">
        <f>EXP(-LN(2)/25)*CL107+(1-EXP(-LN(2)/25))/(LN(2)/25)*Calculateur!CG108*Calculateur!CI108*VLOOKUP('Données projet'!$B$12,Paramètres!$A$1:$I$89,3,0)*0.475*44/12</f>
        <v>0</v>
      </c>
      <c r="CM108" s="21">
        <f>EXP(-LN(2)/2)*CM107+(1-EXP(-LN(2)/2))/(LN(2)/2)*CG108*CJ108*VLOOKUP('Données projet'!$B$12,Paramètres!$A$1:$I$89,3,0)*0.475*44/12</f>
        <v>0</v>
      </c>
      <c r="CN108" s="22">
        <f t="shared" si="66"/>
        <v>56.408773238960883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5.2</v>
      </c>
      <c r="CT108" s="12">
        <f>IF('Données projet'!$A$140&gt;35,CT107+CS108-DB107,IF(A108&lt;'Données projet'!$A$140,$CQ$205^A108,IF(A108='Données projet'!$A$140,'Données projet'!$B$140,CT107+CS108-DB107)))</f>
        <v>332.00000000000011</v>
      </c>
      <c r="CU108" s="17">
        <f>CT108*VLOOKUP('Données projet'!$B$13,Paramètres!$A$1:$I$89,3,0)*VLOOKUP('Données projet'!$B$13,Paramètres!$A$1:$I$89,5,0)</f>
        <v>336.64800000000014</v>
      </c>
      <c r="CV108" s="13">
        <f t="shared" si="95"/>
        <v>78.807003163010378</v>
      </c>
      <c r="CW108" s="20">
        <f t="shared" si="67"/>
        <v>723.58413050891011</v>
      </c>
      <c r="CX108" s="59">
        <f t="shared" si="68"/>
        <v>1016.9174638422435</v>
      </c>
      <c r="CY108" s="59">
        <f ca="1">AVERAGE(OFFSET($CX$3,0,0,'Données projet'!$E$13+1,1))-AVERAGE(OFFSET($H$3,0,0,'Données projet'!$E$13+1,1))</f>
        <v>407.76560346703042</v>
      </c>
      <c r="CZ108" s="59">
        <f t="shared" si="96"/>
        <v>319.35531375725202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projet'!$B$13,Paramètres!$A$1:$I$89,3,0)*0.475*44/12</f>
        <v>54.724929261678454</v>
      </c>
      <c r="DG108" s="21">
        <f>EXP(-LN(2)/25)*DG107+(1-EXP(-LN(2)/25))/(LN(2)/25)*Calculateur!DB108*Calculateur!DD108*VLOOKUP('Données projet'!$B$13,Paramètres!$A$1:$I$89,3,0)*0.475*44/12</f>
        <v>0</v>
      </c>
      <c r="DH108" s="21">
        <f>EXP(-LN(2)/2)*DH107+(1-EXP(-LN(2)/2))/(LN(2)/2)*DB108*DE108*VLOOKUP('Données projet'!$B$13,Paramètres!$A$1:$I$89,3,0)*0.475*44/12</f>
        <v>0</v>
      </c>
      <c r="DI108" s="22">
        <f t="shared" si="69"/>
        <v>54.724929261678454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2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94.255200000000158</v>
      </c>
      <c r="D109" s="11">
        <f t="shared" si="86"/>
        <v>25.588701314145272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925.11081716182434</v>
      </c>
      <c r="H109" s="67">
        <f t="shared" si="56"/>
        <v>465.39479478880332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0</v>
      </c>
      <c r="O109" s="13">
        <f>N109*VLOOKUP('Données projet'!$B$9,Paramètres!$A$1:$I$89,3,0)*VLOOKUP('Données projet'!$B$9,Paramètres!$A$1:$I$89,5,0)</f>
        <v>0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101.15586831191774</v>
      </c>
      <c r="T109" s="59">
        <f t="shared" si="88"/>
        <v>346.96347336689064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9.0461597592394156</v>
      </c>
      <c r="AA109" s="21">
        <f>EXP(-LN(2)/25)*AA108+(1-EXP(-LN(2)/25))/(LN(2)/25)*Calculateur!V109*Calculateur!X109*VLOOKUP('Données projet'!$B$9,Paramètres!$A$1:$I$89,3,0)*0.475*44/12</f>
        <v>2.0050359547872798</v>
      </c>
      <c r="AB109" s="21">
        <f>EXP(-LN(2)/2)*AB108+(1-EXP(-LN(2)/2))/(LN(2)/2)*V109*Y109*VLOOKUP('Données projet'!$B$9,Paramètres!$A$1:$I$89,3,0)*0.475*44/12</f>
        <v>0</v>
      </c>
      <c r="AC109" s="22">
        <f t="shared" si="57"/>
        <v>11.051195714026695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0</v>
      </c>
      <c r="AJ109" s="13">
        <f>AI109*VLOOKUP('Données projet'!$B$10,Paramètres!$A$1:$I$89,3,0)*VLOOKUP('Données projet'!$B$10,Paramètres!$A$1:$I$89,5,0)</f>
        <v>0</v>
      </c>
      <c r="AK109" s="13" t="e">
        <f t="shared" si="89"/>
        <v>#NUM!</v>
      </c>
      <c r="AL109" s="20" t="e">
        <f t="shared" si="58"/>
        <v>#NUM!</v>
      </c>
      <c r="AM109" s="59" t="e">
        <f t="shared" si="59"/>
        <v>#NUM!</v>
      </c>
      <c r="AN109" s="59">
        <f ca="1">AVERAGE(OFFSET($AM$3,0,0,'Données projet'!$E$10+1,1))-AVERAGE(OFFSET($H$3,0,0,'Données projet'!$E$10+1,1))</f>
        <v>101.15586831191774</v>
      </c>
      <c r="AO109" s="59">
        <f t="shared" si="90"/>
        <v>346.96347336689064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9.0461597592394156</v>
      </c>
      <c r="AV109" s="21">
        <f>EXP(-LN(2)/25)*AV108+(1-EXP(-LN(2)/25))/(LN(2)/25)*Calculateur!AQ109*Calculateur!AS109*VLOOKUP('Données projet'!$B$10,Paramètres!$A$1:$I$89,3,0)*0.475*44/12</f>
        <v>2.0050359547872798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11.051195714026695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5.2</v>
      </c>
      <c r="BD109" s="12">
        <f>IF('Données projet'!$A$88&gt;35,BD108+BC109-BL108,IF(A109&lt;'Données projet'!$A$88,$BA$205^A109,IF(A109='Données projet'!$A$88,'Données projet'!$B$88,BD108+BC109-BL108)))</f>
        <v>337.2000000000001</v>
      </c>
      <c r="BE109" s="13">
        <f>BD109*VLOOKUP('Données projet'!$B$11,Paramètres!$A$1:$I$89,3,0)*VLOOKUP('Données projet'!$B$11,Paramètres!$A$1:$I$89,5,0)</f>
        <v>305.09856000000008</v>
      </c>
      <c r="BF109" s="13">
        <f t="shared" si="91"/>
        <v>72.244266890878862</v>
      </c>
      <c r="BG109" s="20">
        <f t="shared" si="61"/>
        <v>657.20542350161418</v>
      </c>
      <c r="BH109" s="59">
        <f t="shared" si="62"/>
        <v>950.53875683494743</v>
      </c>
      <c r="BI109" s="59">
        <f ca="1">AVERAGE(OFFSET($BH$3,0,0,'Données projet'!$E$11+1,1))-AVERAGE(OFFSET($H$3,0,0,'Données projet'!$E$11+1,1))</f>
        <v>352.62747127358324</v>
      </c>
      <c r="BJ109" s="59">
        <f t="shared" si="92"/>
        <v>283.16932763435011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47.873919894008274</v>
      </c>
      <c r="BQ109" s="21">
        <f>EXP(-LN(2)/25)*BQ108+(1-EXP(-LN(2)/25))/(LN(2)/25)*Calculateur!BL109*Calculateur!BN109*VLOOKUP('Données projet'!$B$11,Paramètres!$A$1:$I$89,3,0)*0.475*44/12</f>
        <v>0</v>
      </c>
      <c r="BR109" s="21">
        <f>EXP(-LN(2)/2)*BR108+(1-EXP(-LN(2)/2))/(LN(2)/2)*BL109*BO109*VLOOKUP('Données projet'!$B$11,Paramètres!$A$1:$I$89,3,0)*0.475*44/12</f>
        <v>0</v>
      </c>
      <c r="BS109" s="22">
        <f t="shared" si="63"/>
        <v>47.873919894008274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5.2</v>
      </c>
      <c r="BY109" s="12">
        <f>IF('Données projet'!$A$114&gt;35,BY108+BX109-CG108,IF(A109&lt;'Données projet'!$A$114,$BV$205^A109,IF(A109='Données projet'!$A$114,'Données projet'!$B$114,BY108+BX109-CG108)))</f>
        <v>337.2000000000001</v>
      </c>
      <c r="BZ109" s="13">
        <f>BY109*VLOOKUP('Données projet'!$B$12,Paramètres!$A$1:$I$89,3,0)*VLOOKUP('Données projet'!$B$12,Paramètres!$A$1:$I$89,5,0)</f>
        <v>352.44144000000017</v>
      </c>
      <c r="CA109" s="13">
        <f t="shared" si="93"/>
        <v>82.065025525824169</v>
      </c>
      <c r="CB109" s="20">
        <f t="shared" si="64"/>
        <v>756.76542745747736</v>
      </c>
      <c r="CC109" s="59">
        <f t="shared" si="65"/>
        <v>1050.0987607908107</v>
      </c>
      <c r="CD109" s="59">
        <f ca="1">AVERAGE(OFFSET($CC$3,0,0,'Données projet'!$E$12+1,1))-AVERAGE(OFFSET($H$3,0,0,'Données projet'!$E$12+1,1))</f>
        <v>423.49657671419374</v>
      </c>
      <c r="CE109" s="59">
        <f t="shared" si="94"/>
        <v>329.6783569381081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55.302631601699233</v>
      </c>
      <c r="CL109" s="21">
        <f>EXP(-LN(2)/25)*CL108+(1-EXP(-LN(2)/25))/(LN(2)/25)*Calculateur!CG109*Calculateur!CI109*VLOOKUP('Données projet'!$B$12,Paramètres!$A$1:$I$89,3,0)*0.475*44/12</f>
        <v>0</v>
      </c>
      <c r="CM109" s="21">
        <f>EXP(-LN(2)/2)*CM108+(1-EXP(-LN(2)/2))/(LN(2)/2)*CG109*CJ109*VLOOKUP('Données projet'!$B$12,Paramètres!$A$1:$I$89,3,0)*0.475*44/12</f>
        <v>0</v>
      </c>
      <c r="CN109" s="22">
        <f t="shared" si="66"/>
        <v>55.302631601699233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5.2</v>
      </c>
      <c r="CT109" s="12">
        <f>IF('Données projet'!$A$140&gt;35,CT108+CS109-DB108,IF(A109&lt;'Données projet'!$A$140,$CQ$205^A109,IF(A109='Données projet'!$A$140,'Données projet'!$B$140,CT108+CS109-DB108)))</f>
        <v>337.2000000000001</v>
      </c>
      <c r="CU109" s="17">
        <f>CT109*VLOOKUP('Données projet'!$B$13,Paramètres!$A$1:$I$89,3,0)*VLOOKUP('Données projet'!$B$13,Paramètres!$A$1:$I$89,5,0)</f>
        <v>341.9208000000001</v>
      </c>
      <c r="CV109" s="13">
        <f t="shared" si="95"/>
        <v>79.89666565413367</v>
      </c>
      <c r="CW109" s="20">
        <f t="shared" si="67"/>
        <v>734.66541934761642</v>
      </c>
      <c r="CX109" s="59">
        <f t="shared" si="68"/>
        <v>1027.9987526809498</v>
      </c>
      <c r="CY109" s="59">
        <f ca="1">AVERAGE(OFFSET($CX$3,0,0,'Données projet'!$E$13+1,1))-AVERAGE(OFFSET($H$3,0,0,'Données projet'!$E$13+1,1))</f>
        <v>407.76560346703042</v>
      </c>
      <c r="CZ109" s="59">
        <f t="shared" si="96"/>
        <v>319.35531375725202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53.651806777767895</v>
      </c>
      <c r="DG109" s="21">
        <f>EXP(-LN(2)/25)*DG108+(1-EXP(-LN(2)/25))/(LN(2)/25)*Calculateur!DB109*Calculateur!DD109*VLOOKUP('Données projet'!$B$13,Paramètres!$A$1:$I$89,3,0)*0.475*44/12</f>
        <v>0</v>
      </c>
      <c r="DH109" s="21">
        <f>EXP(-LN(2)/2)*DH108+(1-EXP(-LN(2)/2))/(LN(2)/2)*DB109*DE109*VLOOKUP('Données projet'!$B$13,Paramètres!$A$1:$I$89,3,0)*0.475*44/12</f>
        <v>0</v>
      </c>
      <c r="DI109" s="22">
        <f t="shared" si="69"/>
        <v>53.651806777767895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2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95.144400000000161</v>
      </c>
      <c r="D110" s="11">
        <f t="shared" si="86"/>
        <v>25.801888159247749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933.62047000121208</v>
      </c>
      <c r="H110" s="67">
        <f t="shared" si="56"/>
        <v>467.3147852106901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0</v>
      </c>
      <c r="O110" s="13">
        <f>N110*VLOOKUP('Données projet'!$B$9,Paramètres!$A$1:$I$89,3,0)*VLOOKUP('Données projet'!$B$9,Paramètres!$A$1:$I$89,5,0)</f>
        <v>0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101.15586831191774</v>
      </c>
      <c r="T110" s="59">
        <f t="shared" si="88"/>
        <v>346.96347336689064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8.8687700839733647</v>
      </c>
      <c r="AA110" s="21">
        <f>EXP(-LN(2)/25)*AA109+(1-EXP(-LN(2)/25))/(LN(2)/25)*Calculateur!V110*Calculateur!X110*VLOOKUP('Données projet'!$B$9,Paramètres!$A$1:$I$89,3,0)*0.475*44/12</f>
        <v>1.9502081411633634</v>
      </c>
      <c r="AB110" s="21">
        <f>EXP(-LN(2)/2)*AB109+(1-EXP(-LN(2)/2))/(LN(2)/2)*V110*Y110*VLOOKUP('Données projet'!$B$9,Paramètres!$A$1:$I$89,3,0)*0.475*44/12</f>
        <v>0</v>
      </c>
      <c r="AC110" s="22">
        <f t="shared" si="57"/>
        <v>10.818978225136728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0</v>
      </c>
      <c r="AJ110" s="13">
        <f>AI110*VLOOKUP('Données projet'!$B$10,Paramètres!$A$1:$I$89,3,0)*VLOOKUP('Données projet'!$B$10,Paramètres!$A$1:$I$89,5,0)</f>
        <v>0</v>
      </c>
      <c r="AK110" s="13" t="e">
        <f t="shared" si="89"/>
        <v>#NUM!</v>
      </c>
      <c r="AL110" s="20" t="e">
        <f t="shared" si="58"/>
        <v>#NUM!</v>
      </c>
      <c r="AM110" s="59" t="e">
        <f t="shared" si="59"/>
        <v>#NUM!</v>
      </c>
      <c r="AN110" s="59">
        <f ca="1">AVERAGE(OFFSET($AM$3,0,0,'Données projet'!$E$10+1,1))-AVERAGE(OFFSET($H$3,0,0,'Données projet'!$E$10+1,1))</f>
        <v>101.15586831191774</v>
      </c>
      <c r="AO110" s="59">
        <f t="shared" si="90"/>
        <v>346.96347336689064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8.8687700839733647</v>
      </c>
      <c r="AV110" s="21">
        <f>EXP(-LN(2)/25)*AV109+(1-EXP(-LN(2)/25))/(LN(2)/25)*Calculateur!AQ110*Calculateur!AS110*VLOOKUP('Données projet'!$B$10,Paramètres!$A$1:$I$89,3,0)*0.475*44/12</f>
        <v>1.9502081411633634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10.818978225136728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5.2</v>
      </c>
      <c r="BD110" s="12">
        <f>IF('Données projet'!$A$88&gt;35,BD109+BC110-BL109,IF(A110&lt;'Données projet'!$A$88,$BA$205^A110,IF(A110='Données projet'!$A$88,'Données projet'!$B$88,BD109+BC110-BL109)))</f>
        <v>342.40000000000009</v>
      </c>
      <c r="BE110" s="13">
        <f>BD110*VLOOKUP('Données projet'!$B$11,Paramètres!$A$1:$I$89,3,0)*VLOOKUP('Données projet'!$B$11,Paramètres!$A$1:$I$89,5,0)</f>
        <v>309.80352000000005</v>
      </c>
      <c r="BF110" s="13">
        <f t="shared" si="91"/>
        <v>73.227795813703821</v>
      </c>
      <c r="BG110" s="20">
        <f t="shared" si="61"/>
        <v>667.11287504220093</v>
      </c>
      <c r="BH110" s="59">
        <f t="shared" si="62"/>
        <v>960.4462083755343</v>
      </c>
      <c r="BI110" s="59">
        <f ca="1">AVERAGE(OFFSET($BH$3,0,0,'Données projet'!$E$11+1,1))-AVERAGE(OFFSET($H$3,0,0,'Données projet'!$E$11+1,1))</f>
        <v>352.62747127358324</v>
      </c>
      <c r="BJ110" s="59">
        <f t="shared" si="92"/>
        <v>283.16932763435011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46.935141525094629</v>
      </c>
      <c r="BQ110" s="21">
        <f>EXP(-LN(2)/25)*BQ109+(1-EXP(-LN(2)/25))/(LN(2)/25)*Calculateur!BL110*Calculateur!BN110*VLOOKUP('Données projet'!$B$11,Paramètres!$A$1:$I$89,3,0)*0.475*44/12</f>
        <v>0</v>
      </c>
      <c r="BR110" s="21">
        <f>EXP(-LN(2)/2)*BR109+(1-EXP(-LN(2)/2))/(LN(2)/2)*BL110*BO110*VLOOKUP('Données projet'!$B$11,Paramètres!$A$1:$I$89,3,0)*0.475*44/12</f>
        <v>0</v>
      </c>
      <c r="BS110" s="22">
        <f t="shared" si="63"/>
        <v>46.935141525094629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5.2</v>
      </c>
      <c r="BY110" s="12">
        <f>IF('Données projet'!$A$114&gt;35,BY109+BX110-CG109,IF(A110&lt;'Données projet'!$A$114,$BV$205^A110,IF(A110='Données projet'!$A$114,'Données projet'!$B$114,BY109+BX110-CG109)))</f>
        <v>342.40000000000009</v>
      </c>
      <c r="BZ110" s="13">
        <f>BY110*VLOOKUP('Données projet'!$B$12,Paramètres!$A$1:$I$89,3,0)*VLOOKUP('Données projet'!$B$12,Paramètres!$A$1:$I$89,5,0)</f>
        <v>357.87648000000013</v>
      </c>
      <c r="CA110" s="13">
        <f t="shared" si="93"/>
        <v>83.182253641363587</v>
      </c>
      <c r="CB110" s="20">
        <f t="shared" si="64"/>
        <v>768.17729442537495</v>
      </c>
      <c r="CC110" s="59">
        <f t="shared" si="65"/>
        <v>1061.5106277587083</v>
      </c>
      <c r="CD110" s="59">
        <f ca="1">AVERAGE(OFFSET($CC$3,0,0,'Données projet'!$E$12+1,1))-AVERAGE(OFFSET($H$3,0,0,'Données projet'!$E$12+1,1))</f>
        <v>423.49657671419374</v>
      </c>
      <c r="CE110" s="59">
        <f t="shared" si="94"/>
        <v>329.6783569381081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54.218180727264503</v>
      </c>
      <c r="CL110" s="21">
        <f>EXP(-LN(2)/25)*CL109+(1-EXP(-LN(2)/25))/(LN(2)/25)*Calculateur!CG110*Calculateur!CI110*VLOOKUP('Données projet'!$B$12,Paramètres!$A$1:$I$89,3,0)*0.475*44/12</f>
        <v>0</v>
      </c>
      <c r="CM110" s="21">
        <f>EXP(-LN(2)/2)*CM109+(1-EXP(-LN(2)/2))/(LN(2)/2)*CG110*CJ110*VLOOKUP('Données projet'!$B$12,Paramètres!$A$1:$I$89,3,0)*0.475*44/12</f>
        <v>0</v>
      </c>
      <c r="CN110" s="22">
        <f t="shared" si="66"/>
        <v>54.218180727264503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5.2</v>
      </c>
      <c r="CT110" s="12">
        <f>IF('Données projet'!$A$140&gt;35,CT109+CS110-DB109,IF(A110&lt;'Données projet'!$A$140,$CQ$205^A110,IF(A110='Données projet'!$A$140,'Données projet'!$B$140,CT109+CS110-DB109)))</f>
        <v>342.40000000000009</v>
      </c>
      <c r="CU110" s="17">
        <f>CT110*VLOOKUP('Données projet'!$B$13,Paramètres!$A$1:$I$89,3,0)*VLOOKUP('Données projet'!$B$13,Paramètres!$A$1:$I$89,5,0)</f>
        <v>347.19360000000012</v>
      </c>
      <c r="CV110" s="13">
        <f t="shared" si="95"/>
        <v>80.984373854243287</v>
      </c>
      <c r="CW110" s="20">
        <f t="shared" si="67"/>
        <v>745.74330446280726</v>
      </c>
      <c r="CX110" s="59">
        <f t="shared" si="68"/>
        <v>1039.0766377961406</v>
      </c>
      <c r="CY110" s="59">
        <f ca="1">AVERAGE(OFFSET($CX$3,0,0,'Données projet'!$E$13+1,1))-AVERAGE(OFFSET($H$3,0,0,'Données projet'!$E$13+1,1))</f>
        <v>407.76560346703042</v>
      </c>
      <c r="CZ110" s="59">
        <f t="shared" si="96"/>
        <v>319.35531375725202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52.599727571226737</v>
      </c>
      <c r="DG110" s="21">
        <f>EXP(-LN(2)/25)*DG109+(1-EXP(-LN(2)/25))/(LN(2)/25)*Calculateur!DB110*Calculateur!DD110*VLOOKUP('Données projet'!$B$13,Paramètres!$A$1:$I$89,3,0)*0.475*44/12</f>
        <v>0</v>
      </c>
      <c r="DH110" s="21">
        <f>EXP(-LN(2)/2)*DH109+(1-EXP(-LN(2)/2))/(LN(2)/2)*DB110*DE110*VLOOKUP('Données projet'!$B$13,Paramètres!$A$1:$I$89,3,0)*0.475*44/12</f>
        <v>0</v>
      </c>
      <c r="DI110" s="22">
        <f t="shared" si="69"/>
        <v>52.599727571226737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2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96.033600000000163</v>
      </c>
      <c r="D111" s="11">
        <f t="shared" si="86"/>
        <v>26.014843211471252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942.12833356223564</v>
      </c>
      <c r="H111" s="67">
        <f t="shared" si="56"/>
        <v>469.23437192664602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0</v>
      </c>
      <c r="O111" s="13">
        <f>N111*VLOOKUP('Données projet'!$B$9,Paramètres!$A$1:$I$89,3,0)*VLOOKUP('Données projet'!$B$9,Paramètres!$A$1:$I$89,5,0)</f>
        <v>0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101.15586831191774</v>
      </c>
      <c r="T111" s="59">
        <f t="shared" si="88"/>
        <v>346.96347336689064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8.6948589120422621</v>
      </c>
      <c r="AA111" s="21">
        <f>EXP(-LN(2)/25)*AA110+(1-EXP(-LN(2)/25))/(LN(2)/25)*Calculateur!V111*Calculateur!X111*VLOOKUP('Données projet'!$B$9,Paramètres!$A$1:$I$89,3,0)*0.475*44/12</f>
        <v>1.8968795969862624</v>
      </c>
      <c r="AB111" s="21">
        <f>EXP(-LN(2)/2)*AB110+(1-EXP(-LN(2)/2))/(LN(2)/2)*V111*Y111*VLOOKUP('Données projet'!$B$9,Paramètres!$A$1:$I$89,3,0)*0.475*44/12</f>
        <v>0</v>
      </c>
      <c r="AC111" s="22">
        <f t="shared" si="57"/>
        <v>10.591738509028524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0</v>
      </c>
      <c r="AJ111" s="13">
        <f>AI111*VLOOKUP('Données projet'!$B$10,Paramètres!$A$1:$I$89,3,0)*VLOOKUP('Données projet'!$B$10,Paramètres!$A$1:$I$89,5,0)</f>
        <v>0</v>
      </c>
      <c r="AK111" s="13" t="e">
        <f t="shared" si="89"/>
        <v>#NUM!</v>
      </c>
      <c r="AL111" s="20" t="e">
        <f t="shared" si="58"/>
        <v>#NUM!</v>
      </c>
      <c r="AM111" s="59" t="e">
        <f t="shared" si="59"/>
        <v>#NUM!</v>
      </c>
      <c r="AN111" s="59">
        <f ca="1">AVERAGE(OFFSET($AM$3,0,0,'Données projet'!$E$10+1,1))-AVERAGE(OFFSET($H$3,0,0,'Données projet'!$E$10+1,1))</f>
        <v>101.15586831191774</v>
      </c>
      <c r="AO111" s="59">
        <f t="shared" si="90"/>
        <v>346.96347336689064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8.6948589120422621</v>
      </c>
      <c r="AV111" s="21">
        <f>EXP(-LN(2)/25)*AV110+(1-EXP(-LN(2)/25))/(LN(2)/25)*Calculateur!AQ111*Calculateur!AS111*VLOOKUP('Données projet'!$B$10,Paramètres!$A$1:$I$89,3,0)*0.475*44/12</f>
        <v>1.8968795969862624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10.591738509028524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5.2</v>
      </c>
      <c r="BD111" s="12">
        <f>IF('Données projet'!$A$88&gt;35,BD110+BC111-BL110,IF(A111&lt;'Données projet'!$A$88,$BA$205^A111,IF(A111='Données projet'!$A$88,'Données projet'!$B$88,BD110+BC111-BL110)))</f>
        <v>347.60000000000008</v>
      </c>
      <c r="BE111" s="13">
        <f>BD111*VLOOKUP('Données projet'!$B$11,Paramètres!$A$1:$I$89,3,0)*VLOOKUP('Données projet'!$B$11,Paramètres!$A$1:$I$89,5,0)</f>
        <v>314.50848000000008</v>
      </c>
      <c r="BF111" s="13">
        <f t="shared" si="91"/>
        <v>74.20958756161744</v>
      </c>
      <c r="BG111" s="20">
        <f t="shared" si="61"/>
        <v>677.01730100315046</v>
      </c>
      <c r="BH111" s="59">
        <f t="shared" si="62"/>
        <v>970.35063433648384</v>
      </c>
      <c r="BI111" s="59">
        <f ca="1">AVERAGE(OFFSET($BH$3,0,0,'Données projet'!$E$11+1,1))-AVERAGE(OFFSET($H$3,0,0,'Données projet'!$E$11+1,1))</f>
        <v>352.62747127358324</v>
      </c>
      <c r="BJ111" s="59">
        <f t="shared" si="92"/>
        <v>283.16932763435011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46.014772027397115</v>
      </c>
      <c r="BQ111" s="21">
        <f>EXP(-LN(2)/25)*BQ110+(1-EXP(-LN(2)/25))/(LN(2)/25)*Calculateur!BL111*Calculateur!BN111*VLOOKUP('Données projet'!$B$11,Paramètres!$A$1:$I$89,3,0)*0.475*44/12</f>
        <v>0</v>
      </c>
      <c r="BR111" s="21">
        <f>EXP(-LN(2)/2)*BR110+(1-EXP(-LN(2)/2))/(LN(2)/2)*BL111*BO111*VLOOKUP('Données projet'!$B$11,Paramètres!$A$1:$I$89,3,0)*0.475*44/12</f>
        <v>0</v>
      </c>
      <c r="BS111" s="22">
        <f t="shared" si="63"/>
        <v>46.014772027397115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5.2</v>
      </c>
      <c r="BY111" s="12">
        <f>IF('Données projet'!$A$114&gt;35,BY110+BX111-CG110,IF(A111&lt;'Données projet'!$A$114,$BV$205^A111,IF(A111='Données projet'!$A$114,'Données projet'!$B$114,BY110+BX111-CG110)))</f>
        <v>347.60000000000008</v>
      </c>
      <c r="BZ111" s="13">
        <f>BY111*VLOOKUP('Données projet'!$B$12,Paramètres!$A$1:$I$89,3,0)*VLOOKUP('Données projet'!$B$12,Paramètres!$A$1:$I$89,5,0)</f>
        <v>363.31152000000014</v>
      </c>
      <c r="CA111" s="13">
        <f t="shared" si="93"/>
        <v>84.297508433488105</v>
      </c>
      <c r="CB111" s="20">
        <f t="shared" si="64"/>
        <v>779.58572452165856</v>
      </c>
      <c r="CC111" s="59">
        <f t="shared" si="65"/>
        <v>1072.9190578549919</v>
      </c>
      <c r="CD111" s="59">
        <f ca="1">AVERAGE(OFFSET($CC$3,0,0,'Données projet'!$E$12+1,1))-AVERAGE(OFFSET($H$3,0,0,'Données projet'!$E$12+1,1))</f>
        <v>423.49657671419374</v>
      </c>
      <c r="CE111" s="59">
        <f t="shared" si="94"/>
        <v>329.6783569381081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53.154995273027716</v>
      </c>
      <c r="CL111" s="21">
        <f>EXP(-LN(2)/25)*CL110+(1-EXP(-LN(2)/25))/(LN(2)/25)*Calculateur!CG111*Calculateur!CI111*VLOOKUP('Données projet'!$B$12,Paramètres!$A$1:$I$89,3,0)*0.475*44/12</f>
        <v>0</v>
      </c>
      <c r="CM111" s="21">
        <f>EXP(-LN(2)/2)*CM110+(1-EXP(-LN(2)/2))/(LN(2)/2)*CG111*CJ111*VLOOKUP('Données projet'!$B$12,Paramètres!$A$1:$I$89,3,0)*0.475*44/12</f>
        <v>0</v>
      </c>
      <c r="CN111" s="22">
        <f t="shared" si="66"/>
        <v>53.154995273027716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5.2</v>
      </c>
      <c r="CT111" s="12">
        <f>IF('Données projet'!$A$140&gt;35,CT110+CS111-DB110,IF(A111&lt;'Données projet'!$A$140,$CQ$205^A111,IF(A111='Données projet'!$A$140,'Données projet'!$B$140,CT110+CS111-DB110)))</f>
        <v>347.60000000000008</v>
      </c>
      <c r="CU111" s="17">
        <f>CT111*VLOOKUP('Données projet'!$B$13,Paramètres!$A$1:$I$89,3,0)*VLOOKUP('Données projet'!$B$13,Paramètres!$A$1:$I$89,5,0)</f>
        <v>352.46640000000008</v>
      </c>
      <c r="CV111" s="13">
        <f t="shared" si="95"/>
        <v>82.070160870997498</v>
      </c>
      <c r="CW111" s="20">
        <f t="shared" si="67"/>
        <v>756.81784351698741</v>
      </c>
      <c r="CX111" s="59">
        <f t="shared" si="68"/>
        <v>1050.1511768503208</v>
      </c>
      <c r="CY111" s="59">
        <f ca="1">AVERAGE(OFFSET($CX$3,0,0,'Données projet'!$E$13+1,1))-AVERAGE(OFFSET($H$3,0,0,'Données projet'!$E$13+1,1))</f>
        <v>407.76560346703042</v>
      </c>
      <c r="CZ111" s="59">
        <f t="shared" si="96"/>
        <v>319.35531375725202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51.568278996220897</v>
      </c>
      <c r="DG111" s="21">
        <f>EXP(-LN(2)/25)*DG110+(1-EXP(-LN(2)/25))/(LN(2)/25)*Calculateur!DB111*Calculateur!DD111*VLOOKUP('Données projet'!$B$13,Paramètres!$A$1:$I$89,3,0)*0.475*44/12</f>
        <v>0</v>
      </c>
      <c r="DH111" s="21">
        <f>EXP(-LN(2)/2)*DH110+(1-EXP(-LN(2)/2))/(LN(2)/2)*DB111*DE111*VLOOKUP('Données projet'!$B$13,Paramètres!$A$1:$I$89,3,0)*0.475*44/12</f>
        <v>0</v>
      </c>
      <c r="DI111" s="22">
        <f t="shared" si="69"/>
        <v>51.568278996220897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2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96.922800000000166</v>
      </c>
      <c r="D112" s="11">
        <f t="shared" si="86"/>
        <v>26.227568865645399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950.6344263312991</v>
      </c>
      <c r="H112" s="67">
        <f t="shared" si="56"/>
        <v>471.15355910766601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0</v>
      </c>
      <c r="O112" s="13">
        <f>N112*VLOOKUP('Données projet'!$B$9,Paramètres!$A$1:$I$89,3,0)*VLOOKUP('Données projet'!$B$9,Paramètres!$A$1:$I$89,5,0)</f>
        <v>0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101.15586831191774</v>
      </c>
      <c r="T112" s="59">
        <f t="shared" si="88"/>
        <v>346.96347336689064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8.5243580321173891</v>
      </c>
      <c r="AA112" s="21">
        <f>EXP(-LN(2)/25)*AA111+(1-EXP(-LN(2)/25))/(LN(2)/25)*Calculateur!V112*Calculateur!X112*VLOOKUP('Données projet'!$B$9,Paramètres!$A$1:$I$89,3,0)*0.475*44/12</f>
        <v>1.8450093246541104</v>
      </c>
      <c r="AB112" s="21">
        <f>EXP(-LN(2)/2)*AB111+(1-EXP(-LN(2)/2))/(LN(2)/2)*V112*Y112*VLOOKUP('Données projet'!$B$9,Paramètres!$A$1:$I$89,3,0)*0.475*44/12</f>
        <v>0</v>
      </c>
      <c r="AC112" s="22">
        <f t="shared" si="57"/>
        <v>10.3693673567715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0</v>
      </c>
      <c r="AJ112" s="13">
        <f>AI112*VLOOKUP('Données projet'!$B$10,Paramètres!$A$1:$I$89,3,0)*VLOOKUP('Données projet'!$B$10,Paramètres!$A$1:$I$89,5,0)</f>
        <v>0</v>
      </c>
      <c r="AK112" s="13" t="e">
        <f t="shared" si="89"/>
        <v>#NUM!</v>
      </c>
      <c r="AL112" s="20" t="e">
        <f t="shared" si="58"/>
        <v>#NUM!</v>
      </c>
      <c r="AM112" s="59" t="e">
        <f t="shared" si="59"/>
        <v>#NUM!</v>
      </c>
      <c r="AN112" s="59">
        <f ca="1">AVERAGE(OFFSET($AM$3,0,0,'Données projet'!$E$10+1,1))-AVERAGE(OFFSET($H$3,0,0,'Données projet'!$E$10+1,1))</f>
        <v>101.15586831191774</v>
      </c>
      <c r="AO112" s="59">
        <f t="shared" si="90"/>
        <v>346.96347336689064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8.5243580321173891</v>
      </c>
      <c r="AV112" s="21">
        <f>EXP(-LN(2)/25)*AV111+(1-EXP(-LN(2)/25))/(LN(2)/25)*Calculateur!AQ112*Calculateur!AS112*VLOOKUP('Données projet'!$B$10,Paramètres!$A$1:$I$89,3,0)*0.475*44/12</f>
        <v>1.8450093246541104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10.3693673567715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5.2</v>
      </c>
      <c r="BD112" s="12">
        <f>IF('Données projet'!$A$88&gt;35,BD111+BC112-BL111,IF(A112&lt;'Données projet'!$A$88,$BA$205^A112,IF(A112='Données projet'!$A$88,'Données projet'!$B$88,BD111+BC112-BL111)))</f>
        <v>352.80000000000007</v>
      </c>
      <c r="BE112" s="13">
        <f>BD112*VLOOKUP('Données projet'!$B$11,Paramètres!$A$1:$I$89,3,0)*VLOOKUP('Données projet'!$B$11,Paramètres!$A$1:$I$89,5,0)</f>
        <v>319.21344000000005</v>
      </c>
      <c r="BF112" s="13">
        <f t="shared" si="91"/>
        <v>75.18967112417171</v>
      </c>
      <c r="BG112" s="20">
        <f t="shared" si="61"/>
        <v>686.91875187459902</v>
      </c>
      <c r="BH112" s="59">
        <f t="shared" si="62"/>
        <v>980.2520852079324</v>
      </c>
      <c r="BI112" s="59">
        <f ca="1">AVERAGE(OFFSET($BH$3,0,0,'Données projet'!$E$11+1,1))-AVERAGE(OFFSET($H$3,0,0,'Données projet'!$E$11+1,1))</f>
        <v>352.62747127358324</v>
      </c>
      <c r="BJ112" s="59">
        <f t="shared" si="92"/>
        <v>283.16932763435011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45.112450414179484</v>
      </c>
      <c r="BQ112" s="21">
        <f>EXP(-LN(2)/25)*BQ111+(1-EXP(-LN(2)/25))/(LN(2)/25)*Calculateur!BL112*Calculateur!BN112*VLOOKUP('Données projet'!$B$11,Paramètres!$A$1:$I$89,3,0)*0.475*44/12</f>
        <v>0</v>
      </c>
      <c r="BR112" s="21">
        <f>EXP(-LN(2)/2)*BR111+(1-EXP(-LN(2)/2))/(LN(2)/2)*BL112*BO112*VLOOKUP('Données projet'!$B$11,Paramètres!$A$1:$I$89,3,0)*0.475*44/12</f>
        <v>0</v>
      </c>
      <c r="BS112" s="22">
        <f t="shared" si="63"/>
        <v>45.112450414179484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5.2</v>
      </c>
      <c r="BY112" s="12">
        <f>IF('Données projet'!$A$114&gt;35,BY111+BX112-CG111,IF(A112&lt;'Données projet'!$A$114,$BV$205^A112,IF(A112='Données projet'!$A$114,'Données projet'!$B$114,BY111+BX112-CG111)))</f>
        <v>352.80000000000007</v>
      </c>
      <c r="BZ112" s="13">
        <f>BY112*VLOOKUP('Données projet'!$B$12,Paramètres!$A$1:$I$89,3,0)*VLOOKUP('Données projet'!$B$12,Paramètres!$A$1:$I$89,5,0)</f>
        <v>368.7465600000001</v>
      </c>
      <c r="CA112" s="13">
        <f t="shared" si="93"/>
        <v>85.410822832538514</v>
      </c>
      <c r="CB112" s="20">
        <f t="shared" si="64"/>
        <v>790.99077510000473</v>
      </c>
      <c r="CC112" s="59">
        <f t="shared" si="65"/>
        <v>1084.3241084333381</v>
      </c>
      <c r="CD112" s="59">
        <f ca="1">AVERAGE(OFFSET($CC$3,0,0,'Données projet'!$E$12+1,1))-AVERAGE(OFFSET($H$3,0,0,'Données projet'!$E$12+1,1))</f>
        <v>423.49657671419374</v>
      </c>
      <c r="CE112" s="59">
        <f t="shared" si="94"/>
        <v>329.6783569381081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52.112658237069418</v>
      </c>
      <c r="CL112" s="21">
        <f>EXP(-LN(2)/25)*CL111+(1-EXP(-LN(2)/25))/(LN(2)/25)*Calculateur!CG112*Calculateur!CI112*VLOOKUP('Données projet'!$B$12,Paramètres!$A$1:$I$89,3,0)*0.475*44/12</f>
        <v>0</v>
      </c>
      <c r="CM112" s="21">
        <f>EXP(-LN(2)/2)*CM111+(1-EXP(-LN(2)/2))/(LN(2)/2)*CG112*CJ112*VLOOKUP('Données projet'!$B$12,Paramètres!$A$1:$I$89,3,0)*0.475*44/12</f>
        <v>0</v>
      </c>
      <c r="CN112" s="22">
        <f t="shared" si="66"/>
        <v>52.112658237069418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5.2</v>
      </c>
      <c r="CT112" s="12">
        <f>IF('Données projet'!$A$140&gt;35,CT111+CS112-DB111,IF(A112&lt;'Données projet'!$A$140,$CQ$205^A112,IF(A112='Données projet'!$A$140,'Données projet'!$B$140,CT111+CS112-DB111)))</f>
        <v>352.80000000000007</v>
      </c>
      <c r="CU112" s="17">
        <f>CT112*VLOOKUP('Données projet'!$B$13,Paramètres!$A$1:$I$89,3,0)*VLOOKUP('Données projet'!$B$13,Paramètres!$A$1:$I$89,5,0)</f>
        <v>357.7392000000001</v>
      </c>
      <c r="CV112" s="13">
        <f t="shared" si="95"/>
        <v>83.154058764636403</v>
      </c>
      <c r="CW112" s="20">
        <f t="shared" si="67"/>
        <v>767.88909234840855</v>
      </c>
      <c r="CX112" s="59">
        <f t="shared" si="68"/>
        <v>1061.2224256817419</v>
      </c>
      <c r="CY112" s="59">
        <f ca="1">AVERAGE(OFFSET($CX$3,0,0,'Données projet'!$E$13+1,1))-AVERAGE(OFFSET($H$3,0,0,'Données projet'!$E$13+1,1))</f>
        <v>407.76560346703042</v>
      </c>
      <c r="CZ112" s="59">
        <f t="shared" si="96"/>
        <v>319.35531375725202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50.557056498649416</v>
      </c>
      <c r="DG112" s="21">
        <f>EXP(-LN(2)/25)*DG111+(1-EXP(-LN(2)/25))/(LN(2)/25)*Calculateur!DB112*Calculateur!DD112*VLOOKUP('Données projet'!$B$13,Paramètres!$A$1:$I$89,3,0)*0.475*44/12</f>
        <v>0</v>
      </c>
      <c r="DH112" s="21">
        <f>EXP(-LN(2)/2)*DH111+(1-EXP(-LN(2)/2))/(LN(2)/2)*DB112*DE112*VLOOKUP('Données projet'!$B$13,Paramètres!$A$1:$I$89,3,0)*0.475*44/12</f>
        <v>0</v>
      </c>
      <c r="DI112" s="22">
        <f t="shared" si="69"/>
        <v>50.557056498649416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2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97.812000000000168</v>
      </c>
      <c r="D113" s="11">
        <f t="shared" si="86"/>
        <v>26.440067470123306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959.1387664360409</v>
      </c>
      <c r="H113" s="67">
        <f t="shared" si="56"/>
        <v>473.0723508437984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0</v>
      </c>
      <c r="O113" s="13">
        <f>N113*VLOOKUP('Données projet'!$B$9,Paramètres!$A$1:$I$89,3,0)*VLOOKUP('Données projet'!$B$9,Paramètres!$A$1:$I$89,5,0)</f>
        <v>0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101.15586831191774</v>
      </c>
      <c r="T113" s="59">
        <f t="shared" si="88"/>
        <v>346.96347336689064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8.3572005704525747</v>
      </c>
      <c r="AA113" s="21">
        <f>EXP(-LN(2)/25)*AA112+(1-EXP(-LN(2)/25))/(LN(2)/25)*Calculateur!V113*Calculateur!X113*VLOOKUP('Données projet'!$B$9,Paramètres!$A$1:$I$89,3,0)*0.475*44/12</f>
        <v>1.7945574476466202</v>
      </c>
      <c r="AB113" s="21">
        <f>EXP(-LN(2)/2)*AB112+(1-EXP(-LN(2)/2))/(LN(2)/2)*V113*Y113*VLOOKUP('Données projet'!$B$9,Paramètres!$A$1:$I$89,3,0)*0.475*44/12</f>
        <v>0</v>
      </c>
      <c r="AC113" s="22">
        <f t="shared" si="57"/>
        <v>10.151758018099194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0</v>
      </c>
      <c r="AJ113" s="13">
        <f>AI113*VLOOKUP('Données projet'!$B$10,Paramètres!$A$1:$I$89,3,0)*VLOOKUP('Données projet'!$B$10,Paramètres!$A$1:$I$89,5,0)</f>
        <v>0</v>
      </c>
      <c r="AK113" s="13" t="e">
        <f t="shared" si="89"/>
        <v>#NUM!</v>
      </c>
      <c r="AL113" s="20" t="e">
        <f t="shared" si="58"/>
        <v>#NUM!</v>
      </c>
      <c r="AM113" s="59" t="e">
        <f t="shared" si="59"/>
        <v>#NUM!</v>
      </c>
      <c r="AN113" s="59">
        <f ca="1">AVERAGE(OFFSET($AM$3,0,0,'Données projet'!$E$10+1,1))-AVERAGE(OFFSET($H$3,0,0,'Données projet'!$E$10+1,1))</f>
        <v>101.15586831191774</v>
      </c>
      <c r="AO113" s="59">
        <f t="shared" si="90"/>
        <v>346.96347336689064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8.3572005704525747</v>
      </c>
      <c r="AV113" s="21">
        <f>EXP(-LN(2)/25)*AV112+(1-EXP(-LN(2)/25))/(LN(2)/25)*Calculateur!AQ113*Calculateur!AS113*VLOOKUP('Données projet'!$B$10,Paramètres!$A$1:$I$89,3,0)*0.475*44/12</f>
        <v>1.7945574476466202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10.151758018099194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>
        <f>VLOOKUP(A113,'Données projet'!$A$87:$I$107,2,0)</f>
        <v>358</v>
      </c>
      <c r="BB113" s="12">
        <f>VLOOKUP(A113,'Données projet'!$A$87:$I$107,9,0)</f>
        <v>5.2</v>
      </c>
      <c r="BC113" s="12">
        <f t="array" ref="BC113">INDEX(BB:BB,MIN(IF(ISNUMBER(BB113:BB309),ROW(BB113:BB309),"")))</f>
        <v>5.2</v>
      </c>
      <c r="BD113" s="12">
        <f>IF('Données projet'!$A$88&gt;35,BD112+BC113-BL112,IF(A113&lt;'Données projet'!$A$88,$BA$205^A113,IF(A113='Données projet'!$A$88,'Données projet'!$B$88,BD112+BC113-BL112)))</f>
        <v>358.00000000000006</v>
      </c>
      <c r="BE113" s="13">
        <f>BD113*VLOOKUP('Données projet'!$B$11,Paramètres!$A$1:$I$89,3,0)*VLOOKUP('Données projet'!$B$11,Paramètres!$A$1:$I$89,5,0)</f>
        <v>323.91840000000002</v>
      </c>
      <c r="BF113" s="13">
        <f t="shared" si="91"/>
        <v>76.168074587293091</v>
      </c>
      <c r="BG113" s="20">
        <f t="shared" si="61"/>
        <v>696.81727657286876</v>
      </c>
      <c r="BH113" s="59">
        <f t="shared" si="62"/>
        <v>990.15060990620213</v>
      </c>
      <c r="BI113" s="59">
        <f ca="1">AVERAGE(OFFSET($BH$3,0,0,'Données projet'!$E$11+1,1))-AVERAGE(OFFSET($H$3,0,0,'Données projet'!$E$11+1,1))</f>
        <v>352.62747127358324</v>
      </c>
      <c r="BJ113" s="59">
        <f t="shared" si="92"/>
        <v>283.16932763435011</v>
      </c>
      <c r="BK113" s="15">
        <f>IF(ISNA(VLOOKUP(A113,'Données projet'!$A$87:$I$107,3,0)),0,VLOOKUP(A113,'Données projet'!$A$87:$I$107,3,0))</f>
        <v>19</v>
      </c>
      <c r="BL113" s="15">
        <f>IF(ISNA(VLOOKUP(A113,'Données projet'!$A$87:$I$107,4,0)),0,VLOOKUP(A113,'Données projet'!$A$87:$I$107,4,0))</f>
        <v>51</v>
      </c>
      <c r="BM113" s="16">
        <f>IF(ISNA(VLOOKUP(A113,'Données projet'!$A$87:$I$107,5,0)),0%,VLOOKUP(A113,'Données projet'!$A$87:$I$107,5,0)*VLOOKUP('Données projet'!$B$11,Paramètres!$A$1:$I$89,7,0))</f>
        <v>0.34400000000000003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61.775850869333603</v>
      </c>
      <c r="BQ113" s="21">
        <f>EXP(-LN(2)/25)*BQ112+(1-EXP(-LN(2)/25))/(LN(2)/25)*Calculateur!BL113*Calculateur!BN113*VLOOKUP('Données projet'!$B$11,Paramètres!$A$1:$I$89,3,0)*0.475*44/12</f>
        <v>0</v>
      </c>
      <c r="BR113" s="21">
        <f>EXP(-LN(2)/2)*BR112+(1-EXP(-LN(2)/2))/(LN(2)/2)*BL113*BO113*VLOOKUP('Données projet'!$B$11,Paramètres!$A$1:$I$89,3,0)*0.475*44/12</f>
        <v>0</v>
      </c>
      <c r="BS113" s="22">
        <f t="shared" si="63"/>
        <v>61.775850869333603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>
        <f>VLOOKUP(A113,'Données projet'!$A$113:$I$133,2,0)</f>
        <v>358</v>
      </c>
      <c r="BW113" s="12">
        <f>VLOOKUP(A113,'Données projet'!$A$113:$I$133,9,0)</f>
        <v>5.2</v>
      </c>
      <c r="BX113" s="12">
        <f t="array" ref="BX113">INDEX(BW:BW,MIN(IF(ISNUMBER(BW113:BW309),ROW(BW113:BW309),"")))</f>
        <v>5.2</v>
      </c>
      <c r="BY113" s="12">
        <f>IF('Données projet'!$A$114&gt;35,BY112+BX113-CG112,IF(A113&lt;'Données projet'!$A$114,$BV$205^A113,IF(A113='Données projet'!$A$114,'Données projet'!$B$114,BY112+BX113-CG112)))</f>
        <v>358.00000000000006</v>
      </c>
      <c r="BZ113" s="13">
        <f>BY113*VLOOKUP('Données projet'!$B$12,Paramètres!$A$1:$I$89,3,0)*VLOOKUP('Données projet'!$B$12,Paramètres!$A$1:$I$89,5,0)</f>
        <v>374.18160000000006</v>
      </c>
      <c r="CA113" s="13">
        <f t="shared" si="93"/>
        <v>86.52222874239277</v>
      </c>
      <c r="CB113" s="20">
        <f t="shared" si="64"/>
        <v>802.39250172633422</v>
      </c>
      <c r="CC113" s="59">
        <f t="shared" si="65"/>
        <v>1095.7258350596676</v>
      </c>
      <c r="CD113" s="59">
        <f ca="1">AVERAGE(OFFSET($CC$3,0,0,'Données projet'!$E$12+1,1))-AVERAGE(OFFSET($H$3,0,0,'Données projet'!$E$12+1,1))</f>
        <v>423.49657671419374</v>
      </c>
      <c r="CE113" s="59">
        <f t="shared" si="94"/>
        <v>329.6783569381081</v>
      </c>
      <c r="CF113" s="15">
        <f>IF(ISNA(VLOOKUP(A113,'Données projet'!$A$113:$I$133,3,0)),0,VLOOKUP(A113,'Données projet'!$A$113:$I$133,3,0))</f>
        <v>19</v>
      </c>
      <c r="CG113" s="15">
        <f>IF(ISNA(VLOOKUP(A113,'Données projet'!$A$113:$I$133,4,0)),0,VLOOKUP(A113,'Données projet'!$A$113:$I$133,4,0))</f>
        <v>51</v>
      </c>
      <c r="CH113" s="16">
        <f>IF(ISNA(VLOOKUP(A113,'Données projet'!$A$113:$I$133,5,0)),0%,VLOOKUP(A113,'Données projet'!$A$113:$I$133,5,0)*VLOOKUP('Données projet'!$B$12,Paramètres!$A$1:$I$89,7,0))</f>
        <v>0.34400000000000003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71.361758762850911</v>
      </c>
      <c r="CL113" s="21">
        <f>EXP(-LN(2)/25)*CL112+(1-EXP(-LN(2)/25))/(LN(2)/25)*Calculateur!CG113*Calculateur!CI113*VLOOKUP('Données projet'!$B$12,Paramètres!$A$1:$I$89,3,0)*0.475*44/12</f>
        <v>0</v>
      </c>
      <c r="CM113" s="21">
        <f>EXP(-LN(2)/2)*CM112+(1-EXP(-LN(2)/2))/(LN(2)/2)*CG113*CJ113*VLOOKUP('Données projet'!$B$12,Paramètres!$A$1:$I$89,3,0)*0.475*44/12</f>
        <v>0</v>
      </c>
      <c r="CN113" s="22">
        <f t="shared" si="66"/>
        <v>71.361758762850911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>
        <f>VLOOKUP(A113,'Données projet'!$A$139:$I$159,2,0)</f>
        <v>358</v>
      </c>
      <c r="CR113" s="12">
        <f>VLOOKUP(A113,'Données projet'!$A$139:$I$159,9,0)</f>
        <v>5.2</v>
      </c>
      <c r="CS113" s="12">
        <f t="array" ref="CS113">INDEX(CR:CR,MIN(IF(ISNUMBER(CR113:CR309),ROW(CR113:CR309),"")))</f>
        <v>5.2</v>
      </c>
      <c r="CT113" s="12">
        <f>IF('Données projet'!$A$140&gt;35,CT112+CS113-DB112,IF(A113&lt;'Données projet'!$A$140,$CQ$205^A113,IF(A113='Données projet'!$A$140,'Données projet'!$B$140,CT112+CS113-DB112)))</f>
        <v>358.00000000000006</v>
      </c>
      <c r="CU113" s="17">
        <f>CT113*VLOOKUP('Données projet'!$B$13,Paramètres!$A$1:$I$89,3,0)*VLOOKUP('Données projet'!$B$13,Paramètres!$A$1:$I$89,5,0)</f>
        <v>363.01200000000006</v>
      </c>
      <c r="CV113" s="13">
        <f t="shared" si="95"/>
        <v>84.236098596059009</v>
      </c>
      <c r="CW113" s="20">
        <f t="shared" si="67"/>
        <v>778.95710505480292</v>
      </c>
      <c r="CX113" s="59">
        <f t="shared" si="68"/>
        <v>1072.2904383881362</v>
      </c>
      <c r="CY113" s="59">
        <f ca="1">AVERAGE(OFFSET($CX$3,0,0,'Données projet'!$E$13+1,1))-AVERAGE(OFFSET($H$3,0,0,'Données projet'!$E$13+1,1))</f>
        <v>407.76560346703042</v>
      </c>
      <c r="CZ113" s="59">
        <f t="shared" si="96"/>
        <v>319.35531375725202</v>
      </c>
      <c r="DA113" s="15">
        <f>IF(ISNA(VLOOKUP(A113,'Données projet'!$A$139:$I$159,3,0)),0,VLOOKUP(A113,'Données projet'!$A$139:$I$159,3,0))</f>
        <v>19</v>
      </c>
      <c r="DB113" s="15">
        <f>IF(ISNA(VLOOKUP(A113,'Données projet'!$A$139:$I$159,4,0)),0,VLOOKUP(A113,'Données projet'!$A$139:$I$159,4,0))</f>
        <v>51</v>
      </c>
      <c r="DC113" s="16">
        <f>IF(ISNA(VLOOKUP(A113,'Données projet'!$A$139:$I$159,5,0)),0%,VLOOKUP(A113,'Données projet'!$A$139:$I$159,5,0)*VLOOKUP('Données projet'!$B$13,Paramètres!$A$1:$I$89,7,0))</f>
        <v>0.34400000000000003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>
        <f>EXP(-LN(2)/35)*DF112+(1-EXP(-LN(2)/35))/(LN(2)/35)*DB113*DC113*VLOOKUP('Données projet'!$B$13,Paramètres!$A$1:$I$89,3,0)*0.475*44/12</f>
        <v>69.231557008735933</v>
      </c>
      <c r="DG113" s="21">
        <f>EXP(-LN(2)/25)*DG112+(1-EXP(-LN(2)/25))/(LN(2)/25)*Calculateur!DB113*Calculateur!DD113*VLOOKUP('Données projet'!$B$13,Paramètres!$A$1:$I$89,3,0)*0.475*44/12</f>
        <v>0</v>
      </c>
      <c r="DH113" s="21">
        <f>EXP(-LN(2)/2)*DH112+(1-EXP(-LN(2)/2))/(LN(2)/2)*DB113*DE113*VLOOKUP('Données projet'!$B$13,Paramètres!$A$1:$I$89,3,0)*0.475*44/12</f>
        <v>0</v>
      </c>
      <c r="DI113" s="22">
        <f t="shared" si="69"/>
        <v>69.231557008735933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2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98.701200000000171</v>
      </c>
      <c r="D114" s="11">
        <f t="shared" si="86"/>
        <v>26.65234132809799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967.64137165549471</v>
      </c>
      <c r="H114" s="67">
        <f t="shared" si="56"/>
        <v>474.99075114643767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0</v>
      </c>
      <c r="O114" s="13">
        <f>N114*VLOOKUP('Données projet'!$B$9,Paramètres!$A$1:$I$89,3,0)*VLOOKUP('Données projet'!$B$9,Paramètres!$A$1:$I$89,5,0)</f>
        <v>0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101.15586831191774</v>
      </c>
      <c r="T114" s="59">
        <f t="shared" si="88"/>
        <v>346.96347336689064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8.1933209646550225</v>
      </c>
      <c r="AA114" s="21">
        <f>EXP(-LN(2)/25)*AA113+(1-EXP(-LN(2)/25))/(LN(2)/25)*Calculateur!V114*Calculateur!X114*VLOOKUP('Données projet'!$B$9,Paramètres!$A$1:$I$89,3,0)*0.475*44/12</f>
        <v>1.7454851798690487</v>
      </c>
      <c r="AB114" s="21">
        <f>EXP(-LN(2)/2)*AB113+(1-EXP(-LN(2)/2))/(LN(2)/2)*V114*Y114*VLOOKUP('Données projet'!$B$9,Paramètres!$A$1:$I$89,3,0)*0.475*44/12</f>
        <v>0</v>
      </c>
      <c r="AC114" s="22">
        <f t="shared" si="57"/>
        <v>9.9388061445240705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0</v>
      </c>
      <c r="AJ114" s="13">
        <f>AI114*VLOOKUP('Données projet'!$B$10,Paramètres!$A$1:$I$89,3,0)*VLOOKUP('Données projet'!$B$10,Paramètres!$A$1:$I$89,5,0)</f>
        <v>0</v>
      </c>
      <c r="AK114" s="13" t="e">
        <f t="shared" si="89"/>
        <v>#NUM!</v>
      </c>
      <c r="AL114" s="20" t="e">
        <f t="shared" si="58"/>
        <v>#NUM!</v>
      </c>
      <c r="AM114" s="59" t="e">
        <f t="shared" si="59"/>
        <v>#NUM!</v>
      </c>
      <c r="AN114" s="59">
        <f ca="1">AVERAGE(OFFSET($AM$3,0,0,'Données projet'!$E$10+1,1))-AVERAGE(OFFSET($H$3,0,0,'Données projet'!$E$10+1,1))</f>
        <v>101.15586831191774</v>
      </c>
      <c r="AO114" s="59">
        <f t="shared" si="90"/>
        <v>346.96347336689064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8.1933209646550225</v>
      </c>
      <c r="AV114" s="21">
        <f>EXP(-LN(2)/25)*AV113+(1-EXP(-LN(2)/25))/(LN(2)/25)*Calculateur!AQ114*Calculateur!AS114*VLOOKUP('Données projet'!$B$10,Paramètres!$A$1:$I$89,3,0)*0.475*44/12</f>
        <v>1.7454851798690487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9.9388061445240705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4.5</v>
      </c>
      <c r="BD114" s="12">
        <f>IF('Données projet'!$A$88&gt;35,BD113+BC114-BL113,IF(A114&lt;'Données projet'!$A$88,$BA$205^A114,IF(A114='Données projet'!$A$88,'Données projet'!$B$88,BD113+BC114-BL113)))</f>
        <v>311.50000000000006</v>
      </c>
      <c r="BE114" s="13">
        <f>BD114*VLOOKUP('Données projet'!$B$11,Paramètres!$A$1:$I$89,3,0)*VLOOKUP('Données projet'!$B$11,Paramètres!$A$1:$I$89,5,0)</f>
        <v>281.84520000000003</v>
      </c>
      <c r="BF114" s="13">
        <f t="shared" si="91"/>
        <v>67.356803491560484</v>
      </c>
      <c r="BG114" s="20">
        <f t="shared" si="61"/>
        <v>608.19348941446788</v>
      </c>
      <c r="BH114" s="59">
        <f t="shared" si="62"/>
        <v>901.52682274780113</v>
      </c>
      <c r="BI114" s="59">
        <f ca="1">AVERAGE(OFFSET($BH$3,0,0,'Données projet'!$E$11+1,1))-AVERAGE(OFFSET($H$3,0,0,'Données projet'!$E$11+1,1))</f>
        <v>352.62747127358324</v>
      </c>
      <c r="BJ114" s="59">
        <f t="shared" si="92"/>
        <v>283.16932763435011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60.564464113334452</v>
      </c>
      <c r="BQ114" s="21">
        <f>EXP(-LN(2)/25)*BQ113+(1-EXP(-LN(2)/25))/(LN(2)/25)*Calculateur!BL114*Calculateur!BN114*VLOOKUP('Données projet'!$B$11,Paramètres!$A$1:$I$89,3,0)*0.475*44/12</f>
        <v>0</v>
      </c>
      <c r="BR114" s="21">
        <f>EXP(-LN(2)/2)*BR113+(1-EXP(-LN(2)/2))/(LN(2)/2)*BL114*BO114*VLOOKUP('Données projet'!$B$11,Paramètres!$A$1:$I$89,3,0)*0.475*44/12</f>
        <v>0</v>
      </c>
      <c r="BS114" s="22">
        <f t="shared" si="63"/>
        <v>60.564464113334452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4.5</v>
      </c>
      <c r="BY114" s="12">
        <f>IF('Données projet'!$A$114&gt;35,BY113+BX114-CG113,IF(A114&lt;'Données projet'!$A$114,$BV$205^A114,IF(A114='Données projet'!$A$114,'Données projet'!$B$114,BY113+BX114-CG113)))</f>
        <v>311.50000000000006</v>
      </c>
      <c r="BZ114" s="13">
        <f>BY114*VLOOKUP('Données projet'!$B$12,Paramètres!$A$1:$I$89,3,0)*VLOOKUP('Données projet'!$B$12,Paramètres!$A$1:$I$89,5,0)</f>
        <v>325.57980000000009</v>
      </c>
      <c r="CA114" s="13">
        <f t="shared" si="93"/>
        <v>76.513168944215934</v>
      </c>
      <c r="CB114" s="20">
        <f t="shared" si="64"/>
        <v>700.31192091117612</v>
      </c>
      <c r="CC114" s="59">
        <f t="shared" si="65"/>
        <v>993.64525424450949</v>
      </c>
      <c r="CD114" s="59">
        <f ca="1">AVERAGE(OFFSET($CC$3,0,0,'Données projet'!$E$12+1,1))-AVERAGE(OFFSET($H$3,0,0,'Données projet'!$E$12+1,1))</f>
        <v>423.49657671419374</v>
      </c>
      <c r="CE114" s="59">
        <f t="shared" si="94"/>
        <v>329.6783569381081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69.96239819988638</v>
      </c>
      <c r="CL114" s="21">
        <f>EXP(-LN(2)/25)*CL113+(1-EXP(-LN(2)/25))/(LN(2)/25)*Calculateur!CG114*Calculateur!CI114*VLOOKUP('Données projet'!$B$12,Paramètres!$A$1:$I$89,3,0)*0.475*44/12</f>
        <v>0</v>
      </c>
      <c r="CM114" s="21">
        <f>EXP(-LN(2)/2)*CM113+(1-EXP(-LN(2)/2))/(LN(2)/2)*CG114*CJ114*VLOOKUP('Données projet'!$B$12,Paramètres!$A$1:$I$89,3,0)*0.475*44/12</f>
        <v>0</v>
      </c>
      <c r="CN114" s="22">
        <f t="shared" si="66"/>
        <v>69.96239819988638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4.5</v>
      </c>
      <c r="CT114" s="12">
        <f>IF('Données projet'!$A$140&gt;35,CT113+CS114-DB113,IF(A114&lt;'Données projet'!$A$140,$CQ$205^A114,IF(A114='Données projet'!$A$140,'Données projet'!$B$140,CT113+CS114-DB113)))</f>
        <v>311.50000000000006</v>
      </c>
      <c r="CU114" s="17">
        <f>CT114*VLOOKUP('Données projet'!$B$13,Paramètres!$A$1:$I$89,3,0)*VLOOKUP('Données projet'!$B$13,Paramètres!$A$1:$I$89,5,0)</f>
        <v>315.8610000000001</v>
      </c>
      <c r="CV114" s="13">
        <f t="shared" si="95"/>
        <v>74.491502782151485</v>
      </c>
      <c r="CW114" s="20">
        <f t="shared" si="67"/>
        <v>679.86394234558054</v>
      </c>
      <c r="CX114" s="59">
        <f t="shared" si="68"/>
        <v>973.19727567891391</v>
      </c>
      <c r="CY114" s="59">
        <f ca="1">AVERAGE(OFFSET($CX$3,0,0,'Données projet'!$E$13+1,1))-AVERAGE(OFFSET($H$3,0,0,'Données projet'!$E$13+1,1))</f>
        <v>407.76560346703042</v>
      </c>
      <c r="CZ114" s="59">
        <f t="shared" si="96"/>
        <v>319.35531375725202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67.873968402874823</v>
      </c>
      <c r="DG114" s="21">
        <f>EXP(-LN(2)/25)*DG113+(1-EXP(-LN(2)/25))/(LN(2)/25)*Calculateur!DB114*Calculateur!DD114*VLOOKUP('Données projet'!$B$13,Paramètres!$A$1:$I$89,3,0)*0.475*44/12</f>
        <v>0</v>
      </c>
      <c r="DH114" s="21">
        <f>EXP(-LN(2)/2)*DH113+(1-EXP(-LN(2)/2))/(LN(2)/2)*DB114*DE114*VLOOKUP('Données projet'!$B$13,Paramètres!$A$1:$I$89,3,0)*0.475*44/12</f>
        <v>0</v>
      </c>
      <c r="DI114" s="22">
        <f t="shared" si="69"/>
        <v>67.873968402874823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2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99.590400000000173</v>
      </c>
      <c r="D115" s="11">
        <f t="shared" si="86"/>
        <v>26.864392698869374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976.14225942987014</v>
      </c>
      <c r="H115" s="67">
        <f t="shared" si="56"/>
        <v>476.90876395053112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0</v>
      </c>
      <c r="O115" s="13">
        <f>N115*VLOOKUP('Données projet'!$B$9,Paramètres!$A$1:$I$89,3,0)*VLOOKUP('Données projet'!$B$9,Paramètres!$A$1:$I$89,5,0)</f>
        <v>0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101.15586831191774</v>
      </c>
      <c r="T115" s="59">
        <f t="shared" si="88"/>
        <v>346.96347336689064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8.0326549379704701</v>
      </c>
      <c r="AA115" s="21">
        <f>EXP(-LN(2)/25)*AA114+(1-EXP(-LN(2)/25))/(LN(2)/25)*Calculateur!V115*Calculateur!X115*VLOOKUP('Données projet'!$B$9,Paramètres!$A$1:$I$89,3,0)*0.475*44/12</f>
        <v>1.6977547958344534</v>
      </c>
      <c r="AB115" s="21">
        <f>EXP(-LN(2)/2)*AB114+(1-EXP(-LN(2)/2))/(LN(2)/2)*V115*Y115*VLOOKUP('Données projet'!$B$9,Paramètres!$A$1:$I$89,3,0)*0.475*44/12</f>
        <v>0</v>
      </c>
      <c r="AC115" s="22">
        <f t="shared" si="57"/>
        <v>9.7304097338049242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0</v>
      </c>
      <c r="AJ115" s="13">
        <f>AI115*VLOOKUP('Données projet'!$B$10,Paramètres!$A$1:$I$89,3,0)*VLOOKUP('Données projet'!$B$10,Paramètres!$A$1:$I$89,5,0)</f>
        <v>0</v>
      </c>
      <c r="AK115" s="13" t="e">
        <f t="shared" si="89"/>
        <v>#NUM!</v>
      </c>
      <c r="AL115" s="20" t="e">
        <f t="shared" si="58"/>
        <v>#NUM!</v>
      </c>
      <c r="AM115" s="59" t="e">
        <f t="shared" si="59"/>
        <v>#NUM!</v>
      </c>
      <c r="AN115" s="59">
        <f ca="1">AVERAGE(OFFSET($AM$3,0,0,'Données projet'!$E$10+1,1))-AVERAGE(OFFSET($H$3,0,0,'Données projet'!$E$10+1,1))</f>
        <v>101.15586831191774</v>
      </c>
      <c r="AO115" s="59">
        <f t="shared" si="90"/>
        <v>346.96347336689064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8.0326549379704701</v>
      </c>
      <c r="AV115" s="21">
        <f>EXP(-LN(2)/25)*AV114+(1-EXP(-LN(2)/25))/(LN(2)/25)*Calculateur!AQ115*Calculateur!AS115*VLOOKUP('Données projet'!$B$10,Paramètres!$A$1:$I$89,3,0)*0.475*44/12</f>
        <v>1.6977547958344534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9.7304097338049242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4.5</v>
      </c>
      <c r="BD115" s="12">
        <f>IF('Données projet'!$A$88&gt;35,BD114+BC115-BL114,IF(A115&lt;'Données projet'!$A$88,$BA$205^A115,IF(A115='Données projet'!$A$88,'Données projet'!$B$88,BD114+BC115-BL114)))</f>
        <v>316.00000000000006</v>
      </c>
      <c r="BE115" s="13">
        <f>BD115*VLOOKUP('Données projet'!$B$11,Paramètres!$A$1:$I$89,3,0)*VLOOKUP('Données projet'!$B$11,Paramètres!$A$1:$I$89,5,0)</f>
        <v>285.91680000000008</v>
      </c>
      <c r="BF115" s="13">
        <f t="shared" si="91"/>
        <v>68.215872977287546</v>
      </c>
      <c r="BG115" s="20">
        <f t="shared" si="61"/>
        <v>616.78107210210919</v>
      </c>
      <c r="BH115" s="59">
        <f t="shared" si="62"/>
        <v>910.11440543544245</v>
      </c>
      <c r="BI115" s="59">
        <f ca="1">AVERAGE(OFFSET($BH$3,0,0,'Données projet'!$E$11+1,1))-AVERAGE(OFFSET($H$3,0,0,'Données projet'!$E$11+1,1))</f>
        <v>352.62747127358324</v>
      </c>
      <c r="BJ115" s="59">
        <f t="shared" si="92"/>
        <v>283.16932763435011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59.376831912747484</v>
      </c>
      <c r="BQ115" s="21">
        <f>EXP(-LN(2)/25)*BQ114+(1-EXP(-LN(2)/25))/(LN(2)/25)*Calculateur!BL115*Calculateur!BN115*VLOOKUP('Données projet'!$B$11,Paramètres!$A$1:$I$89,3,0)*0.475*44/12</f>
        <v>0</v>
      </c>
      <c r="BR115" s="21">
        <f>EXP(-LN(2)/2)*BR114+(1-EXP(-LN(2)/2))/(LN(2)/2)*BL115*BO115*VLOOKUP('Données projet'!$B$11,Paramètres!$A$1:$I$89,3,0)*0.475*44/12</f>
        <v>0</v>
      </c>
      <c r="BS115" s="22">
        <f t="shared" si="63"/>
        <v>59.376831912747484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4.5</v>
      </c>
      <c r="BY115" s="12">
        <f>IF('Données projet'!$A$114&gt;35,BY114+BX115-CG114,IF(A115&lt;'Données projet'!$A$114,$BV$205^A115,IF(A115='Données projet'!$A$114,'Données projet'!$B$114,BY114+BX115-CG114)))</f>
        <v>316.00000000000006</v>
      </c>
      <c r="BZ115" s="13">
        <f>BY115*VLOOKUP('Données projet'!$B$12,Paramètres!$A$1:$I$89,3,0)*VLOOKUP('Données projet'!$B$12,Paramètres!$A$1:$I$89,5,0)</f>
        <v>330.28320000000008</v>
      </c>
      <c r="CA115" s="13">
        <f t="shared" si="93"/>
        <v>77.489018825579222</v>
      </c>
      <c r="CB115" s="20">
        <f t="shared" si="64"/>
        <v>710.20328112121717</v>
      </c>
      <c r="CC115" s="59">
        <f t="shared" si="65"/>
        <v>1003.5366144545505</v>
      </c>
      <c r="CD115" s="59">
        <f ca="1">AVERAGE(OFFSET($CC$3,0,0,'Données projet'!$E$12+1,1))-AVERAGE(OFFSET($H$3,0,0,'Données projet'!$E$12+1,1))</f>
        <v>423.49657671419374</v>
      </c>
      <c r="CE115" s="59">
        <f t="shared" si="94"/>
        <v>329.6783569381081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68.590478244035921</v>
      </c>
      <c r="CL115" s="21">
        <f>EXP(-LN(2)/25)*CL114+(1-EXP(-LN(2)/25))/(LN(2)/25)*Calculateur!CG115*Calculateur!CI115*VLOOKUP('Données projet'!$B$12,Paramètres!$A$1:$I$89,3,0)*0.475*44/12</f>
        <v>0</v>
      </c>
      <c r="CM115" s="21">
        <f>EXP(-LN(2)/2)*CM114+(1-EXP(-LN(2)/2))/(LN(2)/2)*CG115*CJ115*VLOOKUP('Données projet'!$B$12,Paramètres!$A$1:$I$89,3,0)*0.475*44/12</f>
        <v>0</v>
      </c>
      <c r="CN115" s="22">
        <f t="shared" si="66"/>
        <v>68.590478244035921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4.5</v>
      </c>
      <c r="CT115" s="12">
        <f>IF('Données projet'!$A$140&gt;35,CT114+CS115-DB114,IF(A115&lt;'Données projet'!$A$140,$CQ$205^A115,IF(A115='Données projet'!$A$140,'Données projet'!$B$140,CT114+CS115-DB114)))</f>
        <v>316.00000000000006</v>
      </c>
      <c r="CU115" s="17">
        <f>CT115*VLOOKUP('Données projet'!$B$13,Paramètres!$A$1:$I$89,3,0)*VLOOKUP('Données projet'!$B$13,Paramètres!$A$1:$I$89,5,0)</f>
        <v>320.42400000000009</v>
      </c>
      <c r="CV115" s="13">
        <f t="shared" si="95"/>
        <v>75.441568308852311</v>
      </c>
      <c r="CW115" s="20">
        <f t="shared" si="67"/>
        <v>689.46586480458461</v>
      </c>
      <c r="CX115" s="59">
        <f t="shared" si="68"/>
        <v>982.79919813791798</v>
      </c>
      <c r="CY115" s="59">
        <f ca="1">AVERAGE(OFFSET($CX$3,0,0,'Données projet'!$E$13+1,1))-AVERAGE(OFFSET($H$3,0,0,'Données projet'!$E$13+1,1))</f>
        <v>407.76560346703042</v>
      </c>
      <c r="CZ115" s="59">
        <f t="shared" si="96"/>
        <v>319.35531375725202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66.543001281527353</v>
      </c>
      <c r="DG115" s="21">
        <f>EXP(-LN(2)/25)*DG114+(1-EXP(-LN(2)/25))/(LN(2)/25)*Calculateur!DB115*Calculateur!DD115*VLOOKUP('Données projet'!$B$13,Paramètres!$A$1:$I$89,3,0)*0.475*44/12</f>
        <v>0</v>
      </c>
      <c r="DH115" s="21">
        <f>EXP(-LN(2)/2)*DH114+(1-EXP(-LN(2)/2))/(LN(2)/2)*DB115*DE115*VLOOKUP('Données projet'!$B$13,Paramètres!$A$1:$I$89,3,0)*0.475*44/12</f>
        <v>0</v>
      </c>
      <c r="DI115" s="22">
        <f t="shared" si="69"/>
        <v>66.543001281527353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2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100.47960000000018</v>
      </c>
      <c r="D116" s="11">
        <f t="shared" si="86"/>
        <v>27.076223799065254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984.64144686997872</v>
      </c>
      <c r="H116" s="67">
        <f t="shared" si="56"/>
        <v>478.82639311670562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0</v>
      </c>
      <c r="O116" s="13">
        <f>N116*VLOOKUP('Données projet'!$B$9,Paramètres!$A$1:$I$89,3,0)*VLOOKUP('Données projet'!$B$9,Paramètres!$A$1:$I$89,5,0)</f>
        <v>0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101.15586831191774</v>
      </c>
      <c r="T116" s="59">
        <f t="shared" si="88"/>
        <v>346.96347336689064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7.8751394740726024</v>
      </c>
      <c r="AA116" s="21">
        <f>EXP(-LN(2)/25)*AA115+(1-EXP(-LN(2)/25))/(LN(2)/25)*Calculateur!V116*Calculateur!X116*VLOOKUP('Données projet'!$B$9,Paramètres!$A$1:$I$89,3,0)*0.475*44/12</f>
        <v>1.6513296016613159</v>
      </c>
      <c r="AB116" s="21">
        <f>EXP(-LN(2)/2)*AB115+(1-EXP(-LN(2)/2))/(LN(2)/2)*V116*Y116*VLOOKUP('Données projet'!$B$9,Paramètres!$A$1:$I$89,3,0)*0.475*44/12</f>
        <v>0</v>
      </c>
      <c r="AC116" s="22">
        <f t="shared" si="57"/>
        <v>9.5264690757339174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0</v>
      </c>
      <c r="AJ116" s="13">
        <f>AI116*VLOOKUP('Données projet'!$B$10,Paramètres!$A$1:$I$89,3,0)*VLOOKUP('Données projet'!$B$10,Paramètres!$A$1:$I$89,5,0)</f>
        <v>0</v>
      </c>
      <c r="AK116" s="13" t="e">
        <f t="shared" si="89"/>
        <v>#NUM!</v>
      </c>
      <c r="AL116" s="20" t="e">
        <f t="shared" si="58"/>
        <v>#NUM!</v>
      </c>
      <c r="AM116" s="59" t="e">
        <f t="shared" si="59"/>
        <v>#NUM!</v>
      </c>
      <c r="AN116" s="59">
        <f ca="1">AVERAGE(OFFSET($AM$3,0,0,'Données projet'!$E$10+1,1))-AVERAGE(OFFSET($H$3,0,0,'Données projet'!$E$10+1,1))</f>
        <v>101.15586831191774</v>
      </c>
      <c r="AO116" s="59">
        <f t="shared" si="90"/>
        <v>346.96347336689064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7.8751394740726024</v>
      </c>
      <c r="AV116" s="21">
        <f>EXP(-LN(2)/25)*AV115+(1-EXP(-LN(2)/25))/(LN(2)/25)*Calculateur!AQ116*Calculateur!AS116*VLOOKUP('Données projet'!$B$10,Paramètres!$A$1:$I$89,3,0)*0.475*44/12</f>
        <v>1.6513296016613159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9.5264690757339174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4.5</v>
      </c>
      <c r="BD116" s="12">
        <f>IF('Données projet'!$A$88&gt;35,BD115+BC116-BL115,IF(A116&lt;'Données projet'!$A$88,$BA$205^A116,IF(A116='Données projet'!$A$88,'Données projet'!$B$88,BD115+BC116-BL115)))</f>
        <v>320.50000000000006</v>
      </c>
      <c r="BE116" s="13">
        <f>BD116*VLOOKUP('Données projet'!$B$11,Paramètres!$A$1:$I$89,3,0)*VLOOKUP('Données projet'!$B$11,Paramètres!$A$1:$I$89,5,0)</f>
        <v>289.98840000000001</v>
      </c>
      <c r="BF116" s="13">
        <f t="shared" si="91"/>
        <v>69.073519602481582</v>
      </c>
      <c r="BG116" s="20">
        <f t="shared" si="61"/>
        <v>625.36617664098867</v>
      </c>
      <c r="BH116" s="59">
        <f t="shared" si="62"/>
        <v>918.69950997432193</v>
      </c>
      <c r="BI116" s="59">
        <f ca="1">AVERAGE(OFFSET($BH$3,0,0,'Données projet'!$E$11+1,1))-AVERAGE(OFFSET($H$3,0,0,'Données projet'!$E$11+1,1))</f>
        <v>352.62747127358324</v>
      </c>
      <c r="BJ116" s="59">
        <f t="shared" si="92"/>
        <v>283.16932763435011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58.212488455229909</v>
      </c>
      <c r="BQ116" s="21">
        <f>EXP(-LN(2)/25)*BQ115+(1-EXP(-LN(2)/25))/(LN(2)/25)*Calculateur!BL116*Calculateur!BN116*VLOOKUP('Données projet'!$B$11,Paramètres!$A$1:$I$89,3,0)*0.475*44/12</f>
        <v>0</v>
      </c>
      <c r="BR116" s="21">
        <f>EXP(-LN(2)/2)*BR115+(1-EXP(-LN(2)/2))/(LN(2)/2)*BL116*BO116*VLOOKUP('Données projet'!$B$11,Paramètres!$A$1:$I$89,3,0)*0.475*44/12</f>
        <v>0</v>
      </c>
      <c r="BS116" s="22">
        <f t="shared" si="63"/>
        <v>58.212488455229909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4.5</v>
      </c>
      <c r="BY116" s="12">
        <f>IF('Données projet'!$A$114&gt;35,BY115+BX116-CG115,IF(A116&lt;'Données projet'!$A$114,$BV$205^A116,IF(A116='Données projet'!$A$114,'Données projet'!$B$114,BY115+BX116-CG115)))</f>
        <v>320.50000000000006</v>
      </c>
      <c r="BZ116" s="13">
        <f>BY116*VLOOKUP('Données projet'!$B$12,Paramètres!$A$1:$I$89,3,0)*VLOOKUP('Données projet'!$B$12,Paramètres!$A$1:$I$89,5,0)</f>
        <v>334.98660000000007</v>
      </c>
      <c r="CA116" s="13">
        <f t="shared" si="93"/>
        <v>78.463252425250118</v>
      </c>
      <c r="CB116" s="20">
        <f t="shared" si="64"/>
        <v>720.09182630731073</v>
      </c>
      <c r="CC116" s="59">
        <f t="shared" si="65"/>
        <v>1013.4251596406441</v>
      </c>
      <c r="CD116" s="59">
        <f ca="1">AVERAGE(OFFSET($CC$3,0,0,'Données projet'!$E$12+1,1))-AVERAGE(OFFSET($H$3,0,0,'Données projet'!$E$12+1,1))</f>
        <v>423.49657671419374</v>
      </c>
      <c r="CE116" s="59">
        <f t="shared" si="94"/>
        <v>329.6783569381081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67.245460801731141</v>
      </c>
      <c r="CL116" s="21">
        <f>EXP(-LN(2)/25)*CL115+(1-EXP(-LN(2)/25))/(LN(2)/25)*Calculateur!CG116*Calculateur!CI116*VLOOKUP('Données projet'!$B$12,Paramètres!$A$1:$I$89,3,0)*0.475*44/12</f>
        <v>0</v>
      </c>
      <c r="CM116" s="21">
        <f>EXP(-LN(2)/2)*CM115+(1-EXP(-LN(2)/2))/(LN(2)/2)*CG116*CJ116*VLOOKUP('Données projet'!$B$12,Paramètres!$A$1:$I$89,3,0)*0.475*44/12</f>
        <v>0</v>
      </c>
      <c r="CN116" s="22">
        <f t="shared" si="66"/>
        <v>67.245460801731141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4.5</v>
      </c>
      <c r="CT116" s="12">
        <f>IF('Données projet'!$A$140&gt;35,CT115+CS116-DB115,IF(A116&lt;'Données projet'!$A$140,$CQ$205^A116,IF(A116='Données projet'!$A$140,'Données projet'!$B$140,CT115+CS116-DB115)))</f>
        <v>320.50000000000006</v>
      </c>
      <c r="CU116" s="17">
        <f>CT116*VLOOKUP('Données projet'!$B$13,Paramètres!$A$1:$I$89,3,0)*VLOOKUP('Données projet'!$B$13,Paramètres!$A$1:$I$89,5,0)</f>
        <v>324.98700000000008</v>
      </c>
      <c r="CV116" s="13">
        <f t="shared" si="95"/>
        <v>76.390060259999458</v>
      </c>
      <c r="CW116" s="20">
        <f t="shared" si="67"/>
        <v>699.06504661949918</v>
      </c>
      <c r="CX116" s="59">
        <f t="shared" si="68"/>
        <v>992.39837995283256</v>
      </c>
      <c r="CY116" s="59">
        <f ca="1">AVERAGE(OFFSET($CX$3,0,0,'Données projet'!$E$13+1,1))-AVERAGE(OFFSET($H$3,0,0,'Données projet'!$E$13+1,1))</f>
        <v>407.76560346703042</v>
      </c>
      <c r="CZ116" s="59">
        <f t="shared" si="96"/>
        <v>319.35531375725202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projet'!$B$13,Paramètres!$A$1:$I$89,3,0)*0.475*44/12</f>
        <v>65.238133613619723</v>
      </c>
      <c r="DG116" s="21">
        <f>EXP(-LN(2)/25)*DG115+(1-EXP(-LN(2)/25))/(LN(2)/25)*Calculateur!DB116*Calculateur!DD116*VLOOKUP('Données projet'!$B$13,Paramètres!$A$1:$I$89,3,0)*0.475*44/12</f>
        <v>0</v>
      </c>
      <c r="DH116" s="21">
        <f>EXP(-LN(2)/2)*DH115+(1-EXP(-LN(2)/2))/(LN(2)/2)*DB116*DE116*VLOOKUP('Données projet'!$B$13,Paramètres!$A$1:$I$89,3,0)*0.475*44/12</f>
        <v>0</v>
      </c>
      <c r="DI116" s="22">
        <f t="shared" si="69"/>
        <v>65.238133613619723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2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101.36880000000018</v>
      </c>
      <c r="D117" s="11">
        <f t="shared" si="86"/>
        <v>27.287836803817498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993.13895076631172</v>
      </c>
      <c r="H117" s="67">
        <f t="shared" si="56"/>
        <v>480.74364243331581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0</v>
      </c>
      <c r="O117" s="13">
        <f>N117*VLOOKUP('Données projet'!$B$9,Paramètres!$A$1:$I$89,3,0)*VLOOKUP('Données projet'!$B$9,Paramètres!$A$1:$I$89,5,0)</f>
        <v>0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101.15586831191774</v>
      </c>
      <c r="T117" s="59">
        <f t="shared" si="88"/>
        <v>346.96347336689064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7.7207127923468253</v>
      </c>
      <c r="AA117" s="21">
        <f>EXP(-LN(2)/25)*AA116+(1-EXP(-LN(2)/25))/(LN(2)/25)*Calculateur!V117*Calculateur!X117*VLOOKUP('Données projet'!$B$9,Paramètres!$A$1:$I$89,3,0)*0.475*44/12</f>
        <v>1.6061739068642376</v>
      </c>
      <c r="AB117" s="21">
        <f>EXP(-LN(2)/2)*AB116+(1-EXP(-LN(2)/2))/(LN(2)/2)*V117*Y117*VLOOKUP('Données projet'!$B$9,Paramètres!$A$1:$I$89,3,0)*0.475*44/12</f>
        <v>0</v>
      </c>
      <c r="AC117" s="22">
        <f t="shared" si="57"/>
        <v>9.3268866992110624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0</v>
      </c>
      <c r="AJ117" s="13">
        <f>AI117*VLOOKUP('Données projet'!$B$10,Paramètres!$A$1:$I$89,3,0)*VLOOKUP('Données projet'!$B$10,Paramètres!$A$1:$I$89,5,0)</f>
        <v>0</v>
      </c>
      <c r="AK117" s="13" t="e">
        <f t="shared" si="89"/>
        <v>#NUM!</v>
      </c>
      <c r="AL117" s="20" t="e">
        <f t="shared" si="58"/>
        <v>#NUM!</v>
      </c>
      <c r="AM117" s="59" t="e">
        <f t="shared" si="59"/>
        <v>#NUM!</v>
      </c>
      <c r="AN117" s="59">
        <f ca="1">AVERAGE(OFFSET($AM$3,0,0,'Données projet'!$E$10+1,1))-AVERAGE(OFFSET($H$3,0,0,'Données projet'!$E$10+1,1))</f>
        <v>101.15586831191774</v>
      </c>
      <c r="AO117" s="59">
        <f t="shared" si="90"/>
        <v>346.96347336689064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7.7207127923468253</v>
      </c>
      <c r="AV117" s="21">
        <f>EXP(-LN(2)/25)*AV116+(1-EXP(-LN(2)/25))/(LN(2)/25)*Calculateur!AQ117*Calculateur!AS117*VLOOKUP('Données projet'!$B$10,Paramètres!$A$1:$I$89,3,0)*0.475*44/12</f>
        <v>1.6061739068642376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9.3268866992110624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4.5</v>
      </c>
      <c r="BD117" s="12">
        <f>IF('Données projet'!$A$88&gt;35,BD116+BC117-BL116,IF(A117&lt;'Données projet'!$A$88,$BA$205^A117,IF(A117='Données projet'!$A$88,'Données projet'!$B$88,BD116+BC117-BL116)))</f>
        <v>325.00000000000006</v>
      </c>
      <c r="BE117" s="13">
        <f>BD117*VLOOKUP('Données projet'!$B$11,Paramètres!$A$1:$I$89,3,0)*VLOOKUP('Données projet'!$B$11,Paramètres!$A$1:$I$89,5,0)</f>
        <v>294.06000000000006</v>
      </c>
      <c r="BF117" s="13">
        <f t="shared" si="91"/>
        <v>69.929765653573369</v>
      </c>
      <c r="BG117" s="20">
        <f t="shared" si="61"/>
        <v>633.94884184664033</v>
      </c>
      <c r="BH117" s="59">
        <f t="shared" si="62"/>
        <v>927.28217517997359</v>
      </c>
      <c r="BI117" s="59">
        <f ca="1">AVERAGE(OFFSET($BH$3,0,0,'Données projet'!$E$11+1,1))-AVERAGE(OFFSET($H$3,0,0,'Données projet'!$E$11+1,1))</f>
        <v>352.62747127358324</v>
      </c>
      <c r="BJ117" s="59">
        <f t="shared" si="92"/>
        <v>283.16932763435011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57.070977062734869</v>
      </c>
      <c r="BQ117" s="21">
        <f>EXP(-LN(2)/25)*BQ116+(1-EXP(-LN(2)/25))/(LN(2)/25)*Calculateur!BL117*Calculateur!BN117*VLOOKUP('Données projet'!$B$11,Paramètres!$A$1:$I$89,3,0)*0.475*44/12</f>
        <v>0</v>
      </c>
      <c r="BR117" s="21">
        <f>EXP(-LN(2)/2)*BR116+(1-EXP(-LN(2)/2))/(LN(2)/2)*BL117*BO117*VLOOKUP('Données projet'!$B$11,Paramètres!$A$1:$I$89,3,0)*0.475*44/12</f>
        <v>0</v>
      </c>
      <c r="BS117" s="22">
        <f t="shared" si="63"/>
        <v>57.070977062734869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4.5</v>
      </c>
      <c r="BY117" s="12">
        <f>IF('Données projet'!$A$114&gt;35,BY116+BX117-CG116,IF(A117&lt;'Données projet'!$A$114,$BV$205^A117,IF(A117='Données projet'!$A$114,'Données projet'!$B$114,BY116+BX117-CG116)))</f>
        <v>325.00000000000006</v>
      </c>
      <c r="BZ117" s="13">
        <f>BY117*VLOOKUP('Données projet'!$B$12,Paramètres!$A$1:$I$89,3,0)*VLOOKUP('Données projet'!$B$12,Paramètres!$A$1:$I$89,5,0)</f>
        <v>339.69000000000011</v>
      </c>
      <c r="CA117" s="13">
        <f t="shared" si="93"/>
        <v>79.435895059237609</v>
      </c>
      <c r="CB117" s="20">
        <f t="shared" si="64"/>
        <v>729.97760056150571</v>
      </c>
      <c r="CC117" s="59">
        <f t="shared" si="65"/>
        <v>1023.3109338948391</v>
      </c>
      <c r="CD117" s="59">
        <f ca="1">AVERAGE(OFFSET($CC$3,0,0,'Données projet'!$E$12+1,1))-AVERAGE(OFFSET($H$3,0,0,'Données projet'!$E$12+1,1))</f>
        <v>423.49657671419374</v>
      </c>
      <c r="CE117" s="59">
        <f t="shared" si="94"/>
        <v>329.6783569381081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65.926818331090317</v>
      </c>
      <c r="CL117" s="21">
        <f>EXP(-LN(2)/25)*CL116+(1-EXP(-LN(2)/25))/(LN(2)/25)*Calculateur!CG117*Calculateur!CI117*VLOOKUP('Données projet'!$B$12,Paramètres!$A$1:$I$89,3,0)*0.475*44/12</f>
        <v>0</v>
      </c>
      <c r="CM117" s="21">
        <f>EXP(-LN(2)/2)*CM116+(1-EXP(-LN(2)/2))/(LN(2)/2)*CG117*CJ117*VLOOKUP('Données projet'!$B$12,Paramètres!$A$1:$I$89,3,0)*0.475*44/12</f>
        <v>0</v>
      </c>
      <c r="CN117" s="22">
        <f t="shared" si="66"/>
        <v>65.926818331090317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4.5</v>
      </c>
      <c r="CT117" s="12">
        <f>IF('Données projet'!$A$140&gt;35,CT116+CS117-DB116,IF(A117&lt;'Données projet'!$A$140,$CQ$205^A117,IF(A117='Données projet'!$A$140,'Données projet'!$B$140,CT116+CS117-DB116)))</f>
        <v>325.00000000000006</v>
      </c>
      <c r="CU117" s="17">
        <f>CT117*VLOOKUP('Données projet'!$B$13,Paramètres!$A$1:$I$89,3,0)*VLOOKUP('Données projet'!$B$13,Paramètres!$A$1:$I$89,5,0)</f>
        <v>329.55000000000013</v>
      </c>
      <c r="CV117" s="13">
        <f t="shared" si="95"/>
        <v>77.337003282690645</v>
      </c>
      <c r="CW117" s="20">
        <f t="shared" si="67"/>
        <v>708.661530717353</v>
      </c>
      <c r="CX117" s="59">
        <f t="shared" si="68"/>
        <v>1001.9948640506864</v>
      </c>
      <c r="CY117" s="59">
        <f ca="1">AVERAGE(OFFSET($CX$3,0,0,'Données projet'!$E$13+1,1))-AVERAGE(OFFSET($H$3,0,0,'Données projet'!$E$13+1,1))</f>
        <v>407.76560346703042</v>
      </c>
      <c r="CZ117" s="59">
        <f t="shared" si="96"/>
        <v>319.35531375725202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>
        <f>EXP(-LN(2)/35)*DF116+(1-EXP(-LN(2)/35))/(LN(2)/35)*DB117*DC117*VLOOKUP('Données projet'!$B$13,Paramètres!$A$1:$I$89,3,0)*0.475*44/12</f>
        <v>63.958853604789077</v>
      </c>
      <c r="DG117" s="21">
        <f>EXP(-LN(2)/25)*DG116+(1-EXP(-LN(2)/25))/(LN(2)/25)*Calculateur!DB117*Calculateur!DD117*VLOOKUP('Données projet'!$B$13,Paramètres!$A$1:$I$89,3,0)*0.475*44/12</f>
        <v>0</v>
      </c>
      <c r="DH117" s="21">
        <f>EXP(-LN(2)/2)*DH116+(1-EXP(-LN(2)/2))/(LN(2)/2)*DB117*DE117*VLOOKUP('Données projet'!$B$13,Paramètres!$A$1:$I$89,3,0)*0.475*44/12</f>
        <v>0</v>
      </c>
      <c r="DI117" s="22">
        <f t="shared" si="69"/>
        <v>63.958853604789077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2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102.25800000000018</v>
      </c>
      <c r="D118" s="11">
        <f t="shared" si="86"/>
        <v>27.499233847895908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1001.6347875977945</v>
      </c>
      <c r="H118" s="67">
        <f t="shared" si="56"/>
        <v>482.66051561841903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0</v>
      </c>
      <c r="O118" s="13">
        <f>N118*VLOOKUP('Données projet'!$B$9,Paramètres!$A$1:$I$89,3,0)*VLOOKUP('Données projet'!$B$9,Paramètres!$A$1:$I$89,5,0)</f>
        <v>0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101.15586831191774</v>
      </c>
      <c r="T118" s="59">
        <f t="shared" si="88"/>
        <v>346.96347336689064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7.5693143236587153</v>
      </c>
      <c r="AA118" s="21">
        <f>EXP(-LN(2)/25)*AA117+(1-EXP(-LN(2)/25))/(LN(2)/25)*Calculateur!V118*Calculateur!X118*VLOOKUP('Données projet'!$B$9,Paramètres!$A$1:$I$89,3,0)*0.475*44/12</f>
        <v>1.5622529969160202</v>
      </c>
      <c r="AB118" s="21">
        <f>EXP(-LN(2)/2)*AB117+(1-EXP(-LN(2)/2))/(LN(2)/2)*V118*Y118*VLOOKUP('Données projet'!$B$9,Paramètres!$A$1:$I$89,3,0)*0.475*44/12</f>
        <v>0</v>
      </c>
      <c r="AC118" s="22">
        <f t="shared" si="57"/>
        <v>9.1315673205747352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0</v>
      </c>
      <c r="AJ118" s="13">
        <f>AI118*VLOOKUP('Données projet'!$B$10,Paramètres!$A$1:$I$89,3,0)*VLOOKUP('Données projet'!$B$10,Paramètres!$A$1:$I$89,5,0)</f>
        <v>0</v>
      </c>
      <c r="AK118" s="13" t="e">
        <f t="shared" si="89"/>
        <v>#NUM!</v>
      </c>
      <c r="AL118" s="20" t="e">
        <f t="shared" si="58"/>
        <v>#NUM!</v>
      </c>
      <c r="AM118" s="59" t="e">
        <f t="shared" si="59"/>
        <v>#NUM!</v>
      </c>
      <c r="AN118" s="59">
        <f ca="1">AVERAGE(OFFSET($AM$3,0,0,'Données projet'!$E$10+1,1))-AVERAGE(OFFSET($H$3,0,0,'Données projet'!$E$10+1,1))</f>
        <v>101.15586831191774</v>
      </c>
      <c r="AO118" s="59">
        <f t="shared" si="90"/>
        <v>346.96347336689064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7.5693143236587153</v>
      </c>
      <c r="AV118" s="21">
        <f>EXP(-LN(2)/25)*AV117+(1-EXP(-LN(2)/25))/(LN(2)/25)*Calculateur!AQ118*Calculateur!AS118*VLOOKUP('Données projet'!$B$10,Paramètres!$A$1:$I$89,3,0)*0.475*44/12</f>
        <v>1.5622529969160202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9.1315673205747352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4.5</v>
      </c>
      <c r="BD118" s="12">
        <f>IF('Données projet'!$A$88&gt;35,BD117+BC118-BL117,IF(A118&lt;'Données projet'!$A$88,$BA$205^A118,IF(A118='Données projet'!$A$88,'Données projet'!$B$88,BD117+BC118-BL117)))</f>
        <v>329.50000000000006</v>
      </c>
      <c r="BE118" s="13">
        <f>BD118*VLOOKUP('Données projet'!$B$11,Paramètres!$A$1:$I$89,3,0)*VLOOKUP('Données projet'!$B$11,Paramètres!$A$1:$I$89,5,0)</f>
        <v>298.13160000000005</v>
      </c>
      <c r="BF118" s="13">
        <f t="shared" si="91"/>
        <v>70.784632764376099</v>
      </c>
      <c r="BG118" s="20">
        <f t="shared" si="61"/>
        <v>642.52910539795516</v>
      </c>
      <c r="BH118" s="59">
        <f t="shared" si="62"/>
        <v>935.86243873128842</v>
      </c>
      <c r="BI118" s="59">
        <f ca="1">AVERAGE(OFFSET($BH$3,0,0,'Données projet'!$E$11+1,1))-AVERAGE(OFFSET($H$3,0,0,'Données projet'!$E$11+1,1))</f>
        <v>352.62747127358324</v>
      </c>
      <c r="BJ118" s="59">
        <f t="shared" si="92"/>
        <v>283.16932763435011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55.951850012393457</v>
      </c>
      <c r="BQ118" s="21">
        <f>EXP(-LN(2)/25)*BQ117+(1-EXP(-LN(2)/25))/(LN(2)/25)*Calculateur!BL118*Calculateur!BN118*VLOOKUP('Données projet'!$B$11,Paramètres!$A$1:$I$89,3,0)*0.475*44/12</f>
        <v>0</v>
      </c>
      <c r="BR118" s="21">
        <f>EXP(-LN(2)/2)*BR117+(1-EXP(-LN(2)/2))/(LN(2)/2)*BL118*BO118*VLOOKUP('Données projet'!$B$11,Paramètres!$A$1:$I$89,3,0)*0.475*44/12</f>
        <v>0</v>
      </c>
      <c r="BS118" s="22">
        <f t="shared" si="63"/>
        <v>55.951850012393457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4.5</v>
      </c>
      <c r="BY118" s="12">
        <f>IF('Données projet'!$A$114&gt;35,BY117+BX118-CG117,IF(A118&lt;'Données projet'!$A$114,$BV$205^A118,IF(A118='Données projet'!$A$114,'Données projet'!$B$114,BY117+BX118-CG117)))</f>
        <v>329.50000000000006</v>
      </c>
      <c r="BZ118" s="13">
        <f>BY118*VLOOKUP('Données projet'!$B$12,Paramètres!$A$1:$I$89,3,0)*VLOOKUP('Données projet'!$B$12,Paramètres!$A$1:$I$89,5,0)</f>
        <v>344.3934000000001</v>
      </c>
      <c r="CA118" s="13">
        <f t="shared" si="93"/>
        <v>80.406971302217173</v>
      </c>
      <c r="CB118" s="20">
        <f t="shared" si="64"/>
        <v>739.8606466846951</v>
      </c>
      <c r="CC118" s="59">
        <f t="shared" si="65"/>
        <v>1033.1939800180285</v>
      </c>
      <c r="CD118" s="59">
        <f ca="1">AVERAGE(OFFSET($CC$3,0,0,'Données projet'!$E$12+1,1))-AVERAGE(OFFSET($H$3,0,0,'Données projet'!$E$12+1,1))</f>
        <v>423.49657671419374</v>
      </c>
      <c r="CE118" s="59">
        <f t="shared" si="94"/>
        <v>329.6783569381081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64.634033635006276</v>
      </c>
      <c r="CL118" s="21">
        <f>EXP(-LN(2)/25)*CL117+(1-EXP(-LN(2)/25))/(LN(2)/25)*Calculateur!CG118*Calculateur!CI118*VLOOKUP('Données projet'!$B$12,Paramètres!$A$1:$I$89,3,0)*0.475*44/12</f>
        <v>0</v>
      </c>
      <c r="CM118" s="21">
        <f>EXP(-LN(2)/2)*CM117+(1-EXP(-LN(2)/2))/(LN(2)/2)*CG118*CJ118*VLOOKUP('Données projet'!$B$12,Paramètres!$A$1:$I$89,3,0)*0.475*44/12</f>
        <v>0</v>
      </c>
      <c r="CN118" s="22">
        <f t="shared" si="66"/>
        <v>64.634033635006276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4.5</v>
      </c>
      <c r="CT118" s="12">
        <f>IF('Données projet'!$A$140&gt;35,CT117+CS118-DB117,IF(A118&lt;'Données projet'!$A$140,$CQ$205^A118,IF(A118='Données projet'!$A$140,'Données projet'!$B$140,CT117+CS118-DB117)))</f>
        <v>329.50000000000006</v>
      </c>
      <c r="CU118" s="17">
        <f>CT118*VLOOKUP('Données projet'!$B$13,Paramètres!$A$1:$I$89,3,0)*VLOOKUP('Données projet'!$B$13,Paramètres!$A$1:$I$89,5,0)</f>
        <v>334.11300000000006</v>
      </c>
      <c r="CV118" s="13">
        <f t="shared" si="95"/>
        <v>78.28242130227801</v>
      </c>
      <c r="CW118" s="20">
        <f t="shared" si="67"/>
        <v>718.25535876813422</v>
      </c>
      <c r="CX118" s="59">
        <f t="shared" si="68"/>
        <v>1011.5886921014676</v>
      </c>
      <c r="CY118" s="59">
        <f ca="1">AVERAGE(OFFSET($CX$3,0,0,'Données projet'!$E$13+1,1))-AVERAGE(OFFSET($H$3,0,0,'Données projet'!$E$13+1,1))</f>
        <v>407.76560346703042</v>
      </c>
      <c r="CZ118" s="59">
        <f t="shared" si="96"/>
        <v>319.35531375725202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projet'!$B$13,Paramètres!$A$1:$I$89,3,0)*0.475*44/12</f>
        <v>62.704659496647842</v>
      </c>
      <c r="DG118" s="21">
        <f>EXP(-LN(2)/25)*DG117+(1-EXP(-LN(2)/25))/(LN(2)/25)*Calculateur!DB118*Calculateur!DD118*VLOOKUP('Données projet'!$B$13,Paramètres!$A$1:$I$89,3,0)*0.475*44/12</f>
        <v>0</v>
      </c>
      <c r="DH118" s="21">
        <f>EXP(-LN(2)/2)*DH117+(1-EXP(-LN(2)/2))/(LN(2)/2)*DB118*DE118*VLOOKUP('Données projet'!$B$13,Paramètres!$A$1:$I$89,3,0)*0.475*44/12</f>
        <v>0</v>
      </c>
      <c r="DI118" s="22">
        <f t="shared" si="69"/>
        <v>62.704659496647842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2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103.14720000000018</v>
      </c>
      <c r="D119" s="11">
        <f t="shared" si="86"/>
        <v>27.710417026801501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1010.1289735402235</v>
      </c>
      <c r="H119" s="67">
        <f t="shared" si="56"/>
        <v>484.57701632167959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0</v>
      </c>
      <c r="O119" s="13">
        <f>N119*VLOOKUP('Données projet'!$B$9,Paramètres!$A$1:$I$89,3,0)*VLOOKUP('Données projet'!$B$9,Paramètres!$A$1:$I$89,5,0)</f>
        <v>0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101.15586831191774</v>
      </c>
      <c r="T119" s="59">
        <f t="shared" si="88"/>
        <v>346.96347336689064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7.4208846865976312</v>
      </c>
      <c r="AA119" s="21">
        <f>EXP(-LN(2)/25)*AA118+(1-EXP(-LN(2)/25))/(LN(2)/25)*Calculateur!V119*Calculateur!X119*VLOOKUP('Données projet'!$B$9,Paramètres!$A$1:$I$89,3,0)*0.475*44/12</f>
        <v>1.519533106560037</v>
      </c>
      <c r="AB119" s="21">
        <f>EXP(-LN(2)/2)*AB118+(1-EXP(-LN(2)/2))/(LN(2)/2)*V119*Y119*VLOOKUP('Données projet'!$B$9,Paramètres!$A$1:$I$89,3,0)*0.475*44/12</f>
        <v>0</v>
      </c>
      <c r="AC119" s="22">
        <f t="shared" si="57"/>
        <v>8.9404177931576676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0</v>
      </c>
      <c r="AJ119" s="13">
        <f>AI119*VLOOKUP('Données projet'!$B$10,Paramètres!$A$1:$I$89,3,0)*VLOOKUP('Données projet'!$B$10,Paramètres!$A$1:$I$89,5,0)</f>
        <v>0</v>
      </c>
      <c r="AK119" s="13" t="e">
        <f t="shared" si="89"/>
        <v>#NUM!</v>
      </c>
      <c r="AL119" s="20" t="e">
        <f t="shared" si="58"/>
        <v>#NUM!</v>
      </c>
      <c r="AM119" s="59" t="e">
        <f t="shared" si="59"/>
        <v>#NUM!</v>
      </c>
      <c r="AN119" s="59">
        <f ca="1">AVERAGE(OFFSET($AM$3,0,0,'Données projet'!$E$10+1,1))-AVERAGE(OFFSET($H$3,0,0,'Données projet'!$E$10+1,1))</f>
        <v>101.15586831191774</v>
      </c>
      <c r="AO119" s="59">
        <f t="shared" si="90"/>
        <v>346.96347336689064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7.4208846865976312</v>
      </c>
      <c r="AV119" s="21">
        <f>EXP(-LN(2)/25)*AV118+(1-EXP(-LN(2)/25))/(LN(2)/25)*Calculateur!AQ119*Calculateur!AS119*VLOOKUP('Données projet'!$B$10,Paramètres!$A$1:$I$89,3,0)*0.475*44/12</f>
        <v>1.519533106560037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8.9404177931576676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4.5</v>
      </c>
      <c r="BD119" s="12">
        <f>IF('Données projet'!$A$88&gt;35,BD118+BC119-BL118,IF(A119&lt;'Données projet'!$A$88,$BA$205^A119,IF(A119='Données projet'!$A$88,'Données projet'!$B$88,BD118+BC119-BL118)))</f>
        <v>334.00000000000006</v>
      </c>
      <c r="BE119" s="13">
        <f>BD119*VLOOKUP('Données projet'!$B$11,Paramètres!$A$1:$I$89,3,0)*VLOOKUP('Données projet'!$B$11,Paramètres!$A$1:$I$89,5,0)</f>
        <v>302.20320000000004</v>
      </c>
      <c r="BF119" s="13">
        <f t="shared" si="91"/>
        <v>71.638141943842299</v>
      </c>
      <c r="BG119" s="20">
        <f t="shared" si="61"/>
        <v>651.10700388552539</v>
      </c>
      <c r="BH119" s="59">
        <f t="shared" si="62"/>
        <v>944.44033721885876</v>
      </c>
      <c r="BI119" s="59">
        <f ca="1">AVERAGE(OFFSET($BH$3,0,0,'Données projet'!$E$11+1,1))-AVERAGE(OFFSET($H$3,0,0,'Données projet'!$E$11+1,1))</f>
        <v>352.62747127358324</v>
      </c>
      <c r="BJ119" s="59">
        <f t="shared" si="92"/>
        <v>283.16932763435011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54.854668360909145</v>
      </c>
      <c r="BQ119" s="21">
        <f>EXP(-LN(2)/25)*BQ118+(1-EXP(-LN(2)/25))/(LN(2)/25)*Calculateur!BL119*Calculateur!BN119*VLOOKUP('Données projet'!$B$11,Paramètres!$A$1:$I$89,3,0)*0.475*44/12</f>
        <v>0</v>
      </c>
      <c r="BR119" s="21">
        <f>EXP(-LN(2)/2)*BR118+(1-EXP(-LN(2)/2))/(LN(2)/2)*BL119*BO119*VLOOKUP('Données projet'!$B$11,Paramètres!$A$1:$I$89,3,0)*0.475*44/12</f>
        <v>0</v>
      </c>
      <c r="BS119" s="22">
        <f t="shared" si="63"/>
        <v>54.854668360909145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4.5</v>
      </c>
      <c r="BY119" s="12">
        <f>IF('Données projet'!$A$114&gt;35,BY118+BX119-CG118,IF(A119&lt;'Données projet'!$A$114,$BV$205^A119,IF(A119='Données projet'!$A$114,'Données projet'!$B$114,BY118+BX119-CG118)))</f>
        <v>334.00000000000006</v>
      </c>
      <c r="BZ119" s="13">
        <f>BY119*VLOOKUP('Données projet'!$B$12,Paramètres!$A$1:$I$89,3,0)*VLOOKUP('Données projet'!$B$12,Paramètres!$A$1:$I$89,5,0)</f>
        <v>349.09680000000009</v>
      </c>
      <c r="CA119" s="13">
        <f t="shared" si="93"/>
        <v>81.376505019061668</v>
      </c>
      <c r="CB119" s="20">
        <f t="shared" si="64"/>
        <v>749.74100624153243</v>
      </c>
      <c r="CC119" s="59">
        <f t="shared" si="65"/>
        <v>1043.0743395748657</v>
      </c>
      <c r="CD119" s="59">
        <f ca="1">AVERAGE(OFFSET($CC$3,0,0,'Données projet'!$E$12+1,1))-AVERAGE(OFFSET($H$3,0,0,'Données projet'!$E$12+1,1))</f>
        <v>423.49657671419374</v>
      </c>
      <c r="CE119" s="59">
        <f t="shared" si="94"/>
        <v>329.6783569381081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63.366599658291634</v>
      </c>
      <c r="CL119" s="21">
        <f>EXP(-LN(2)/25)*CL118+(1-EXP(-LN(2)/25))/(LN(2)/25)*Calculateur!CG119*Calculateur!CI119*VLOOKUP('Données projet'!$B$12,Paramètres!$A$1:$I$89,3,0)*0.475*44/12</f>
        <v>0</v>
      </c>
      <c r="CM119" s="21">
        <f>EXP(-LN(2)/2)*CM118+(1-EXP(-LN(2)/2))/(LN(2)/2)*CG119*CJ119*VLOOKUP('Données projet'!$B$12,Paramètres!$A$1:$I$89,3,0)*0.475*44/12</f>
        <v>0</v>
      </c>
      <c r="CN119" s="22">
        <f t="shared" si="66"/>
        <v>63.366599658291634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4.5</v>
      </c>
      <c r="CT119" s="12">
        <f>IF('Données projet'!$A$140&gt;35,CT118+CS119-DB118,IF(A119&lt;'Données projet'!$A$140,$CQ$205^A119,IF(A119='Données projet'!$A$140,'Données projet'!$B$140,CT118+CS119-DB118)))</f>
        <v>334.00000000000006</v>
      </c>
      <c r="CU119" s="17">
        <f>CT119*VLOOKUP('Données projet'!$B$13,Paramètres!$A$1:$I$89,3,0)*VLOOKUP('Données projet'!$B$13,Paramètres!$A$1:$I$89,5,0)</f>
        <v>338.6760000000001</v>
      </c>
      <c r="CV119" s="13">
        <f t="shared" si="95"/>
        <v>79.226337553065719</v>
      </c>
      <c r="CW119" s="20">
        <f t="shared" si="67"/>
        <v>727.84657123825627</v>
      </c>
      <c r="CX119" s="59">
        <f t="shared" si="68"/>
        <v>1021.1799045715895</v>
      </c>
      <c r="CY119" s="59">
        <f ca="1">AVERAGE(OFFSET($CX$3,0,0,'Données projet'!$E$13+1,1))-AVERAGE(OFFSET($H$3,0,0,'Données projet'!$E$13+1,1))</f>
        <v>407.76560346703042</v>
      </c>
      <c r="CZ119" s="59">
        <f t="shared" si="96"/>
        <v>319.35531375725202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61.475059369984386</v>
      </c>
      <c r="DG119" s="21">
        <f>EXP(-LN(2)/25)*DG118+(1-EXP(-LN(2)/25))/(LN(2)/25)*Calculateur!DB119*Calculateur!DD119*VLOOKUP('Données projet'!$B$13,Paramètres!$A$1:$I$89,3,0)*0.475*44/12</f>
        <v>0</v>
      </c>
      <c r="DH119" s="21">
        <f>EXP(-LN(2)/2)*DH118+(1-EXP(-LN(2)/2))/(LN(2)/2)*DB119*DE119*VLOOKUP('Données projet'!$B$13,Paramètres!$A$1:$I$89,3,0)*0.475*44/12</f>
        <v>0</v>
      </c>
      <c r="DI119" s="22">
        <f t="shared" si="69"/>
        <v>61.475059369984386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2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104.03640000000019</v>
      </c>
      <c r="D120" s="11">
        <f t="shared" si="86"/>
        <v>27.921388397821048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1018.6215244744094</v>
      </c>
      <c r="H120" s="67">
        <f t="shared" si="56"/>
        <v>486.49314812620531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0</v>
      </c>
      <c r="O120" s="13">
        <f>N120*VLOOKUP('Données projet'!$B$9,Paramètres!$A$1:$I$89,3,0)*VLOOKUP('Données projet'!$B$9,Paramètres!$A$1:$I$89,5,0)</f>
        <v>0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101.15586831191774</v>
      </c>
      <c r="T120" s="59">
        <f t="shared" si="88"/>
        <v>346.96347336689064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7.2753656641861761</v>
      </c>
      <c r="AA120" s="21">
        <f>EXP(-LN(2)/25)*AA119+(1-EXP(-LN(2)/25))/(LN(2)/25)*Calculateur!V120*Calculateur!X120*VLOOKUP('Données projet'!$B$9,Paramètres!$A$1:$I$89,3,0)*0.475*44/12</f>
        <v>1.4779813938523796</v>
      </c>
      <c r="AB120" s="21">
        <f>EXP(-LN(2)/2)*AB119+(1-EXP(-LN(2)/2))/(LN(2)/2)*V120*Y120*VLOOKUP('Données projet'!$B$9,Paramètres!$A$1:$I$89,3,0)*0.475*44/12</f>
        <v>0</v>
      </c>
      <c r="AC120" s="22">
        <f t="shared" si="57"/>
        <v>8.7533470580385551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0</v>
      </c>
      <c r="AJ120" s="13">
        <f>AI120*VLOOKUP('Données projet'!$B$10,Paramètres!$A$1:$I$89,3,0)*VLOOKUP('Données projet'!$B$10,Paramètres!$A$1:$I$89,5,0)</f>
        <v>0</v>
      </c>
      <c r="AK120" s="13" t="e">
        <f t="shared" si="89"/>
        <v>#NUM!</v>
      </c>
      <c r="AL120" s="20" t="e">
        <f t="shared" si="58"/>
        <v>#NUM!</v>
      </c>
      <c r="AM120" s="59" t="e">
        <f t="shared" si="59"/>
        <v>#NUM!</v>
      </c>
      <c r="AN120" s="59">
        <f ca="1">AVERAGE(OFFSET($AM$3,0,0,'Données projet'!$E$10+1,1))-AVERAGE(OFFSET($H$3,0,0,'Données projet'!$E$10+1,1))</f>
        <v>101.15586831191774</v>
      </c>
      <c r="AO120" s="59">
        <f t="shared" si="90"/>
        <v>346.96347336689064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7.2753656641861761</v>
      </c>
      <c r="AV120" s="21">
        <f>EXP(-LN(2)/25)*AV119+(1-EXP(-LN(2)/25))/(LN(2)/25)*Calculateur!AQ120*Calculateur!AS120*VLOOKUP('Données projet'!$B$10,Paramètres!$A$1:$I$89,3,0)*0.475*44/12</f>
        <v>1.4779813938523796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8.7533470580385551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4.5</v>
      </c>
      <c r="BD120" s="12">
        <f>IF('Données projet'!$A$88&gt;35,BD119+BC120-BL119,IF(A120&lt;'Données projet'!$A$88,$BA$205^A120,IF(A120='Données projet'!$A$88,'Données projet'!$B$88,BD119+BC120-BL119)))</f>
        <v>338.50000000000006</v>
      </c>
      <c r="BE120" s="13">
        <f>BD120*VLOOKUP('Données projet'!$B$11,Paramètres!$A$1:$I$89,3,0)*VLOOKUP('Données projet'!$B$11,Paramètres!$A$1:$I$89,5,0)</f>
        <v>306.27480000000003</v>
      </c>
      <c r="BF120" s="13">
        <f t="shared" si="91"/>
        <v>72.490313602283052</v>
      </c>
      <c r="BG120" s="20">
        <f t="shared" si="61"/>
        <v>659.68257285730954</v>
      </c>
      <c r="BH120" s="59">
        <f t="shared" si="62"/>
        <v>953.01590619064291</v>
      </c>
      <c r="BI120" s="59">
        <f ca="1">AVERAGE(OFFSET($BH$3,0,0,'Données projet'!$E$11+1,1))-AVERAGE(OFFSET($H$3,0,0,'Données projet'!$E$11+1,1))</f>
        <v>352.62747127358324</v>
      </c>
      <c r="BJ120" s="59">
        <f t="shared" si="92"/>
        <v>283.16932763435011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53.779001772395709</v>
      </c>
      <c r="BQ120" s="21">
        <f>EXP(-LN(2)/25)*BQ119+(1-EXP(-LN(2)/25))/(LN(2)/25)*Calculateur!BL120*Calculateur!BN120*VLOOKUP('Données projet'!$B$11,Paramètres!$A$1:$I$89,3,0)*0.475*44/12</f>
        <v>0</v>
      </c>
      <c r="BR120" s="21">
        <f>EXP(-LN(2)/2)*BR119+(1-EXP(-LN(2)/2))/(LN(2)/2)*BL120*BO120*VLOOKUP('Données projet'!$B$11,Paramètres!$A$1:$I$89,3,0)*0.475*44/12</f>
        <v>0</v>
      </c>
      <c r="BS120" s="22">
        <f t="shared" si="63"/>
        <v>53.779001772395709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4.5</v>
      </c>
      <c r="BY120" s="12">
        <f>IF('Données projet'!$A$114&gt;35,BY119+BX120-CG119,IF(A120&lt;'Données projet'!$A$114,$BV$205^A120,IF(A120='Données projet'!$A$114,'Données projet'!$B$114,BY119+BX120-CG119)))</f>
        <v>338.50000000000006</v>
      </c>
      <c r="BZ120" s="13">
        <f>BY120*VLOOKUP('Données projet'!$B$12,Paramètres!$A$1:$I$89,3,0)*VLOOKUP('Données projet'!$B$12,Paramètres!$A$1:$I$89,5,0)</f>
        <v>353.80020000000007</v>
      </c>
      <c r="CA120" s="13">
        <f t="shared" si="93"/>
        <v>82.344519394624029</v>
      </c>
      <c r="CB120" s="20">
        <f t="shared" si="64"/>
        <v>759.61871961230361</v>
      </c>
      <c r="CC120" s="59">
        <f t="shared" si="65"/>
        <v>1052.952052945637</v>
      </c>
      <c r="CD120" s="59">
        <f ca="1">AVERAGE(OFFSET($CC$3,0,0,'Données projet'!$E$12+1,1))-AVERAGE(OFFSET($H$3,0,0,'Données projet'!$E$12+1,1))</f>
        <v>423.49657671419374</v>
      </c>
      <c r="CE120" s="59">
        <f t="shared" si="94"/>
        <v>329.6783569381081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62.124019288801975</v>
      </c>
      <c r="CL120" s="21">
        <f>EXP(-LN(2)/25)*CL119+(1-EXP(-LN(2)/25))/(LN(2)/25)*Calculateur!CG120*Calculateur!CI120*VLOOKUP('Données projet'!$B$12,Paramètres!$A$1:$I$89,3,0)*0.475*44/12</f>
        <v>0</v>
      </c>
      <c r="CM120" s="21">
        <f>EXP(-LN(2)/2)*CM119+(1-EXP(-LN(2)/2))/(LN(2)/2)*CG120*CJ120*VLOOKUP('Données projet'!$B$12,Paramètres!$A$1:$I$89,3,0)*0.475*44/12</f>
        <v>0</v>
      </c>
      <c r="CN120" s="22">
        <f t="shared" si="66"/>
        <v>62.124019288801975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4.5</v>
      </c>
      <c r="CT120" s="12">
        <f>IF('Données projet'!$A$140&gt;35,CT119+CS120-DB119,IF(A120&lt;'Données projet'!$A$140,$CQ$205^A120,IF(A120='Données projet'!$A$140,'Données projet'!$B$140,CT119+CS120-DB119)))</f>
        <v>338.50000000000006</v>
      </c>
      <c r="CU120" s="17">
        <f>CT120*VLOOKUP('Données projet'!$B$13,Paramètres!$A$1:$I$89,3,0)*VLOOKUP('Données projet'!$B$13,Paramètres!$A$1:$I$89,5,0)</f>
        <v>343.23900000000009</v>
      </c>
      <c r="CV120" s="13">
        <f t="shared" si="95"/>
        <v>80.168774607305807</v>
      </c>
      <c r="CW120" s="20">
        <f t="shared" si="67"/>
        <v>737.43520744105774</v>
      </c>
      <c r="CX120" s="59">
        <f t="shared" si="68"/>
        <v>1030.7685407743911</v>
      </c>
      <c r="CY120" s="59">
        <f ca="1">AVERAGE(OFFSET($CX$3,0,0,'Données projet'!$E$13+1,1))-AVERAGE(OFFSET($H$3,0,0,'Données projet'!$E$13+1,1))</f>
        <v>407.76560346703042</v>
      </c>
      <c r="CZ120" s="59">
        <f t="shared" si="96"/>
        <v>319.35531375725202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60.269570951822779</v>
      </c>
      <c r="DG120" s="21">
        <f>EXP(-LN(2)/25)*DG119+(1-EXP(-LN(2)/25))/(LN(2)/25)*Calculateur!DB120*Calculateur!DD120*VLOOKUP('Données projet'!$B$13,Paramètres!$A$1:$I$89,3,0)*0.475*44/12</f>
        <v>0</v>
      </c>
      <c r="DH120" s="21">
        <f>EXP(-LN(2)/2)*DH119+(1-EXP(-LN(2)/2))/(LN(2)/2)*DB120*DE120*VLOOKUP('Données projet'!$B$13,Paramètres!$A$1:$I$89,3,0)*0.475*44/12</f>
        <v>0</v>
      </c>
      <c r="DI120" s="22">
        <f t="shared" si="69"/>
        <v>60.269570951822779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2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104.92560000000019</v>
      </c>
      <c r="D121" s="11">
        <f t="shared" si="86"/>
        <v>28.132149981044396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1027.1124559940286</v>
      </c>
      <c r="H121" s="67">
        <f t="shared" si="56"/>
        <v>488.40891455031931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0</v>
      </c>
      <c r="O121" s="13">
        <f>N121*VLOOKUP('Données projet'!$B$9,Paramètres!$A$1:$I$89,3,0)*VLOOKUP('Données projet'!$B$9,Paramètres!$A$1:$I$89,5,0)</f>
        <v>0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101.15586831191774</v>
      </c>
      <c r="T121" s="59">
        <f t="shared" si="88"/>
        <v>346.96347336689064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7.1327001810463706</v>
      </c>
      <c r="AA121" s="21">
        <f>EXP(-LN(2)/25)*AA120+(1-EXP(-LN(2)/25))/(LN(2)/25)*Calculateur!V121*Calculateur!X121*VLOOKUP('Données projet'!$B$9,Paramètres!$A$1:$I$89,3,0)*0.475*44/12</f>
        <v>1.4375659149138227</v>
      </c>
      <c r="AB121" s="21">
        <f>EXP(-LN(2)/2)*AB120+(1-EXP(-LN(2)/2))/(LN(2)/2)*V121*Y121*VLOOKUP('Données projet'!$B$9,Paramètres!$A$1:$I$89,3,0)*0.475*44/12</f>
        <v>0</v>
      </c>
      <c r="AC121" s="22">
        <f t="shared" si="57"/>
        <v>8.5702660959601928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0</v>
      </c>
      <c r="AJ121" s="13">
        <f>AI121*VLOOKUP('Données projet'!$B$10,Paramètres!$A$1:$I$89,3,0)*VLOOKUP('Données projet'!$B$10,Paramètres!$A$1:$I$89,5,0)</f>
        <v>0</v>
      </c>
      <c r="AK121" s="13" t="e">
        <f t="shared" si="89"/>
        <v>#NUM!</v>
      </c>
      <c r="AL121" s="20" t="e">
        <f t="shared" si="58"/>
        <v>#NUM!</v>
      </c>
      <c r="AM121" s="59" t="e">
        <f t="shared" si="59"/>
        <v>#NUM!</v>
      </c>
      <c r="AN121" s="59">
        <f ca="1">AVERAGE(OFFSET($AM$3,0,0,'Données projet'!$E$10+1,1))-AVERAGE(OFFSET($H$3,0,0,'Données projet'!$E$10+1,1))</f>
        <v>101.15586831191774</v>
      </c>
      <c r="AO121" s="59">
        <f t="shared" si="90"/>
        <v>346.96347336689064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7.1327001810463706</v>
      </c>
      <c r="AV121" s="21">
        <f>EXP(-LN(2)/25)*AV120+(1-EXP(-LN(2)/25))/(LN(2)/25)*Calculateur!AQ121*Calculateur!AS121*VLOOKUP('Données projet'!$B$10,Paramètres!$A$1:$I$89,3,0)*0.475*44/12</f>
        <v>1.4375659149138227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8.5702660959601928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4.5</v>
      </c>
      <c r="BD121" s="12">
        <f>IF('Données projet'!$A$88&gt;35,BD120+BC121-BL120,IF(A121&lt;'Données projet'!$A$88,$BA$205^A121,IF(A121='Données projet'!$A$88,'Données projet'!$B$88,BD120+BC121-BL120)))</f>
        <v>343.00000000000006</v>
      </c>
      <c r="BE121" s="13">
        <f>BD121*VLOOKUP('Données projet'!$B$11,Paramètres!$A$1:$I$89,3,0)*VLOOKUP('Données projet'!$B$11,Paramètres!$A$1:$I$89,5,0)</f>
        <v>310.34640000000007</v>
      </c>
      <c r="BF121" s="13">
        <f t="shared" si="91"/>
        <v>73.341167576153055</v>
      </c>
      <c r="BG121" s="20">
        <f t="shared" si="61"/>
        <v>668.25584686180002</v>
      </c>
      <c r="BH121" s="59">
        <f t="shared" si="62"/>
        <v>961.58918019513339</v>
      </c>
      <c r="BI121" s="59">
        <f ca="1">AVERAGE(OFFSET($BH$3,0,0,'Données projet'!$E$11+1,1))-AVERAGE(OFFSET($H$3,0,0,'Données projet'!$E$11+1,1))</f>
        <v>352.62747127358324</v>
      </c>
      <c r="BJ121" s="59">
        <f t="shared" si="92"/>
        <v>283.16932763435011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52.724428349591186</v>
      </c>
      <c r="BQ121" s="21">
        <f>EXP(-LN(2)/25)*BQ120+(1-EXP(-LN(2)/25))/(LN(2)/25)*Calculateur!BL121*Calculateur!BN121*VLOOKUP('Données projet'!$B$11,Paramètres!$A$1:$I$89,3,0)*0.475*44/12</f>
        <v>0</v>
      </c>
      <c r="BR121" s="21">
        <f>EXP(-LN(2)/2)*BR120+(1-EXP(-LN(2)/2))/(LN(2)/2)*BL121*BO121*VLOOKUP('Données projet'!$B$11,Paramètres!$A$1:$I$89,3,0)*0.475*44/12</f>
        <v>0</v>
      </c>
      <c r="BS121" s="22">
        <f t="shared" si="63"/>
        <v>52.724428349591186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4.5</v>
      </c>
      <c r="BY121" s="12">
        <f>IF('Données projet'!$A$114&gt;35,BY120+BX121-CG120,IF(A121&lt;'Données projet'!$A$114,$BV$205^A121,IF(A121='Données projet'!$A$114,'Données projet'!$B$114,BY120+BX121-CG120)))</f>
        <v>343.00000000000006</v>
      </c>
      <c r="BZ121" s="13">
        <f>BY121*VLOOKUP('Données projet'!$B$12,Paramètres!$A$1:$I$89,3,0)*VLOOKUP('Données projet'!$B$12,Paramètres!$A$1:$I$89,5,0)</f>
        <v>358.50360000000012</v>
      </c>
      <c r="CA121" s="13">
        <f t="shared" si="93"/>
        <v>83.311036961891389</v>
      </c>
      <c r="CB121" s="20">
        <f t="shared" si="64"/>
        <v>769.49382604196092</v>
      </c>
      <c r="CC121" s="59">
        <f t="shared" si="65"/>
        <v>1062.8271593752943</v>
      </c>
      <c r="CD121" s="59">
        <f ca="1">AVERAGE(OFFSET($CC$3,0,0,'Données projet'!$E$12+1,1))-AVERAGE(OFFSET($H$3,0,0,'Données projet'!$E$12+1,1))</f>
        <v>423.49657671419374</v>
      </c>
      <c r="CE121" s="59">
        <f t="shared" si="94"/>
        <v>329.6783569381081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60.905805162458819</v>
      </c>
      <c r="CL121" s="21">
        <f>EXP(-LN(2)/25)*CL120+(1-EXP(-LN(2)/25))/(LN(2)/25)*Calculateur!CG121*Calculateur!CI121*VLOOKUP('Données projet'!$B$12,Paramètres!$A$1:$I$89,3,0)*0.475*44/12</f>
        <v>0</v>
      </c>
      <c r="CM121" s="21">
        <f>EXP(-LN(2)/2)*CM120+(1-EXP(-LN(2)/2))/(LN(2)/2)*CG121*CJ121*VLOOKUP('Données projet'!$B$12,Paramètres!$A$1:$I$89,3,0)*0.475*44/12</f>
        <v>0</v>
      </c>
      <c r="CN121" s="22">
        <f t="shared" si="66"/>
        <v>60.905805162458819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4.5</v>
      </c>
      <c r="CT121" s="12">
        <f>IF('Données projet'!$A$140&gt;35,CT120+CS121-DB120,IF(A121&lt;'Données projet'!$A$140,$CQ$205^A121,IF(A121='Données projet'!$A$140,'Données projet'!$B$140,CT120+CS121-DB120)))</f>
        <v>343.00000000000006</v>
      </c>
      <c r="CU121" s="17">
        <f>CT121*VLOOKUP('Données projet'!$B$13,Paramètres!$A$1:$I$89,3,0)*VLOOKUP('Données projet'!$B$13,Paramètres!$A$1:$I$89,5,0)</f>
        <v>347.80200000000008</v>
      </c>
      <c r="CV121" s="13">
        <f t="shared" si="95"/>
        <v>81.109754402608573</v>
      </c>
      <c r="CW121" s="20">
        <f t="shared" si="67"/>
        <v>747.02130558454337</v>
      </c>
      <c r="CX121" s="59">
        <f t="shared" si="68"/>
        <v>1040.3546389178766</v>
      </c>
      <c r="CY121" s="59">
        <f ca="1">AVERAGE(OFFSET($CX$3,0,0,'Données projet'!$E$13+1,1))-AVERAGE(OFFSET($H$3,0,0,'Données projet'!$E$13+1,1))</f>
        <v>407.76560346703042</v>
      </c>
      <c r="CZ121" s="59">
        <f t="shared" si="96"/>
        <v>319.35531375725202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59.087721426265986</v>
      </c>
      <c r="DG121" s="21">
        <f>EXP(-LN(2)/25)*DG120+(1-EXP(-LN(2)/25))/(LN(2)/25)*Calculateur!DB121*Calculateur!DD121*VLOOKUP('Données projet'!$B$13,Paramètres!$A$1:$I$89,3,0)*0.475*44/12</f>
        <v>0</v>
      </c>
      <c r="DH121" s="21">
        <f>EXP(-LN(2)/2)*DH120+(1-EXP(-LN(2)/2))/(LN(2)/2)*DB121*DE121*VLOOKUP('Données projet'!$B$13,Paramètres!$A$1:$I$89,3,0)*0.475*44/12</f>
        <v>0</v>
      </c>
      <c r="DI121" s="22">
        <f t="shared" si="69"/>
        <v>59.087721426265986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2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105.81480000000019</v>
      </c>
      <c r="D122" s="11">
        <f t="shared" si="86"/>
        <v>28.342703760346538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1035.6017834132028</v>
      </c>
      <c r="H122" s="67">
        <f t="shared" si="56"/>
        <v>490.32431904927057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0</v>
      </c>
      <c r="O122" s="13">
        <f>N122*VLOOKUP('Données projet'!$B$9,Paramètres!$A$1:$I$89,3,0)*VLOOKUP('Données projet'!$B$9,Paramètres!$A$1:$I$89,5,0)</f>
        <v>0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101.15586831191774</v>
      </c>
      <c r="T122" s="59">
        <f t="shared" si="88"/>
        <v>346.96347336689064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6.9928322810135839</v>
      </c>
      <c r="AA122" s="21">
        <f>EXP(-LN(2)/25)*AA121+(1-EXP(-LN(2)/25))/(LN(2)/25)*Calculateur!V122*Calculateur!X122*VLOOKUP('Données projet'!$B$9,Paramètres!$A$1:$I$89,3,0)*0.475*44/12</f>
        <v>1.3982555993721983</v>
      </c>
      <c r="AB122" s="21">
        <f>EXP(-LN(2)/2)*AB121+(1-EXP(-LN(2)/2))/(LN(2)/2)*V122*Y122*VLOOKUP('Données projet'!$B$9,Paramètres!$A$1:$I$89,3,0)*0.475*44/12</f>
        <v>0</v>
      </c>
      <c r="AC122" s="22">
        <f t="shared" si="57"/>
        <v>8.3910878803857827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0</v>
      </c>
      <c r="AJ122" s="13">
        <f>AI122*VLOOKUP('Données projet'!$B$10,Paramètres!$A$1:$I$89,3,0)*VLOOKUP('Données projet'!$B$10,Paramètres!$A$1:$I$89,5,0)</f>
        <v>0</v>
      </c>
      <c r="AK122" s="13" t="e">
        <f t="shared" si="89"/>
        <v>#NUM!</v>
      </c>
      <c r="AL122" s="20" t="e">
        <f t="shared" si="58"/>
        <v>#NUM!</v>
      </c>
      <c r="AM122" s="59" t="e">
        <f t="shared" si="59"/>
        <v>#NUM!</v>
      </c>
      <c r="AN122" s="59">
        <f ca="1">AVERAGE(OFFSET($AM$3,0,0,'Données projet'!$E$10+1,1))-AVERAGE(OFFSET($H$3,0,0,'Données projet'!$E$10+1,1))</f>
        <v>101.15586831191774</v>
      </c>
      <c r="AO122" s="59">
        <f t="shared" si="90"/>
        <v>346.96347336689064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6.9928322810135839</v>
      </c>
      <c r="AV122" s="21">
        <f>EXP(-LN(2)/25)*AV121+(1-EXP(-LN(2)/25))/(LN(2)/25)*Calculateur!AQ122*Calculateur!AS122*VLOOKUP('Données projet'!$B$10,Paramètres!$A$1:$I$89,3,0)*0.475*44/12</f>
        <v>1.3982555993721983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8.3910878803857827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4.5</v>
      </c>
      <c r="BD122" s="12">
        <f>IF('Données projet'!$A$88&gt;35,BD121+BC122-BL121,IF(A122&lt;'Données projet'!$A$88,$BA$205^A122,IF(A122='Données projet'!$A$88,'Données projet'!$B$88,BD121+BC122-BL121)))</f>
        <v>347.50000000000006</v>
      </c>
      <c r="BE122" s="13">
        <f>BD122*VLOOKUP('Données projet'!$B$11,Paramètres!$A$1:$I$89,3,0)*VLOOKUP('Données projet'!$B$11,Paramètres!$A$1:$I$89,5,0)</f>
        <v>314.41800000000001</v>
      </c>
      <c r="BF122" s="13">
        <f t="shared" si="91"/>
        <v>74.190723151497338</v>
      </c>
      <c r="BG122" s="20">
        <f t="shared" si="61"/>
        <v>676.82685948885785</v>
      </c>
      <c r="BH122" s="59">
        <f t="shared" si="62"/>
        <v>970.16019282219122</v>
      </c>
      <c r="BI122" s="59">
        <f ca="1">AVERAGE(OFFSET($BH$3,0,0,'Données projet'!$E$11+1,1))-AVERAGE(OFFSET($H$3,0,0,'Données projet'!$E$11+1,1))</f>
        <v>352.62747127358324</v>
      </c>
      <c r="BJ122" s="59">
        <f t="shared" si="92"/>
        <v>283.16932763435011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51.690534468381585</v>
      </c>
      <c r="BQ122" s="21">
        <f>EXP(-LN(2)/25)*BQ121+(1-EXP(-LN(2)/25))/(LN(2)/25)*Calculateur!BL122*Calculateur!BN122*VLOOKUP('Données projet'!$B$11,Paramètres!$A$1:$I$89,3,0)*0.475*44/12</f>
        <v>0</v>
      </c>
      <c r="BR122" s="21">
        <f>EXP(-LN(2)/2)*BR121+(1-EXP(-LN(2)/2))/(LN(2)/2)*BL122*BO122*VLOOKUP('Données projet'!$B$11,Paramètres!$A$1:$I$89,3,0)*0.475*44/12</f>
        <v>0</v>
      </c>
      <c r="BS122" s="22">
        <f t="shared" si="63"/>
        <v>51.690534468381585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4.5</v>
      </c>
      <c r="BY122" s="12">
        <f>IF('Données projet'!$A$114&gt;35,BY121+BX122-CG121,IF(A122&lt;'Données projet'!$A$114,$BV$205^A122,IF(A122='Données projet'!$A$114,'Données projet'!$B$114,BY121+BX122-CG121)))</f>
        <v>347.50000000000006</v>
      </c>
      <c r="BZ122" s="13">
        <f>BY122*VLOOKUP('Données projet'!$B$12,Paramètres!$A$1:$I$89,3,0)*VLOOKUP('Données projet'!$B$12,Paramètres!$A$1:$I$89,5,0)</f>
        <v>363.20700000000011</v>
      </c>
      <c r="CA122" s="13">
        <f t="shared" si="93"/>
        <v>84.276079628620181</v>
      </c>
      <c r="CB122" s="20">
        <f t="shared" si="64"/>
        <v>779.36636368651364</v>
      </c>
      <c r="CC122" s="59">
        <f t="shared" si="65"/>
        <v>1072.699697019847</v>
      </c>
      <c r="CD122" s="59">
        <f ca="1">AVERAGE(OFFSET($CC$3,0,0,'Données projet'!$E$12+1,1))-AVERAGE(OFFSET($H$3,0,0,'Données projet'!$E$12+1,1))</f>
        <v>423.49657671419374</v>
      </c>
      <c r="CE122" s="59">
        <f t="shared" si="94"/>
        <v>329.6783569381081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59.711479472096002</v>
      </c>
      <c r="CL122" s="21">
        <f>EXP(-LN(2)/25)*CL121+(1-EXP(-LN(2)/25))/(LN(2)/25)*Calculateur!CG122*Calculateur!CI122*VLOOKUP('Données projet'!$B$12,Paramètres!$A$1:$I$89,3,0)*0.475*44/12</f>
        <v>0</v>
      </c>
      <c r="CM122" s="21">
        <f>EXP(-LN(2)/2)*CM121+(1-EXP(-LN(2)/2))/(LN(2)/2)*CG122*CJ122*VLOOKUP('Données projet'!$B$12,Paramètres!$A$1:$I$89,3,0)*0.475*44/12</f>
        <v>0</v>
      </c>
      <c r="CN122" s="22">
        <f t="shared" si="66"/>
        <v>59.711479472096002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4.5</v>
      </c>
      <c r="CT122" s="12">
        <f>IF('Données projet'!$A$140&gt;35,CT121+CS122-DB121,IF(A122&lt;'Données projet'!$A$140,$CQ$205^A122,IF(A122='Données projet'!$A$140,'Données projet'!$B$140,CT121+CS122-DB121)))</f>
        <v>347.50000000000006</v>
      </c>
      <c r="CU122" s="17">
        <f>CT122*VLOOKUP('Données projet'!$B$13,Paramètres!$A$1:$I$89,3,0)*VLOOKUP('Données projet'!$B$13,Paramètres!$A$1:$I$89,5,0)</f>
        <v>352.36500000000012</v>
      </c>
      <c r="CV122" s="13">
        <f t="shared" si="95"/>
        <v>82.049298267873567</v>
      </c>
      <c r="CW122" s="20">
        <f t="shared" si="67"/>
        <v>756.60490281654666</v>
      </c>
      <c r="CX122" s="59">
        <f t="shared" si="68"/>
        <v>1049.9382361498799</v>
      </c>
      <c r="CY122" s="59">
        <f ca="1">AVERAGE(OFFSET($CX$3,0,0,'Données projet'!$E$13+1,1))-AVERAGE(OFFSET($H$3,0,0,'Données projet'!$E$13+1,1))</f>
        <v>407.76560346703042</v>
      </c>
      <c r="CZ122" s="59">
        <f t="shared" si="96"/>
        <v>319.35531375725202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57.929047249048331</v>
      </c>
      <c r="DG122" s="21">
        <f>EXP(-LN(2)/25)*DG121+(1-EXP(-LN(2)/25))/(LN(2)/25)*Calculateur!DB122*Calculateur!DD122*VLOOKUP('Données projet'!$B$13,Paramètres!$A$1:$I$89,3,0)*0.475*44/12</f>
        <v>0</v>
      </c>
      <c r="DH122" s="21">
        <f>EXP(-LN(2)/2)*DH121+(1-EXP(-LN(2)/2))/(LN(2)/2)*DB122*DE122*VLOOKUP('Données projet'!$B$13,Paramètres!$A$1:$I$89,3,0)*0.475*44/12</f>
        <v>0</v>
      </c>
      <c r="DI122" s="22">
        <f t="shared" si="69"/>
        <v>57.929047249048331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2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106.70400000000019</v>
      </c>
      <c r="D123" s="11">
        <f t="shared" si="86"/>
        <v>28.553051684335379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1044.0895217738187</v>
      </c>
      <c r="H123" s="67">
        <f t="shared" si="56"/>
        <v>492.23936501688451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0</v>
      </c>
      <c r="O123" s="13">
        <f>N123*VLOOKUP('Données projet'!$B$9,Paramètres!$A$1:$I$89,3,0)*VLOOKUP('Données projet'!$B$9,Paramètres!$A$1:$I$89,5,0)</f>
        <v>0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101.15586831191774</v>
      </c>
      <c r="T123" s="59">
        <f t="shared" si="88"/>
        <v>346.96347336689064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6.8557071051894445</v>
      </c>
      <c r="AA123" s="21">
        <f>EXP(-LN(2)/25)*AA122+(1-EXP(-LN(2)/25))/(LN(2)/25)*Calculateur!V123*Calculateur!X123*VLOOKUP('Données projet'!$B$9,Paramètres!$A$1:$I$89,3,0)*0.475*44/12</f>
        <v>1.3600202264762993</v>
      </c>
      <c r="AB123" s="21">
        <f>EXP(-LN(2)/2)*AB122+(1-EXP(-LN(2)/2))/(LN(2)/2)*V123*Y123*VLOOKUP('Données projet'!$B$9,Paramètres!$A$1:$I$89,3,0)*0.475*44/12</f>
        <v>0</v>
      </c>
      <c r="AC123" s="22">
        <f t="shared" si="57"/>
        <v>8.2157273316657431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0</v>
      </c>
      <c r="AJ123" s="13">
        <f>AI123*VLOOKUP('Données projet'!$B$10,Paramètres!$A$1:$I$89,3,0)*VLOOKUP('Données projet'!$B$10,Paramètres!$A$1:$I$89,5,0)</f>
        <v>0</v>
      </c>
      <c r="AK123" s="13" t="e">
        <f t="shared" si="89"/>
        <v>#NUM!</v>
      </c>
      <c r="AL123" s="20" t="e">
        <f t="shared" si="58"/>
        <v>#NUM!</v>
      </c>
      <c r="AM123" s="59" t="e">
        <f t="shared" si="59"/>
        <v>#NUM!</v>
      </c>
      <c r="AN123" s="59">
        <f ca="1">AVERAGE(OFFSET($AM$3,0,0,'Données projet'!$E$10+1,1))-AVERAGE(OFFSET($H$3,0,0,'Données projet'!$E$10+1,1))</f>
        <v>101.15586831191774</v>
      </c>
      <c r="AO123" s="59">
        <f t="shared" si="90"/>
        <v>346.96347336689064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6.8557071051894445</v>
      </c>
      <c r="AV123" s="21">
        <f>EXP(-LN(2)/25)*AV122+(1-EXP(-LN(2)/25))/(LN(2)/25)*Calculateur!AQ123*Calculateur!AS123*VLOOKUP('Données projet'!$B$10,Paramètres!$A$1:$I$89,3,0)*0.475*44/12</f>
        <v>1.3600202264762993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8.2157273316657431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>
        <f>VLOOKUP(A123,'Données projet'!$A$87:$I$107,2,0)</f>
        <v>352</v>
      </c>
      <c r="BB123" s="12">
        <f>VLOOKUP(A123,'Données projet'!$A$87:$I$107,9,0)</f>
        <v>4.5</v>
      </c>
      <c r="BC123" s="12">
        <f t="array" ref="BC123">INDEX(BB:BB,MIN(IF(ISNUMBER(BB123:BB319),ROW(BB123:BB319),"")))</f>
        <v>4.5</v>
      </c>
      <c r="BD123" s="12">
        <f>IF('Données projet'!$A$88&gt;35,BD122+BC123-BL122,IF(A123&lt;'Données projet'!$A$88,$BA$205^A123,IF(A123='Données projet'!$A$88,'Données projet'!$B$88,BD122+BC123-BL122)))</f>
        <v>352.00000000000006</v>
      </c>
      <c r="BE123" s="13">
        <f>BD123*VLOOKUP('Données projet'!$B$11,Paramètres!$A$1:$I$89,3,0)*VLOOKUP('Données projet'!$B$11,Paramètres!$A$1:$I$89,5,0)</f>
        <v>318.48960000000005</v>
      </c>
      <c r="BF123" s="13">
        <f t="shared" si="91"/>
        <v>75.038999086150298</v>
      </c>
      <c r="BG123" s="20">
        <f t="shared" si="61"/>
        <v>685.39564340837842</v>
      </c>
      <c r="BH123" s="59">
        <f t="shared" si="62"/>
        <v>978.72897674171168</v>
      </c>
      <c r="BI123" s="59">
        <f ca="1">AVERAGE(OFFSET($BH$3,0,0,'Données projet'!$E$11+1,1))-AVERAGE(OFFSET($H$3,0,0,'Données projet'!$E$11+1,1))</f>
        <v>352.62747127358324</v>
      </c>
      <c r="BJ123" s="59">
        <f t="shared" si="92"/>
        <v>283.16932763435011</v>
      </c>
      <c r="BK123" s="15">
        <f>IF(ISNA(VLOOKUP(A123,'Données projet'!$A$87:$I$107,3,0)),0,VLOOKUP(A123,'Données projet'!$A$87:$I$107,3,0))</f>
        <v>21</v>
      </c>
      <c r="BL123" s="15">
        <f>IF(ISNA(VLOOKUP(A123,'Données projet'!$A$87:$I$107,4,0)),0,VLOOKUP(A123,'Données projet'!$A$87:$I$107,4,0))</f>
        <v>47</v>
      </c>
      <c r="BM123" s="16">
        <f>IF(ISNA(VLOOKUP(A123,'Données projet'!$A$87:$I$107,5,0)),0%,VLOOKUP(A123,'Données projet'!$A$87:$I$107,5,0)*VLOOKUP('Données projet'!$B$11,Paramètres!$A$1:$I$89,7,0))</f>
        <v>0.38700000000000001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68.870090799081808</v>
      </c>
      <c r="BQ123" s="21">
        <f>EXP(-LN(2)/25)*BQ122+(1-EXP(-LN(2)/25))/(LN(2)/25)*Calculateur!BL123*Calculateur!BN123*VLOOKUP('Données projet'!$B$11,Paramètres!$A$1:$I$89,3,0)*0.475*44/12</f>
        <v>0</v>
      </c>
      <c r="BR123" s="21">
        <f>EXP(-LN(2)/2)*BR122+(1-EXP(-LN(2)/2))/(LN(2)/2)*BL123*BO123*VLOOKUP('Données projet'!$B$11,Paramètres!$A$1:$I$89,3,0)*0.475*44/12</f>
        <v>0</v>
      </c>
      <c r="BS123" s="22">
        <f t="shared" si="63"/>
        <v>68.870090799081808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>
        <f>VLOOKUP(A123,'Données projet'!$A$113:$I$133,2,0)</f>
        <v>352</v>
      </c>
      <c r="BW123" s="12">
        <f>VLOOKUP(A123,'Données projet'!$A$113:$I$133,9,0)</f>
        <v>4.5</v>
      </c>
      <c r="BX123" s="12">
        <f t="array" ref="BX123">INDEX(BW:BW,MIN(IF(ISNUMBER(BW123:BW319),ROW(BW123:BW319),"")))</f>
        <v>4.5</v>
      </c>
      <c r="BY123" s="12">
        <f>IF('Données projet'!$A$114&gt;35,BY122+BX123-CG122,IF(A123&lt;'Données projet'!$A$114,$BV$205^A123,IF(A123='Données projet'!$A$114,'Données projet'!$B$114,BY122+BX123-CG122)))</f>
        <v>352.00000000000006</v>
      </c>
      <c r="BZ123" s="13">
        <f>BY123*VLOOKUP('Données projet'!$B$12,Paramètres!$A$1:$I$89,3,0)*VLOOKUP('Données projet'!$B$12,Paramètres!$A$1:$I$89,5,0)</f>
        <v>367.9104000000001</v>
      </c>
      <c r="CA123" s="13">
        <f t="shared" si="93"/>
        <v>85.239668702551455</v>
      </c>
      <c r="CB123" s="20">
        <f t="shared" si="64"/>
        <v>789.23636965694402</v>
      </c>
      <c r="CC123" s="59">
        <f t="shared" si="65"/>
        <v>1082.5697029902774</v>
      </c>
      <c r="CD123" s="59">
        <f ca="1">AVERAGE(OFFSET($CC$3,0,0,'Données projet'!$E$12+1,1))-AVERAGE(OFFSET($H$3,0,0,'Données projet'!$E$12+1,1))</f>
        <v>423.49657671419374</v>
      </c>
      <c r="CE123" s="59">
        <f t="shared" si="94"/>
        <v>329.6783569381081</v>
      </c>
      <c r="CF123" s="15">
        <f>IF(ISNA(VLOOKUP(A123,'Données projet'!$A$113:$I$133,3,0)),0,VLOOKUP(A123,'Données projet'!$A$113:$I$133,3,0))</f>
        <v>21</v>
      </c>
      <c r="CG123" s="15">
        <f>IF(ISNA(VLOOKUP(A123,'Données projet'!$A$113:$I$133,4,0)),0,VLOOKUP(A123,'Données projet'!$A$113:$I$133,4,0))</f>
        <v>47</v>
      </c>
      <c r="CH123" s="16">
        <f>IF(ISNA(VLOOKUP(A123,'Données projet'!$A$113:$I$133,5,0)),0%,VLOOKUP(A123,'Données projet'!$A$113:$I$133,5,0)*VLOOKUP('Données projet'!$B$12,Paramètres!$A$1:$I$89,7,0))</f>
        <v>0.38700000000000001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79.556829026525577</v>
      </c>
      <c r="CL123" s="21">
        <f>EXP(-LN(2)/25)*CL122+(1-EXP(-LN(2)/25))/(LN(2)/25)*Calculateur!CG123*Calculateur!CI123*VLOOKUP('Données projet'!$B$12,Paramètres!$A$1:$I$89,3,0)*0.475*44/12</f>
        <v>0</v>
      </c>
      <c r="CM123" s="21">
        <f>EXP(-LN(2)/2)*CM122+(1-EXP(-LN(2)/2))/(LN(2)/2)*CG123*CJ123*VLOOKUP('Données projet'!$B$12,Paramètres!$A$1:$I$89,3,0)*0.475*44/12</f>
        <v>0</v>
      </c>
      <c r="CN123" s="22">
        <f t="shared" si="66"/>
        <v>79.556829026525577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>
        <f>VLOOKUP(A123,'Données projet'!$A$139:$I$159,2,0)</f>
        <v>352</v>
      </c>
      <c r="CR123" s="12">
        <f>VLOOKUP(A123,'Données projet'!$A$139:$I$159,9,0)</f>
        <v>4.5</v>
      </c>
      <c r="CS123" s="12">
        <f t="array" ref="CS123">INDEX(CR:CR,MIN(IF(ISNUMBER(CR123:CR319),ROW(CR123:CR319),"")))</f>
        <v>4.5</v>
      </c>
      <c r="CT123" s="12">
        <f>IF('Données projet'!$A$140&gt;35,CT122+CS123-DB122,IF(A123&lt;'Données projet'!$A$140,$CQ$205^A123,IF(A123='Données projet'!$A$140,'Données projet'!$B$140,CT122+CS123-DB122)))</f>
        <v>352.00000000000006</v>
      </c>
      <c r="CU123" s="17">
        <f>CT123*VLOOKUP('Données projet'!$B$13,Paramètres!$A$1:$I$89,3,0)*VLOOKUP('Données projet'!$B$13,Paramètres!$A$1:$I$89,5,0)</f>
        <v>356.92800000000005</v>
      </c>
      <c r="CV123" s="13">
        <f t="shared" si="95"/>
        <v>82.987426947838998</v>
      </c>
      <c r="CW123" s="20">
        <f t="shared" si="67"/>
        <v>766.18603526748632</v>
      </c>
      <c r="CX123" s="59">
        <f t="shared" si="68"/>
        <v>1059.5193686008197</v>
      </c>
      <c r="CY123" s="59">
        <f ca="1">AVERAGE(OFFSET($CX$3,0,0,'Données projet'!$E$13+1,1))-AVERAGE(OFFSET($H$3,0,0,'Données projet'!$E$13+1,1))</f>
        <v>407.76560346703042</v>
      </c>
      <c r="CZ123" s="59">
        <f t="shared" si="96"/>
        <v>319.35531375725202</v>
      </c>
      <c r="DA123" s="15">
        <f>IF(ISNA(VLOOKUP(A123,'Données projet'!$A$139:$I$159,3,0)),0,VLOOKUP(A123,'Données projet'!$A$139:$I$159,3,0))</f>
        <v>21</v>
      </c>
      <c r="DB123" s="15">
        <f>IF(ISNA(VLOOKUP(A123,'Données projet'!$A$139:$I$159,4,0)),0,VLOOKUP(A123,'Données projet'!$A$139:$I$159,4,0))</f>
        <v>47</v>
      </c>
      <c r="DC123" s="16">
        <f>IF(ISNA(VLOOKUP(A123,'Données projet'!$A$139:$I$159,5,0)),0%,VLOOKUP(A123,'Données projet'!$A$139:$I$159,5,0)*VLOOKUP('Données projet'!$B$13,Paramètres!$A$1:$I$89,7,0))</f>
        <v>0.38700000000000001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projet'!$B$13,Paramètres!$A$1:$I$89,3,0)*0.475*44/12</f>
        <v>77.18199830931583</v>
      </c>
      <c r="DG123" s="21">
        <f>EXP(-LN(2)/25)*DG122+(1-EXP(-LN(2)/25))/(LN(2)/25)*Calculateur!DB123*Calculateur!DD123*VLOOKUP('Données projet'!$B$13,Paramètres!$A$1:$I$89,3,0)*0.475*44/12</f>
        <v>0</v>
      </c>
      <c r="DH123" s="21">
        <f>EXP(-LN(2)/2)*DH122+(1-EXP(-LN(2)/2))/(LN(2)/2)*DB123*DE123*VLOOKUP('Données projet'!$B$13,Paramètres!$A$1:$I$89,3,0)*0.475*44/12</f>
        <v>0</v>
      </c>
      <c r="DI123" s="22">
        <f t="shared" si="69"/>
        <v>77.18199830931583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2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107.59320000000019</v>
      </c>
      <c r="D124" s="11">
        <f t="shared" si="86"/>
        <v>28.763195667267546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1052.5756858525931</v>
      </c>
      <c r="H124" s="67">
        <f t="shared" si="56"/>
        <v>494.15405578715797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0</v>
      </c>
      <c r="O124" s="13">
        <f>N124*VLOOKUP('Données projet'!$B$9,Paramètres!$A$1:$I$89,3,0)*VLOOKUP('Données projet'!$B$9,Paramètres!$A$1:$I$89,5,0)</f>
        <v>0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101.15586831191774</v>
      </c>
      <c r="T124" s="59">
        <f t="shared" si="88"/>
        <v>346.96347336689064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6.7212708704251183</v>
      </c>
      <c r="AA124" s="21">
        <f>EXP(-LN(2)/25)*AA123+(1-EXP(-LN(2)/25))/(LN(2)/25)*Calculateur!V124*Calculateur!X124*VLOOKUP('Données projet'!$B$9,Paramètres!$A$1:$I$89,3,0)*0.475*44/12</f>
        <v>1.3228304018629495</v>
      </c>
      <c r="AB124" s="21">
        <f>EXP(-LN(2)/2)*AB123+(1-EXP(-LN(2)/2))/(LN(2)/2)*V124*Y124*VLOOKUP('Données projet'!$B$9,Paramètres!$A$1:$I$89,3,0)*0.475*44/12</f>
        <v>0</v>
      </c>
      <c r="AC124" s="22">
        <f t="shared" si="57"/>
        <v>8.0441012722880672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0</v>
      </c>
      <c r="AJ124" s="13">
        <f>AI124*VLOOKUP('Données projet'!$B$10,Paramètres!$A$1:$I$89,3,0)*VLOOKUP('Données projet'!$B$10,Paramètres!$A$1:$I$89,5,0)</f>
        <v>0</v>
      </c>
      <c r="AK124" s="13" t="e">
        <f t="shared" si="89"/>
        <v>#NUM!</v>
      </c>
      <c r="AL124" s="20" t="e">
        <f t="shared" si="58"/>
        <v>#NUM!</v>
      </c>
      <c r="AM124" s="59" t="e">
        <f t="shared" si="59"/>
        <v>#NUM!</v>
      </c>
      <c r="AN124" s="59">
        <f ca="1">AVERAGE(OFFSET($AM$3,0,0,'Données projet'!$E$10+1,1))-AVERAGE(OFFSET($H$3,0,0,'Données projet'!$E$10+1,1))</f>
        <v>101.15586831191774</v>
      </c>
      <c r="AO124" s="59">
        <f t="shared" si="90"/>
        <v>346.96347336689064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6.7212708704251183</v>
      </c>
      <c r="AV124" s="21">
        <f>EXP(-LN(2)/25)*AV123+(1-EXP(-LN(2)/25))/(LN(2)/25)*Calculateur!AQ124*Calculateur!AS124*VLOOKUP('Données projet'!$B$10,Paramètres!$A$1:$I$89,3,0)*0.475*44/12</f>
        <v>1.3228304018629495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8.0441012722880672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4.0999999999999996</v>
      </c>
      <c r="BD124" s="12">
        <f>IF('Données projet'!$A$88&gt;35,BD123+BC124-BL123,IF(A124&lt;'Données projet'!$A$88,$BA$205^A124,IF(A124='Données projet'!$A$88,'Données projet'!$B$88,BD123+BC124-BL123)))</f>
        <v>309.10000000000008</v>
      </c>
      <c r="BE124" s="13">
        <f>BD124*VLOOKUP('Données projet'!$B$11,Paramètres!$A$1:$I$89,3,0)*VLOOKUP('Données projet'!$B$11,Paramètres!$A$1:$I$89,5,0)</f>
        <v>279.67368000000005</v>
      </c>
      <c r="BF124" s="13">
        <f t="shared" si="91"/>
        <v>66.898043405019465</v>
      </c>
      <c r="BG124" s="20">
        <f t="shared" si="61"/>
        <v>603.61241826374226</v>
      </c>
      <c r="BH124" s="59">
        <f t="shared" si="62"/>
        <v>896.94575159707551</v>
      </c>
      <c r="BI124" s="59">
        <f ca="1">AVERAGE(OFFSET($BH$3,0,0,'Données projet'!$E$11+1,1))-AVERAGE(OFFSET($H$3,0,0,'Données projet'!$E$11+1,1))</f>
        <v>352.62747127358324</v>
      </c>
      <c r="BJ124" s="59">
        <f t="shared" si="92"/>
        <v>283.16932763435011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67.519590325119395</v>
      </c>
      <c r="BQ124" s="21">
        <f>EXP(-LN(2)/25)*BQ123+(1-EXP(-LN(2)/25))/(LN(2)/25)*Calculateur!BL124*Calculateur!BN124*VLOOKUP('Données projet'!$B$11,Paramètres!$A$1:$I$89,3,0)*0.475*44/12</f>
        <v>0</v>
      </c>
      <c r="BR124" s="21">
        <f>EXP(-LN(2)/2)*BR123+(1-EXP(-LN(2)/2))/(LN(2)/2)*BL124*BO124*VLOOKUP('Données projet'!$B$11,Paramètres!$A$1:$I$89,3,0)*0.475*44/12</f>
        <v>0</v>
      </c>
      <c r="BS124" s="22">
        <f t="shared" si="63"/>
        <v>67.519590325119395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4.0999999999999996</v>
      </c>
      <c r="BY124" s="12">
        <f>IF('Données projet'!$A$114&gt;35,BY123+BX124-CG123,IF(A124&lt;'Données projet'!$A$114,$BV$205^A124,IF(A124='Données projet'!$A$114,'Données projet'!$B$114,BY123+BX124-CG123)))</f>
        <v>309.10000000000008</v>
      </c>
      <c r="BZ124" s="13">
        <f>BY124*VLOOKUP('Données projet'!$B$12,Paramètres!$A$1:$I$89,3,0)*VLOOKUP('Données projet'!$B$12,Paramètres!$A$1:$I$89,5,0)</f>
        <v>323.07132000000013</v>
      </c>
      <c r="CA124" s="13">
        <f t="shared" si="93"/>
        <v>75.992045818015626</v>
      </c>
      <c r="CB124" s="20">
        <f t="shared" si="64"/>
        <v>695.03536213304415</v>
      </c>
      <c r="CC124" s="59">
        <f t="shared" si="65"/>
        <v>988.3686954663774</v>
      </c>
      <c r="CD124" s="59">
        <f ca="1">AVERAGE(OFFSET($CC$3,0,0,'Données projet'!$E$12+1,1))-AVERAGE(OFFSET($H$3,0,0,'Données projet'!$E$12+1,1))</f>
        <v>423.49657671419374</v>
      </c>
      <c r="CE124" s="59">
        <f t="shared" si="94"/>
        <v>329.6783569381081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77.996768134189679</v>
      </c>
      <c r="CL124" s="21">
        <f>EXP(-LN(2)/25)*CL123+(1-EXP(-LN(2)/25))/(LN(2)/25)*Calculateur!CG124*Calculateur!CI124*VLOOKUP('Données projet'!$B$12,Paramètres!$A$1:$I$89,3,0)*0.475*44/12</f>
        <v>0</v>
      </c>
      <c r="CM124" s="21">
        <f>EXP(-LN(2)/2)*CM123+(1-EXP(-LN(2)/2))/(LN(2)/2)*CG124*CJ124*VLOOKUP('Données projet'!$B$12,Paramètres!$A$1:$I$89,3,0)*0.475*44/12</f>
        <v>0</v>
      </c>
      <c r="CN124" s="22">
        <f t="shared" si="66"/>
        <v>77.996768134189679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4.0999999999999996</v>
      </c>
      <c r="CT124" s="12">
        <f>IF('Données projet'!$A$140&gt;35,CT123+CS124-DB123,IF(A124&lt;'Données projet'!$A$140,$CQ$205^A124,IF(A124='Données projet'!$A$140,'Données projet'!$B$140,CT123+CS124-DB123)))</f>
        <v>309.10000000000008</v>
      </c>
      <c r="CU124" s="17">
        <f>CT124*VLOOKUP('Données projet'!$B$13,Paramètres!$A$1:$I$89,3,0)*VLOOKUP('Données projet'!$B$13,Paramètres!$A$1:$I$89,5,0)</f>
        <v>313.42740000000009</v>
      </c>
      <c r="CV124" s="13">
        <f t="shared" si="95"/>
        <v>73.984149011018374</v>
      </c>
      <c r="CW124" s="20">
        <f t="shared" si="67"/>
        <v>674.74178119419037</v>
      </c>
      <c r="CX124" s="59">
        <f t="shared" si="68"/>
        <v>968.07511452752374</v>
      </c>
      <c r="CY124" s="59">
        <f ca="1">AVERAGE(OFFSET($CX$3,0,0,'Données projet'!$E$13+1,1))-AVERAGE(OFFSET($H$3,0,0,'Données projet'!$E$13+1,1))</f>
        <v>407.76560346703042</v>
      </c>
      <c r="CZ124" s="59">
        <f t="shared" si="96"/>
        <v>319.35531375725202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75.668506398840705</v>
      </c>
      <c r="DG124" s="21">
        <f>EXP(-LN(2)/25)*DG123+(1-EXP(-LN(2)/25))/(LN(2)/25)*Calculateur!DB124*Calculateur!DD124*VLOOKUP('Données projet'!$B$13,Paramètres!$A$1:$I$89,3,0)*0.475*44/12</f>
        <v>0</v>
      </c>
      <c r="DH124" s="21">
        <f>EXP(-LN(2)/2)*DH123+(1-EXP(-LN(2)/2))/(LN(2)/2)*DB124*DE124*VLOOKUP('Données projet'!$B$13,Paramètres!$A$1:$I$89,3,0)*0.475*44/12</f>
        <v>0</v>
      </c>
      <c r="DI124" s="22">
        <f t="shared" si="69"/>
        <v>75.668506398840705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2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108.4824000000002</v>
      </c>
      <c r="D125" s="11">
        <f t="shared" si="86"/>
        <v>28.973137589932421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1061.060290167901</v>
      </c>
      <c r="H125" s="67">
        <f t="shared" si="56"/>
        <v>496.06839463579934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0</v>
      </c>
      <c r="O125" s="13">
        <f>N125*VLOOKUP('Données projet'!$B$9,Paramètres!$A$1:$I$89,3,0)*VLOOKUP('Données projet'!$B$9,Paramètres!$A$1:$I$89,5,0)</f>
        <v>0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101.15586831191774</v>
      </c>
      <c r="T125" s="59">
        <f t="shared" si="88"/>
        <v>346.96347336689064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6.5894708482265134</v>
      </c>
      <c r="AA125" s="21">
        <f>EXP(-LN(2)/25)*AA124+(1-EXP(-LN(2)/25))/(LN(2)/25)*Calculateur!V125*Calculateur!X125*VLOOKUP('Données projet'!$B$9,Paramètres!$A$1:$I$89,3,0)*0.475*44/12</f>
        <v>1.2866575349593796</v>
      </c>
      <c r="AB125" s="21">
        <f>EXP(-LN(2)/2)*AB124+(1-EXP(-LN(2)/2))/(LN(2)/2)*V125*Y125*VLOOKUP('Données projet'!$B$9,Paramètres!$A$1:$I$89,3,0)*0.475*44/12</f>
        <v>0</v>
      </c>
      <c r="AC125" s="22">
        <f t="shared" si="57"/>
        <v>7.8761283831858933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0</v>
      </c>
      <c r="AJ125" s="13">
        <f>AI125*VLOOKUP('Données projet'!$B$10,Paramètres!$A$1:$I$89,3,0)*VLOOKUP('Données projet'!$B$10,Paramètres!$A$1:$I$89,5,0)</f>
        <v>0</v>
      </c>
      <c r="AK125" s="13" t="e">
        <f t="shared" si="89"/>
        <v>#NUM!</v>
      </c>
      <c r="AL125" s="20" t="e">
        <f t="shared" si="58"/>
        <v>#NUM!</v>
      </c>
      <c r="AM125" s="59" t="e">
        <f t="shared" si="59"/>
        <v>#NUM!</v>
      </c>
      <c r="AN125" s="59">
        <f ca="1">AVERAGE(OFFSET($AM$3,0,0,'Données projet'!$E$10+1,1))-AVERAGE(OFFSET($H$3,0,0,'Données projet'!$E$10+1,1))</f>
        <v>101.15586831191774</v>
      </c>
      <c r="AO125" s="59">
        <f t="shared" si="90"/>
        <v>346.96347336689064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6.5894708482265134</v>
      </c>
      <c r="AV125" s="21">
        <f>EXP(-LN(2)/25)*AV124+(1-EXP(-LN(2)/25))/(LN(2)/25)*Calculateur!AQ125*Calculateur!AS125*VLOOKUP('Données projet'!$B$10,Paramètres!$A$1:$I$89,3,0)*0.475*44/12</f>
        <v>1.2866575349593796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7.8761283831858933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4.0999999999999996</v>
      </c>
      <c r="BD125" s="12">
        <f>IF('Données projet'!$A$88&gt;35,BD124+BC125-BL124,IF(A125&lt;'Données projet'!$A$88,$BA$205^A125,IF(A125='Données projet'!$A$88,'Données projet'!$B$88,BD124+BC125-BL124)))</f>
        <v>313.2000000000001</v>
      </c>
      <c r="BE125" s="13">
        <f>BD125*VLOOKUP('Données projet'!$B$11,Paramètres!$A$1:$I$89,3,0)*VLOOKUP('Données projet'!$B$11,Paramètres!$A$1:$I$89,5,0)</f>
        <v>283.38336000000004</v>
      </c>
      <c r="BF125" s="13">
        <f t="shared" si="91"/>
        <v>67.681509527314645</v>
      </c>
      <c r="BG125" s="20">
        <f t="shared" si="61"/>
        <v>611.43798109340639</v>
      </c>
      <c r="BH125" s="59">
        <f t="shared" si="62"/>
        <v>904.77131442673976</v>
      </c>
      <c r="BI125" s="59">
        <f ca="1">AVERAGE(OFFSET($BH$3,0,0,'Données projet'!$E$11+1,1))-AVERAGE(OFFSET($H$3,0,0,'Données projet'!$E$11+1,1))</f>
        <v>352.62747127358324</v>
      </c>
      <c r="BJ125" s="59">
        <f t="shared" si="92"/>
        <v>283.16932763435011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66.195572341727427</v>
      </c>
      <c r="BQ125" s="21">
        <f>EXP(-LN(2)/25)*BQ124+(1-EXP(-LN(2)/25))/(LN(2)/25)*Calculateur!BL125*Calculateur!BN125*VLOOKUP('Données projet'!$B$11,Paramètres!$A$1:$I$89,3,0)*0.475*44/12</f>
        <v>0</v>
      </c>
      <c r="BR125" s="21">
        <f>EXP(-LN(2)/2)*BR124+(1-EXP(-LN(2)/2))/(LN(2)/2)*BL125*BO125*VLOOKUP('Données projet'!$B$11,Paramètres!$A$1:$I$89,3,0)*0.475*44/12</f>
        <v>0</v>
      </c>
      <c r="BS125" s="22">
        <f t="shared" si="63"/>
        <v>66.195572341727427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4.0999999999999996</v>
      </c>
      <c r="BY125" s="12">
        <f>IF('Données projet'!$A$114&gt;35,BY124+BX125-CG124,IF(A125&lt;'Données projet'!$A$114,$BV$205^A125,IF(A125='Données projet'!$A$114,'Données projet'!$B$114,BY124+BX125-CG124)))</f>
        <v>313.2000000000001</v>
      </c>
      <c r="BZ125" s="13">
        <f>BY125*VLOOKUP('Données projet'!$B$12,Paramètres!$A$1:$I$89,3,0)*VLOOKUP('Données projet'!$B$12,Paramètres!$A$1:$I$89,5,0)</f>
        <v>327.35664000000014</v>
      </c>
      <c r="CA125" s="13">
        <f t="shared" si="93"/>
        <v>76.882014947633792</v>
      </c>
      <c r="CB125" s="20">
        <f t="shared" si="64"/>
        <v>704.04899070046247</v>
      </c>
      <c r="CC125" s="59">
        <f t="shared" si="65"/>
        <v>997.38232403379584</v>
      </c>
      <c r="CD125" s="59">
        <f ca="1">AVERAGE(OFFSET($CC$3,0,0,'Données projet'!$E$12+1,1))-AVERAGE(OFFSET($H$3,0,0,'Données projet'!$E$12+1,1))</f>
        <v>423.49657671419374</v>
      </c>
      <c r="CE125" s="59">
        <f t="shared" si="94"/>
        <v>329.6783569381081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76.467299084409305</v>
      </c>
      <c r="CL125" s="21">
        <f>EXP(-LN(2)/25)*CL124+(1-EXP(-LN(2)/25))/(LN(2)/25)*Calculateur!CG125*Calculateur!CI125*VLOOKUP('Données projet'!$B$12,Paramètres!$A$1:$I$89,3,0)*0.475*44/12</f>
        <v>0</v>
      </c>
      <c r="CM125" s="21">
        <f>EXP(-LN(2)/2)*CM124+(1-EXP(-LN(2)/2))/(LN(2)/2)*CG125*CJ125*VLOOKUP('Données projet'!$B$12,Paramètres!$A$1:$I$89,3,0)*0.475*44/12</f>
        <v>0</v>
      </c>
      <c r="CN125" s="22">
        <f t="shared" si="66"/>
        <v>76.467299084409305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4.0999999999999996</v>
      </c>
      <c r="CT125" s="12">
        <f>IF('Données projet'!$A$140&gt;35,CT124+CS125-DB124,IF(A125&lt;'Données projet'!$A$140,$CQ$205^A125,IF(A125='Données projet'!$A$140,'Données projet'!$B$140,CT124+CS125-DB124)))</f>
        <v>313.2000000000001</v>
      </c>
      <c r="CU125" s="17">
        <f>CT125*VLOOKUP('Données projet'!$B$13,Paramètres!$A$1:$I$89,3,0)*VLOOKUP('Données projet'!$B$13,Paramètres!$A$1:$I$89,5,0)</f>
        <v>317.58480000000014</v>
      </c>
      <c r="CV125" s="13">
        <f t="shared" si="95"/>
        <v>74.85060296671989</v>
      </c>
      <c r="CW125" s="20">
        <f t="shared" si="67"/>
        <v>683.49166016703748</v>
      </c>
      <c r="CX125" s="59">
        <f t="shared" si="68"/>
        <v>976.82499350037074</v>
      </c>
      <c r="CY125" s="59">
        <f ca="1">AVERAGE(OFFSET($CX$3,0,0,'Données projet'!$E$13+1,1))-AVERAGE(OFFSET($H$3,0,0,'Données projet'!$E$13+1,1))</f>
        <v>407.76560346703042</v>
      </c>
      <c r="CZ125" s="59">
        <f t="shared" si="96"/>
        <v>319.35531375725202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74.184693141591083</v>
      </c>
      <c r="DG125" s="21">
        <f>EXP(-LN(2)/25)*DG124+(1-EXP(-LN(2)/25))/(LN(2)/25)*Calculateur!DB125*Calculateur!DD125*VLOOKUP('Données projet'!$B$13,Paramètres!$A$1:$I$89,3,0)*0.475*44/12</f>
        <v>0</v>
      </c>
      <c r="DH125" s="21">
        <f>EXP(-LN(2)/2)*DH124+(1-EXP(-LN(2)/2))/(LN(2)/2)*DB125*DE125*VLOOKUP('Données projet'!$B$13,Paramètres!$A$1:$I$89,3,0)*0.475*44/12</f>
        <v>0</v>
      </c>
      <c r="DI125" s="22">
        <f t="shared" si="69"/>
        <v>74.184693141591083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2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109.3716000000002</v>
      </c>
      <c r="D126" s="11">
        <f t="shared" si="86"/>
        <v>29.182879300506769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1069.5433489863697</v>
      </c>
      <c r="H126" s="67">
        <f t="shared" si="56"/>
        <v>497.98238478171629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0</v>
      </c>
      <c r="O126" s="13">
        <f>N126*VLOOKUP('Données projet'!$B$9,Paramètres!$A$1:$I$89,3,0)*VLOOKUP('Données projet'!$B$9,Paramètres!$A$1:$I$89,5,0)</f>
        <v>0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101.15586831191774</v>
      </c>
      <c r="T126" s="59">
        <f t="shared" si="88"/>
        <v>346.96347336689064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6.4602553440731478</v>
      </c>
      <c r="AA126" s="21">
        <f>EXP(-LN(2)/25)*AA125+(1-EXP(-LN(2)/25))/(LN(2)/25)*Calculateur!V126*Calculateur!X126*VLOOKUP('Données projet'!$B$9,Paramètres!$A$1:$I$89,3,0)*0.475*44/12</f>
        <v>1.2514738170035362</v>
      </c>
      <c r="AB126" s="21">
        <f>EXP(-LN(2)/2)*AB125+(1-EXP(-LN(2)/2))/(LN(2)/2)*V126*Y126*VLOOKUP('Données projet'!$B$9,Paramètres!$A$1:$I$89,3,0)*0.475*44/12</f>
        <v>0</v>
      </c>
      <c r="AC126" s="22">
        <f t="shared" si="57"/>
        <v>7.7117291610766845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0</v>
      </c>
      <c r="AJ126" s="13">
        <f>AI126*VLOOKUP('Données projet'!$B$10,Paramètres!$A$1:$I$89,3,0)*VLOOKUP('Données projet'!$B$10,Paramètres!$A$1:$I$89,5,0)</f>
        <v>0</v>
      </c>
      <c r="AK126" s="13" t="e">
        <f t="shared" si="89"/>
        <v>#NUM!</v>
      </c>
      <c r="AL126" s="20" t="e">
        <f t="shared" si="58"/>
        <v>#NUM!</v>
      </c>
      <c r="AM126" s="59" t="e">
        <f t="shared" si="59"/>
        <v>#NUM!</v>
      </c>
      <c r="AN126" s="59">
        <f ca="1">AVERAGE(OFFSET($AM$3,0,0,'Données projet'!$E$10+1,1))-AVERAGE(OFFSET($H$3,0,0,'Données projet'!$E$10+1,1))</f>
        <v>101.15586831191774</v>
      </c>
      <c r="AO126" s="59">
        <f t="shared" si="90"/>
        <v>346.96347336689064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6.4602553440731478</v>
      </c>
      <c r="AV126" s="21">
        <f>EXP(-LN(2)/25)*AV125+(1-EXP(-LN(2)/25))/(LN(2)/25)*Calculateur!AQ126*Calculateur!AS126*VLOOKUP('Données projet'!$B$10,Paramètres!$A$1:$I$89,3,0)*0.475*44/12</f>
        <v>1.2514738170035362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7.7117291610766845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4.0999999999999996</v>
      </c>
      <c r="BD126" s="12">
        <f>IF('Données projet'!$A$88&gt;35,BD125+BC126-BL125,IF(A126&lt;'Données projet'!$A$88,$BA$205^A126,IF(A126='Données projet'!$A$88,'Données projet'!$B$88,BD125+BC126-BL125)))</f>
        <v>317.30000000000013</v>
      </c>
      <c r="BE126" s="13">
        <f>BD126*VLOOKUP('Données projet'!$B$11,Paramètres!$A$1:$I$89,3,0)*VLOOKUP('Données projet'!$B$11,Paramètres!$A$1:$I$89,5,0)</f>
        <v>287.09304000000009</v>
      </c>
      <c r="BF126" s="13">
        <f t="shared" si="91"/>
        <v>68.463782712400615</v>
      </c>
      <c r="BG126" s="20">
        <f t="shared" si="61"/>
        <v>619.26146622409794</v>
      </c>
      <c r="BH126" s="59">
        <f t="shared" si="62"/>
        <v>912.59479955743132</v>
      </c>
      <c r="BI126" s="59">
        <f ca="1">AVERAGE(OFFSET($BH$3,0,0,'Données projet'!$E$11+1,1))-AVERAGE(OFFSET($H$3,0,0,'Données projet'!$E$11+1,1))</f>
        <v>352.62747127358324</v>
      </c>
      <c r="BJ126" s="59">
        <f t="shared" si="92"/>
        <v>283.16932763435011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64.897517543418545</v>
      </c>
      <c r="BQ126" s="21">
        <f>EXP(-LN(2)/25)*BQ125+(1-EXP(-LN(2)/25))/(LN(2)/25)*Calculateur!BL126*Calculateur!BN126*VLOOKUP('Données projet'!$B$11,Paramètres!$A$1:$I$89,3,0)*0.475*44/12</f>
        <v>0</v>
      </c>
      <c r="BR126" s="21">
        <f>EXP(-LN(2)/2)*BR125+(1-EXP(-LN(2)/2))/(LN(2)/2)*BL126*BO126*VLOOKUP('Données projet'!$B$11,Paramètres!$A$1:$I$89,3,0)*0.475*44/12</f>
        <v>0</v>
      </c>
      <c r="BS126" s="22">
        <f t="shared" si="63"/>
        <v>64.897517543418545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4.0999999999999996</v>
      </c>
      <c r="BY126" s="12">
        <f>IF('Données projet'!$A$114&gt;35,BY125+BX126-CG125,IF(A126&lt;'Données projet'!$A$114,$BV$205^A126,IF(A126='Données projet'!$A$114,'Données projet'!$B$114,BY125+BX126-CG125)))</f>
        <v>317.30000000000013</v>
      </c>
      <c r="BZ126" s="13">
        <f>BY126*VLOOKUP('Données projet'!$B$12,Paramètres!$A$1:$I$89,3,0)*VLOOKUP('Données projet'!$B$12,Paramètres!$A$1:$I$89,5,0)</f>
        <v>331.64196000000015</v>
      </c>
      <c r="CA126" s="13">
        <f t="shared" si="93"/>
        <v>77.770628974255587</v>
      </c>
      <c r="CB126" s="20">
        <f t="shared" si="64"/>
        <v>713.06025913016208</v>
      </c>
      <c r="CC126" s="59">
        <f t="shared" si="65"/>
        <v>1006.3935924634955</v>
      </c>
      <c r="CD126" s="59">
        <f ca="1">AVERAGE(OFFSET($CC$3,0,0,'Données projet'!$E$12+1,1))-AVERAGE(OFFSET($H$3,0,0,'Données projet'!$E$12+1,1))</f>
        <v>423.49657671419374</v>
      </c>
      <c r="CE126" s="59">
        <f t="shared" si="94"/>
        <v>329.6783569381081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74.967821989811114</v>
      </c>
      <c r="CL126" s="21">
        <f>EXP(-LN(2)/25)*CL125+(1-EXP(-LN(2)/25))/(LN(2)/25)*Calculateur!CG126*Calculateur!CI126*VLOOKUP('Données projet'!$B$12,Paramètres!$A$1:$I$89,3,0)*0.475*44/12</f>
        <v>0</v>
      </c>
      <c r="CM126" s="21">
        <f>EXP(-LN(2)/2)*CM125+(1-EXP(-LN(2)/2))/(LN(2)/2)*CG126*CJ126*VLOOKUP('Données projet'!$B$12,Paramètres!$A$1:$I$89,3,0)*0.475*44/12</f>
        <v>0</v>
      </c>
      <c r="CN126" s="22">
        <f t="shared" si="66"/>
        <v>74.967821989811114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4.0999999999999996</v>
      </c>
      <c r="CT126" s="12">
        <f>IF('Données projet'!$A$140&gt;35,CT125+CS126-DB125,IF(A126&lt;'Données projet'!$A$140,$CQ$205^A126,IF(A126='Données projet'!$A$140,'Données projet'!$B$140,CT125+CS126-DB125)))</f>
        <v>317.30000000000013</v>
      </c>
      <c r="CU126" s="17">
        <f>CT126*VLOOKUP('Données projet'!$B$13,Paramètres!$A$1:$I$89,3,0)*VLOOKUP('Données projet'!$B$13,Paramètres!$A$1:$I$89,5,0)</f>
        <v>321.74220000000014</v>
      </c>
      <c r="CV126" s="13">
        <f t="shared" si="95"/>
        <v>75.7157376245802</v>
      </c>
      <c r="CW126" s="20">
        <f t="shared" si="67"/>
        <v>692.23924136281073</v>
      </c>
      <c r="CX126" s="59">
        <f t="shared" si="68"/>
        <v>985.5725746961441</v>
      </c>
      <c r="CY126" s="59">
        <f ca="1">AVERAGE(OFFSET($CX$3,0,0,'Données projet'!$E$13+1,1))-AVERAGE(OFFSET($H$3,0,0,'Données projet'!$E$13+1,1))</f>
        <v>407.76560346703042</v>
      </c>
      <c r="CZ126" s="59">
        <f t="shared" si="96"/>
        <v>319.35531375725202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projet'!$B$13,Paramètres!$A$1:$I$89,3,0)*0.475*44/12</f>
        <v>72.729976557279414</v>
      </c>
      <c r="DG126" s="21">
        <f>EXP(-LN(2)/25)*DG125+(1-EXP(-LN(2)/25))/(LN(2)/25)*Calculateur!DB126*Calculateur!DD126*VLOOKUP('Données projet'!$B$13,Paramètres!$A$1:$I$89,3,0)*0.475*44/12</f>
        <v>0</v>
      </c>
      <c r="DH126" s="21">
        <f>EXP(-LN(2)/2)*DH125+(1-EXP(-LN(2)/2))/(LN(2)/2)*DB126*DE126*VLOOKUP('Données projet'!$B$13,Paramètres!$A$1:$I$89,3,0)*0.475*44/12</f>
        <v>0</v>
      </c>
      <c r="DI126" s="22">
        <f t="shared" si="69"/>
        <v>72.729976557279414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2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110.2608000000002</v>
      </c>
      <c r="D127" s="11">
        <f t="shared" si="86"/>
        <v>29.392422615380852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1078.0248763292573</v>
      </c>
      <c r="H127" s="67">
        <f t="shared" si="56"/>
        <v>499.89602938845536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0</v>
      </c>
      <c r="O127" s="13">
        <f>N127*VLOOKUP('Données projet'!$B$9,Paramètres!$A$1:$I$89,3,0)*VLOOKUP('Données projet'!$B$9,Paramètres!$A$1:$I$89,5,0)</f>
        <v>0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101.15586831191774</v>
      </c>
      <c r="T127" s="59">
        <f t="shared" si="88"/>
        <v>346.96347336689064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6.3335736771425548</v>
      </c>
      <c r="AA127" s="21">
        <f>EXP(-LN(2)/25)*AA126+(1-EXP(-LN(2)/25))/(LN(2)/25)*Calculateur!V127*Calculateur!X127*VLOOKUP('Données projet'!$B$9,Paramètres!$A$1:$I$89,3,0)*0.475*44/12</f>
        <v>1.2172521996654269</v>
      </c>
      <c r="AB127" s="21">
        <f>EXP(-LN(2)/2)*AB126+(1-EXP(-LN(2)/2))/(LN(2)/2)*V127*Y127*VLOOKUP('Données projet'!$B$9,Paramètres!$A$1:$I$89,3,0)*0.475*44/12</f>
        <v>0</v>
      </c>
      <c r="AC127" s="22">
        <f t="shared" si="57"/>
        <v>7.5508258768079815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0</v>
      </c>
      <c r="AJ127" s="13">
        <f>AI127*VLOOKUP('Données projet'!$B$10,Paramètres!$A$1:$I$89,3,0)*VLOOKUP('Données projet'!$B$10,Paramètres!$A$1:$I$89,5,0)</f>
        <v>0</v>
      </c>
      <c r="AK127" s="13" t="e">
        <f t="shared" si="89"/>
        <v>#NUM!</v>
      </c>
      <c r="AL127" s="20" t="e">
        <f t="shared" si="58"/>
        <v>#NUM!</v>
      </c>
      <c r="AM127" s="59" t="e">
        <f t="shared" si="59"/>
        <v>#NUM!</v>
      </c>
      <c r="AN127" s="59">
        <f ca="1">AVERAGE(OFFSET($AM$3,0,0,'Données projet'!$E$10+1,1))-AVERAGE(OFFSET($H$3,0,0,'Données projet'!$E$10+1,1))</f>
        <v>101.15586831191774</v>
      </c>
      <c r="AO127" s="59">
        <f t="shared" si="90"/>
        <v>346.96347336689064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6.3335736771425548</v>
      </c>
      <c r="AV127" s="21">
        <f>EXP(-LN(2)/25)*AV126+(1-EXP(-LN(2)/25))/(LN(2)/25)*Calculateur!AQ127*Calculateur!AS127*VLOOKUP('Données projet'!$B$10,Paramètres!$A$1:$I$89,3,0)*0.475*44/12</f>
        <v>1.2172521996654269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7.5508258768079815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4.0999999999999996</v>
      </c>
      <c r="BD127" s="12">
        <f>IF('Données projet'!$A$88&gt;35,BD126+BC127-BL126,IF(A127&lt;'Données projet'!$A$88,$BA$205^A127,IF(A127='Données projet'!$A$88,'Données projet'!$B$88,BD126+BC127-BL126)))</f>
        <v>321.40000000000015</v>
      </c>
      <c r="BE127" s="13">
        <f>BD127*VLOOKUP('Données projet'!$B$11,Paramètres!$A$1:$I$89,3,0)*VLOOKUP('Données projet'!$B$11,Paramètres!$A$1:$I$89,5,0)</f>
        <v>290.80272000000014</v>
      </c>
      <c r="BF127" s="13">
        <f t="shared" si="91"/>
        <v>69.244880157128961</v>
      </c>
      <c r="BG127" s="20">
        <f t="shared" si="61"/>
        <v>627.08290360699982</v>
      </c>
      <c r="BH127" s="59">
        <f t="shared" si="62"/>
        <v>920.41623694033319</v>
      </c>
      <c r="BI127" s="59">
        <f ca="1">AVERAGE(OFFSET($BH$3,0,0,'Données projet'!$E$11+1,1))-AVERAGE(OFFSET($H$3,0,0,'Données projet'!$E$11+1,1))</f>
        <v>352.62747127358324</v>
      </c>
      <c r="BJ127" s="59">
        <f t="shared" si="92"/>
        <v>283.16932763435011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63.624916807969257</v>
      </c>
      <c r="BQ127" s="21">
        <f>EXP(-LN(2)/25)*BQ126+(1-EXP(-LN(2)/25))/(LN(2)/25)*Calculateur!BL127*Calculateur!BN127*VLOOKUP('Données projet'!$B$11,Paramètres!$A$1:$I$89,3,0)*0.475*44/12</f>
        <v>0</v>
      </c>
      <c r="BR127" s="21">
        <f>EXP(-LN(2)/2)*BR126+(1-EXP(-LN(2)/2))/(LN(2)/2)*BL127*BO127*VLOOKUP('Données projet'!$B$11,Paramètres!$A$1:$I$89,3,0)*0.475*44/12</f>
        <v>0</v>
      </c>
      <c r="BS127" s="22">
        <f t="shared" si="63"/>
        <v>63.624916807969257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4.0999999999999996</v>
      </c>
      <c r="BY127" s="12">
        <f>IF('Données projet'!$A$114&gt;35,BY126+BX127-CG126,IF(A127&lt;'Données projet'!$A$114,$BV$205^A127,IF(A127='Données projet'!$A$114,'Données projet'!$B$114,BY126+BX127-CG126)))</f>
        <v>321.40000000000015</v>
      </c>
      <c r="BZ127" s="13">
        <f>BY127*VLOOKUP('Données projet'!$B$12,Paramètres!$A$1:$I$89,3,0)*VLOOKUP('Données projet'!$B$12,Paramètres!$A$1:$I$89,5,0)</f>
        <v>335.92728000000017</v>
      </c>
      <c r="CA127" s="13">
        <f t="shared" si="93"/>
        <v>78.657907432442627</v>
      </c>
      <c r="CB127" s="20">
        <f t="shared" si="64"/>
        <v>722.06920144483786</v>
      </c>
      <c r="CC127" s="59">
        <f t="shared" si="65"/>
        <v>1015.4025347781712</v>
      </c>
      <c r="CD127" s="59">
        <f ca="1">AVERAGE(OFFSET($CC$3,0,0,'Données projet'!$E$12+1,1))-AVERAGE(OFFSET($H$3,0,0,'Données projet'!$E$12+1,1))</f>
        <v>423.49657671419374</v>
      </c>
      <c r="CE127" s="59">
        <f t="shared" si="94"/>
        <v>329.6783569381081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73.497748726447284</v>
      </c>
      <c r="CL127" s="21">
        <f>EXP(-LN(2)/25)*CL126+(1-EXP(-LN(2)/25))/(LN(2)/25)*Calculateur!CG127*Calculateur!CI127*VLOOKUP('Données projet'!$B$12,Paramètres!$A$1:$I$89,3,0)*0.475*44/12</f>
        <v>0</v>
      </c>
      <c r="CM127" s="21">
        <f>EXP(-LN(2)/2)*CM126+(1-EXP(-LN(2)/2))/(LN(2)/2)*CG127*CJ127*VLOOKUP('Données projet'!$B$12,Paramètres!$A$1:$I$89,3,0)*0.475*44/12</f>
        <v>0</v>
      </c>
      <c r="CN127" s="22">
        <f t="shared" si="66"/>
        <v>73.497748726447284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4.0999999999999996</v>
      </c>
      <c r="CT127" s="12">
        <f>IF('Données projet'!$A$140&gt;35,CT126+CS127-DB126,IF(A127&lt;'Données projet'!$A$140,$CQ$205^A127,IF(A127='Données projet'!$A$140,'Données projet'!$B$140,CT126+CS127-DB126)))</f>
        <v>321.40000000000015</v>
      </c>
      <c r="CU127" s="17">
        <f>CT127*VLOOKUP('Données projet'!$B$13,Paramètres!$A$1:$I$89,3,0)*VLOOKUP('Données projet'!$B$13,Paramètres!$A$1:$I$89,5,0)</f>
        <v>325.89960000000019</v>
      </c>
      <c r="CV127" s="13">
        <f t="shared" si="95"/>
        <v>76.579572003009503</v>
      </c>
      <c r="CW127" s="20">
        <f t="shared" si="67"/>
        <v>700.98455790524179</v>
      </c>
      <c r="CX127" s="59">
        <f t="shared" si="68"/>
        <v>994.31789123857516</v>
      </c>
      <c r="CY127" s="59">
        <f ca="1">AVERAGE(OFFSET($CX$3,0,0,'Données projet'!$E$13+1,1))-AVERAGE(OFFSET($H$3,0,0,'Données projet'!$E$13+1,1))</f>
        <v>407.76560346703042</v>
      </c>
      <c r="CZ127" s="59">
        <f t="shared" si="96"/>
        <v>319.35531375725202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>
        <f>EXP(-LN(2)/35)*DF126+(1-EXP(-LN(2)/35))/(LN(2)/35)*DB127*DC127*VLOOKUP('Données projet'!$B$13,Paramètres!$A$1:$I$89,3,0)*0.475*44/12</f>
        <v>71.303786077896589</v>
      </c>
      <c r="DG127" s="21">
        <f>EXP(-LN(2)/25)*DG126+(1-EXP(-LN(2)/25))/(LN(2)/25)*Calculateur!DB127*Calculateur!DD127*VLOOKUP('Données projet'!$B$13,Paramètres!$A$1:$I$89,3,0)*0.475*44/12</f>
        <v>0</v>
      </c>
      <c r="DH127" s="21">
        <f>EXP(-LN(2)/2)*DH126+(1-EXP(-LN(2)/2))/(LN(2)/2)*DB127*DE127*VLOOKUP('Données projet'!$B$13,Paramètres!$A$1:$I$89,3,0)*0.475*44/12</f>
        <v>0</v>
      </c>
      <c r="DI127" s="22">
        <f t="shared" si="69"/>
        <v>71.303786077896589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2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111.1500000000002</v>
      </c>
      <c r="D128" s="11">
        <f t="shared" si="86"/>
        <v>29.601769319956595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1086.5048859786139</v>
      </c>
      <c r="H128" s="67">
        <f t="shared" si="56"/>
        <v>501.80933156559138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0</v>
      </c>
      <c r="O128" s="13">
        <f>N128*VLOOKUP('Données projet'!$B$9,Paramètres!$A$1:$I$89,3,0)*VLOOKUP('Données projet'!$B$9,Paramètres!$A$1:$I$89,5,0)</f>
        <v>0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101.15586831191774</v>
      </c>
      <c r="T128" s="59">
        <f t="shared" si="88"/>
        <v>346.96347336689064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6.2093761604322832</v>
      </c>
      <c r="AA128" s="21">
        <f>EXP(-LN(2)/25)*AA127+(1-EXP(-LN(2)/25))/(LN(2)/25)*Calculateur!V128*Calculateur!X128*VLOOKUP('Données projet'!$B$9,Paramètres!$A$1:$I$89,3,0)*0.475*44/12</f>
        <v>1.1839663742530646</v>
      </c>
      <c r="AB128" s="21">
        <f>EXP(-LN(2)/2)*AB127+(1-EXP(-LN(2)/2))/(LN(2)/2)*V128*Y128*VLOOKUP('Données projet'!$B$9,Paramètres!$A$1:$I$89,3,0)*0.475*44/12</f>
        <v>0</v>
      </c>
      <c r="AC128" s="22">
        <f t="shared" si="57"/>
        <v>7.3933425346853481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0</v>
      </c>
      <c r="AJ128" s="13">
        <f>AI128*VLOOKUP('Données projet'!$B$10,Paramètres!$A$1:$I$89,3,0)*VLOOKUP('Données projet'!$B$10,Paramètres!$A$1:$I$89,5,0)</f>
        <v>0</v>
      </c>
      <c r="AK128" s="13" t="e">
        <f t="shared" si="89"/>
        <v>#NUM!</v>
      </c>
      <c r="AL128" s="20" t="e">
        <f t="shared" si="58"/>
        <v>#NUM!</v>
      </c>
      <c r="AM128" s="59" t="e">
        <f t="shared" si="59"/>
        <v>#NUM!</v>
      </c>
      <c r="AN128" s="59">
        <f ca="1">AVERAGE(OFFSET($AM$3,0,0,'Données projet'!$E$10+1,1))-AVERAGE(OFFSET($H$3,0,0,'Données projet'!$E$10+1,1))</f>
        <v>101.15586831191774</v>
      </c>
      <c r="AO128" s="59">
        <f t="shared" si="90"/>
        <v>346.96347336689064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6.2093761604322832</v>
      </c>
      <c r="AV128" s="21">
        <f>EXP(-LN(2)/25)*AV127+(1-EXP(-LN(2)/25))/(LN(2)/25)*Calculateur!AQ128*Calculateur!AS128*VLOOKUP('Données projet'!$B$10,Paramètres!$A$1:$I$89,3,0)*0.475*44/12</f>
        <v>1.1839663742530646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7.3933425346853481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4.0999999999999996</v>
      </c>
      <c r="BD128" s="12">
        <f>IF('Données projet'!$A$88&gt;35,BD127+BC128-BL127,IF(A128&lt;'Données projet'!$A$88,$BA$205^A128,IF(A128='Données projet'!$A$88,'Données projet'!$B$88,BD127+BC128-BL127)))</f>
        <v>325.50000000000017</v>
      </c>
      <c r="BE128" s="13">
        <f>BD128*VLOOKUP('Données projet'!$B$11,Paramètres!$A$1:$I$89,3,0)*VLOOKUP('Données projet'!$B$11,Paramètres!$A$1:$I$89,5,0)</f>
        <v>294.51240000000013</v>
      </c>
      <c r="BF128" s="13">
        <f t="shared" si="91"/>
        <v>70.024818594373571</v>
      </c>
      <c r="BG128" s="20">
        <f t="shared" si="61"/>
        <v>634.90232238520082</v>
      </c>
      <c r="BH128" s="59">
        <f t="shared" si="62"/>
        <v>928.23565571853419</v>
      </c>
      <c r="BI128" s="59">
        <f ca="1">AVERAGE(OFFSET($BH$3,0,0,'Données projet'!$E$11+1,1))-AVERAGE(OFFSET($H$3,0,0,'Données projet'!$E$11+1,1))</f>
        <v>352.62747127358324</v>
      </c>
      <c r="BJ128" s="59">
        <f t="shared" si="92"/>
        <v>283.16932763435011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62.377270996732321</v>
      </c>
      <c r="BQ128" s="21">
        <f>EXP(-LN(2)/25)*BQ127+(1-EXP(-LN(2)/25))/(LN(2)/25)*Calculateur!BL128*Calculateur!BN128*VLOOKUP('Données projet'!$B$11,Paramètres!$A$1:$I$89,3,0)*0.475*44/12</f>
        <v>0</v>
      </c>
      <c r="BR128" s="21">
        <f>EXP(-LN(2)/2)*BR127+(1-EXP(-LN(2)/2))/(LN(2)/2)*BL128*BO128*VLOOKUP('Données projet'!$B$11,Paramètres!$A$1:$I$89,3,0)*0.475*44/12</f>
        <v>0</v>
      </c>
      <c r="BS128" s="22">
        <f t="shared" si="63"/>
        <v>62.377270996732321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4.0999999999999996</v>
      </c>
      <c r="BY128" s="12">
        <f>IF('Données projet'!$A$114&gt;35,BY127+BX128-CG127,IF(A128&lt;'Données projet'!$A$114,$BV$205^A128,IF(A128='Données projet'!$A$114,'Données projet'!$B$114,BY127+BX128-CG127)))</f>
        <v>325.50000000000017</v>
      </c>
      <c r="BZ128" s="13">
        <f>BY128*VLOOKUP('Données projet'!$B$12,Paramètres!$A$1:$I$89,3,0)*VLOOKUP('Données projet'!$B$12,Paramètres!$A$1:$I$89,5,0)</f>
        <v>340.21260000000018</v>
      </c>
      <c r="CA128" s="13">
        <f t="shared" si="93"/>
        <v>79.543869329706098</v>
      </c>
      <c r="CB128" s="20">
        <f t="shared" si="64"/>
        <v>731.07585074923838</v>
      </c>
      <c r="CC128" s="59">
        <f t="shared" si="65"/>
        <v>1024.4091840825718</v>
      </c>
      <c r="CD128" s="59">
        <f ca="1">AVERAGE(OFFSET($CC$3,0,0,'Données projet'!$E$12+1,1))-AVERAGE(OFFSET($H$3,0,0,'Données projet'!$E$12+1,1))</f>
        <v>423.49657671419374</v>
      </c>
      <c r="CE128" s="59">
        <f t="shared" si="94"/>
        <v>329.6783569381081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72.056502703121865</v>
      </c>
      <c r="CL128" s="21">
        <f>EXP(-LN(2)/25)*CL127+(1-EXP(-LN(2)/25))/(LN(2)/25)*Calculateur!CG128*Calculateur!CI128*VLOOKUP('Données projet'!$B$12,Paramètres!$A$1:$I$89,3,0)*0.475*44/12</f>
        <v>0</v>
      </c>
      <c r="CM128" s="21">
        <f>EXP(-LN(2)/2)*CM127+(1-EXP(-LN(2)/2))/(LN(2)/2)*CG128*CJ128*VLOOKUP('Données projet'!$B$12,Paramètres!$A$1:$I$89,3,0)*0.475*44/12</f>
        <v>0</v>
      </c>
      <c r="CN128" s="22">
        <f t="shared" si="66"/>
        <v>72.056502703121865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4.0999999999999996</v>
      </c>
      <c r="CT128" s="12">
        <f>IF('Données projet'!$A$140&gt;35,CT127+CS128-DB127,IF(A128&lt;'Données projet'!$A$140,$CQ$205^A128,IF(A128='Données projet'!$A$140,'Données projet'!$B$140,CT127+CS128-DB127)))</f>
        <v>325.50000000000017</v>
      </c>
      <c r="CU128" s="17">
        <f>CT128*VLOOKUP('Données projet'!$B$13,Paramètres!$A$1:$I$89,3,0)*VLOOKUP('Données projet'!$B$13,Paramètres!$A$1:$I$89,5,0)</f>
        <v>330.05700000000019</v>
      </c>
      <c r="CV128" s="13">
        <f t="shared" si="95"/>
        <v>77.442124607293778</v>
      </c>
      <c r="CW128" s="20">
        <f t="shared" si="67"/>
        <v>709.72764202437031</v>
      </c>
      <c r="CX128" s="59">
        <f t="shared" si="68"/>
        <v>1003.0609753577037</v>
      </c>
      <c r="CY128" s="59">
        <f ca="1">AVERAGE(OFFSET($CX$3,0,0,'Données projet'!$E$13+1,1))-AVERAGE(OFFSET($H$3,0,0,'Données projet'!$E$13+1,1))</f>
        <v>407.76560346703042</v>
      </c>
      <c r="CZ128" s="59">
        <f t="shared" si="96"/>
        <v>319.35531375725202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projet'!$B$13,Paramètres!$A$1:$I$89,3,0)*0.475*44/12</f>
        <v>69.905562323924158</v>
      </c>
      <c r="DG128" s="21">
        <f>EXP(-LN(2)/25)*DG127+(1-EXP(-LN(2)/25))/(LN(2)/25)*Calculateur!DB128*Calculateur!DD128*VLOOKUP('Données projet'!$B$13,Paramètres!$A$1:$I$89,3,0)*0.475*44/12</f>
        <v>0</v>
      </c>
      <c r="DH128" s="21">
        <f>EXP(-LN(2)/2)*DH127+(1-EXP(-LN(2)/2))/(LN(2)/2)*DB128*DE128*VLOOKUP('Données projet'!$B$13,Paramètres!$A$1:$I$89,3,0)*0.475*44/12</f>
        <v>0</v>
      </c>
      <c r="DI128" s="22">
        <f t="shared" si="69"/>
        <v>69.905562323924158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2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112.03920000000021</v>
      </c>
      <c r="D129" s="11">
        <f t="shared" si="86"/>
        <v>29.810921169420254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1094.9833914832457</v>
      </c>
      <c r="H129" s="67">
        <f t="shared" si="56"/>
        <v>503.72229437007394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0</v>
      </c>
      <c r="O129" s="13">
        <f>N129*VLOOKUP('Données projet'!$B$9,Paramètres!$A$1:$I$89,3,0)*VLOOKUP('Données projet'!$B$9,Paramètres!$A$1:$I$89,5,0)</f>
        <v>0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101.15586831191774</v>
      </c>
      <c r="T129" s="59">
        <f t="shared" si="88"/>
        <v>346.96347336689064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6.0876140812716946</v>
      </c>
      <c r="AA129" s="21">
        <f>EXP(-LN(2)/25)*AA128+(1-EXP(-LN(2)/25))/(LN(2)/25)*Calculateur!V129*Calculateur!X129*VLOOKUP('Données projet'!$B$9,Paramètres!$A$1:$I$89,3,0)*0.475*44/12</f>
        <v>1.1515907514870289</v>
      </c>
      <c r="AB129" s="21">
        <f>EXP(-LN(2)/2)*AB128+(1-EXP(-LN(2)/2))/(LN(2)/2)*V129*Y129*VLOOKUP('Données projet'!$B$9,Paramètres!$A$1:$I$89,3,0)*0.475*44/12</f>
        <v>0</v>
      </c>
      <c r="AC129" s="22">
        <f t="shared" si="57"/>
        <v>7.2392048327587233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0</v>
      </c>
      <c r="AJ129" s="13">
        <f>AI129*VLOOKUP('Données projet'!$B$10,Paramètres!$A$1:$I$89,3,0)*VLOOKUP('Données projet'!$B$10,Paramètres!$A$1:$I$89,5,0)</f>
        <v>0</v>
      </c>
      <c r="AK129" s="13" t="e">
        <f t="shared" si="89"/>
        <v>#NUM!</v>
      </c>
      <c r="AL129" s="20" t="e">
        <f t="shared" si="58"/>
        <v>#NUM!</v>
      </c>
      <c r="AM129" s="59" t="e">
        <f t="shared" si="59"/>
        <v>#NUM!</v>
      </c>
      <c r="AN129" s="59">
        <f ca="1">AVERAGE(OFFSET($AM$3,0,0,'Données projet'!$E$10+1,1))-AVERAGE(OFFSET($H$3,0,0,'Données projet'!$E$10+1,1))</f>
        <v>101.15586831191774</v>
      </c>
      <c r="AO129" s="59">
        <f t="shared" si="90"/>
        <v>346.96347336689064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6.0876140812716946</v>
      </c>
      <c r="AV129" s="21">
        <f>EXP(-LN(2)/25)*AV128+(1-EXP(-LN(2)/25))/(LN(2)/25)*Calculateur!AQ129*Calculateur!AS129*VLOOKUP('Données projet'!$B$10,Paramètres!$A$1:$I$89,3,0)*0.475*44/12</f>
        <v>1.1515907514870289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7.2392048327587233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4.0999999999999996</v>
      </c>
      <c r="BD129" s="12">
        <f>IF('Données projet'!$A$88&gt;35,BD128+BC129-BL128,IF(A129&lt;'Données projet'!$A$88,$BA$205^A129,IF(A129='Données projet'!$A$88,'Données projet'!$B$88,BD128+BC129-BL128)))</f>
        <v>329.60000000000019</v>
      </c>
      <c r="BE129" s="13">
        <f>BD129*VLOOKUP('Données projet'!$B$11,Paramètres!$A$1:$I$89,3,0)*VLOOKUP('Données projet'!$B$11,Paramètres!$A$1:$I$89,5,0)</f>
        <v>298.22208000000018</v>
      </c>
      <c r="BF129" s="13">
        <f t="shared" si="91"/>
        <v>70.803614311231911</v>
      </c>
      <c r="BG129" s="20">
        <f t="shared" si="61"/>
        <v>642.71975092539594</v>
      </c>
      <c r="BH129" s="59">
        <f t="shared" si="62"/>
        <v>936.05308425872931</v>
      </c>
      <c r="BI129" s="59">
        <f ca="1">AVERAGE(OFFSET($BH$3,0,0,'Données projet'!$E$11+1,1))-AVERAGE(OFFSET($H$3,0,0,'Données projet'!$E$11+1,1))</f>
        <v>352.62747127358324</v>
      </c>
      <c r="BJ129" s="59">
        <f t="shared" si="92"/>
        <v>283.16932763435011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61.154090758864939</v>
      </c>
      <c r="BQ129" s="21">
        <f>EXP(-LN(2)/25)*BQ128+(1-EXP(-LN(2)/25))/(LN(2)/25)*Calculateur!BL129*Calculateur!BN129*VLOOKUP('Données projet'!$B$11,Paramètres!$A$1:$I$89,3,0)*0.475*44/12</f>
        <v>0</v>
      </c>
      <c r="BR129" s="21">
        <f>EXP(-LN(2)/2)*BR128+(1-EXP(-LN(2)/2))/(LN(2)/2)*BL129*BO129*VLOOKUP('Données projet'!$B$11,Paramètres!$A$1:$I$89,3,0)*0.475*44/12</f>
        <v>0</v>
      </c>
      <c r="BS129" s="22">
        <f t="shared" si="63"/>
        <v>61.154090758864939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4.0999999999999996</v>
      </c>
      <c r="BY129" s="12">
        <f>IF('Données projet'!$A$114&gt;35,BY128+BX129-CG128,IF(A129&lt;'Données projet'!$A$114,$BV$205^A129,IF(A129='Données projet'!$A$114,'Données projet'!$B$114,BY128+BX129-CG128)))</f>
        <v>329.60000000000019</v>
      </c>
      <c r="BZ129" s="13">
        <f>BY129*VLOOKUP('Données projet'!$B$12,Paramètres!$A$1:$I$89,3,0)*VLOOKUP('Données projet'!$B$12,Paramètres!$A$1:$I$89,5,0)</f>
        <v>344.49792000000025</v>
      </c>
      <c r="CA129" s="13">
        <f t="shared" si="93"/>
        <v>80.428533167182806</v>
      </c>
      <c r="CB129" s="20">
        <f t="shared" si="64"/>
        <v>740.08023926617716</v>
      </c>
      <c r="CC129" s="59">
        <f t="shared" si="65"/>
        <v>1033.4135725995104</v>
      </c>
      <c r="CD129" s="59">
        <f ca="1">AVERAGE(OFFSET($CC$3,0,0,'Données projet'!$E$12+1,1))-AVERAGE(OFFSET($H$3,0,0,'Données projet'!$E$12+1,1))</f>
        <v>423.49657671419374</v>
      </c>
      <c r="CE129" s="59">
        <f t="shared" si="94"/>
        <v>329.6783569381081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70.643518635240582</v>
      </c>
      <c r="CL129" s="21">
        <f>EXP(-LN(2)/25)*CL128+(1-EXP(-LN(2)/25))/(LN(2)/25)*Calculateur!CG129*Calculateur!CI129*VLOOKUP('Données projet'!$B$12,Paramètres!$A$1:$I$89,3,0)*0.475*44/12</f>
        <v>0</v>
      </c>
      <c r="CM129" s="21">
        <f>EXP(-LN(2)/2)*CM128+(1-EXP(-LN(2)/2))/(LN(2)/2)*CG129*CJ129*VLOOKUP('Données projet'!$B$12,Paramètres!$A$1:$I$89,3,0)*0.475*44/12</f>
        <v>0</v>
      </c>
      <c r="CN129" s="22">
        <f t="shared" si="66"/>
        <v>70.643518635240582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4.0999999999999996</v>
      </c>
      <c r="CT129" s="12">
        <f>IF('Données projet'!$A$140&gt;35,CT128+CS129-DB128,IF(A129&lt;'Données projet'!$A$140,$CQ$205^A129,IF(A129='Données projet'!$A$140,'Données projet'!$B$140,CT128+CS129-DB128)))</f>
        <v>329.60000000000019</v>
      </c>
      <c r="CU129" s="17">
        <f>CT129*VLOOKUP('Données projet'!$B$13,Paramètres!$A$1:$I$89,3,0)*VLOOKUP('Données projet'!$B$13,Paramètres!$A$1:$I$89,5,0)</f>
        <v>334.21440000000018</v>
      </c>
      <c r="CV129" s="13">
        <f t="shared" si="95"/>
        <v>78.303413449724502</v>
      </c>
      <c r="CW129" s="20">
        <f t="shared" si="67"/>
        <v>718.46852509160374</v>
      </c>
      <c r="CX129" s="59">
        <f t="shared" si="68"/>
        <v>1011.8018584249371</v>
      </c>
      <c r="CY129" s="59">
        <f ca="1">AVERAGE(OFFSET($CX$3,0,0,'Données projet'!$E$13+1,1))-AVERAGE(OFFSET($H$3,0,0,'Données projet'!$E$13+1,1))</f>
        <v>407.76560346703042</v>
      </c>
      <c r="CZ129" s="59">
        <f t="shared" si="96"/>
        <v>319.35531375725202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68.534756884934851</v>
      </c>
      <c r="DG129" s="21">
        <f>EXP(-LN(2)/25)*DG128+(1-EXP(-LN(2)/25))/(LN(2)/25)*Calculateur!DB129*Calculateur!DD129*VLOOKUP('Données projet'!$B$13,Paramètres!$A$1:$I$89,3,0)*0.475*44/12</f>
        <v>0</v>
      </c>
      <c r="DH129" s="21">
        <f>EXP(-LN(2)/2)*DH128+(1-EXP(-LN(2)/2))/(LN(2)/2)*DB129*DE129*VLOOKUP('Données projet'!$B$13,Paramètres!$A$1:$I$89,3,0)*0.475*44/12</f>
        <v>0</v>
      </c>
      <c r="DI129" s="22">
        <f t="shared" si="69"/>
        <v>68.534756884934851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2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112.92840000000021</v>
      </c>
      <c r="D130" s="11">
        <f t="shared" si="86"/>
        <v>30.019879889489037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1103.4604061644784</v>
      </c>
      <c r="H130" s="67">
        <f t="shared" si="56"/>
        <v>505.63492080752712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0</v>
      </c>
      <c r="O130" s="13">
        <f>N130*VLOOKUP('Données projet'!$B$9,Paramètres!$A$1:$I$89,3,0)*VLOOKUP('Données projet'!$B$9,Paramètres!$A$1:$I$89,5,0)</f>
        <v>0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101.15586831191774</v>
      </c>
      <c r="T130" s="59">
        <f t="shared" si="88"/>
        <v>346.96347336689064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5.9682396822159101</v>
      </c>
      <c r="AA130" s="21">
        <f>EXP(-LN(2)/25)*AA129+(1-EXP(-LN(2)/25))/(LN(2)/25)*Calculateur!V130*Calculateur!X130*VLOOKUP('Données projet'!$B$9,Paramètres!$A$1:$I$89,3,0)*0.475*44/12</f>
        <v>1.1201004418280904</v>
      </c>
      <c r="AB130" s="21">
        <f>EXP(-LN(2)/2)*AB129+(1-EXP(-LN(2)/2))/(LN(2)/2)*V130*Y130*VLOOKUP('Données projet'!$B$9,Paramètres!$A$1:$I$89,3,0)*0.475*44/12</f>
        <v>0</v>
      </c>
      <c r="AC130" s="22">
        <f t="shared" si="57"/>
        <v>7.0883401240440005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0</v>
      </c>
      <c r="AJ130" s="13">
        <f>AI130*VLOOKUP('Données projet'!$B$10,Paramètres!$A$1:$I$89,3,0)*VLOOKUP('Données projet'!$B$10,Paramètres!$A$1:$I$89,5,0)</f>
        <v>0</v>
      </c>
      <c r="AK130" s="13" t="e">
        <f t="shared" si="89"/>
        <v>#NUM!</v>
      </c>
      <c r="AL130" s="20" t="e">
        <f t="shared" si="58"/>
        <v>#NUM!</v>
      </c>
      <c r="AM130" s="59" t="e">
        <f t="shared" si="59"/>
        <v>#NUM!</v>
      </c>
      <c r="AN130" s="59">
        <f ca="1">AVERAGE(OFFSET($AM$3,0,0,'Données projet'!$E$10+1,1))-AVERAGE(OFFSET($H$3,0,0,'Données projet'!$E$10+1,1))</f>
        <v>101.15586831191774</v>
      </c>
      <c r="AO130" s="59">
        <f t="shared" si="90"/>
        <v>346.96347336689064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5.9682396822159101</v>
      </c>
      <c r="AV130" s="21">
        <f>EXP(-LN(2)/25)*AV129+(1-EXP(-LN(2)/25))/(LN(2)/25)*Calculateur!AQ130*Calculateur!AS130*VLOOKUP('Données projet'!$B$10,Paramètres!$A$1:$I$89,3,0)*0.475*44/12</f>
        <v>1.1201004418280904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7.0883401240440005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4.0999999999999996</v>
      </c>
      <c r="BD130" s="12">
        <f>IF('Données projet'!$A$88&gt;35,BD129+BC130-BL129,IF(A130&lt;'Données projet'!$A$88,$BA$205^A130,IF(A130='Données projet'!$A$88,'Données projet'!$B$88,BD129+BC130-BL129)))</f>
        <v>333.70000000000022</v>
      </c>
      <c r="BE130" s="13">
        <f>BD130*VLOOKUP('Données projet'!$B$11,Paramètres!$A$1:$I$89,3,0)*VLOOKUP('Données projet'!$B$11,Paramètres!$A$1:$I$89,5,0)</f>
        <v>301.93176000000017</v>
      </c>
      <c r="BF130" s="13">
        <f t="shared" si="91"/>
        <v>71.581283166295037</v>
      </c>
      <c r="BG130" s="20">
        <f t="shared" si="61"/>
        <v>650.53521684796408</v>
      </c>
      <c r="BH130" s="59">
        <f t="shared" si="62"/>
        <v>943.86855018129745</v>
      </c>
      <c r="BI130" s="59">
        <f ca="1">AVERAGE(OFFSET($BH$3,0,0,'Données projet'!$E$11+1,1))-AVERAGE(OFFSET($H$3,0,0,'Données projet'!$E$11+1,1))</f>
        <v>352.62747127358324</v>
      </c>
      <c r="BJ130" s="59">
        <f t="shared" si="92"/>
        <v>283.16932763435011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59.954896339395859</v>
      </c>
      <c r="BQ130" s="21">
        <f>EXP(-LN(2)/25)*BQ129+(1-EXP(-LN(2)/25))/(LN(2)/25)*Calculateur!BL130*Calculateur!BN130*VLOOKUP('Données projet'!$B$11,Paramètres!$A$1:$I$89,3,0)*0.475*44/12</f>
        <v>0</v>
      </c>
      <c r="BR130" s="21">
        <f>EXP(-LN(2)/2)*BR129+(1-EXP(-LN(2)/2))/(LN(2)/2)*BL130*BO130*VLOOKUP('Données projet'!$B$11,Paramètres!$A$1:$I$89,3,0)*0.475*44/12</f>
        <v>0</v>
      </c>
      <c r="BS130" s="22">
        <f t="shared" si="63"/>
        <v>59.954896339395859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4.0999999999999996</v>
      </c>
      <c r="BY130" s="12">
        <f>IF('Données projet'!$A$114&gt;35,BY129+BX130-CG129,IF(A130&lt;'Données projet'!$A$114,$BV$205^A130,IF(A130='Données projet'!$A$114,'Données projet'!$B$114,BY129+BX130-CG129)))</f>
        <v>333.70000000000022</v>
      </c>
      <c r="BZ130" s="13">
        <f>BY130*VLOOKUP('Données projet'!$B$12,Paramètres!$A$1:$I$89,3,0)*VLOOKUP('Données projet'!$B$12,Paramètres!$A$1:$I$89,5,0)</f>
        <v>348.78324000000026</v>
      </c>
      <c r="CA130" s="13">
        <f t="shared" si="93"/>
        <v>81.31191695925304</v>
      </c>
      <c r="CB130" s="20">
        <f t="shared" si="64"/>
        <v>749.08239837069948</v>
      </c>
      <c r="CC130" s="59">
        <f t="shared" si="65"/>
        <v>1042.4157317040329</v>
      </c>
      <c r="CD130" s="59">
        <f ca="1">AVERAGE(OFFSET($CC$3,0,0,'Données projet'!$E$12+1,1))-AVERAGE(OFFSET($H$3,0,0,'Données projet'!$E$12+1,1))</f>
        <v>423.49657671419374</v>
      </c>
      <c r="CE130" s="59">
        <f t="shared" si="94"/>
        <v>329.6783569381081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69.25824232309526</v>
      </c>
      <c r="CL130" s="21">
        <f>EXP(-LN(2)/25)*CL129+(1-EXP(-LN(2)/25))/(LN(2)/25)*Calculateur!CG130*Calculateur!CI130*VLOOKUP('Données projet'!$B$12,Paramètres!$A$1:$I$89,3,0)*0.475*44/12</f>
        <v>0</v>
      </c>
      <c r="CM130" s="21">
        <f>EXP(-LN(2)/2)*CM129+(1-EXP(-LN(2)/2))/(LN(2)/2)*CG130*CJ130*VLOOKUP('Données projet'!$B$12,Paramètres!$A$1:$I$89,3,0)*0.475*44/12</f>
        <v>0</v>
      </c>
      <c r="CN130" s="22">
        <f t="shared" si="66"/>
        <v>69.25824232309526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4.0999999999999996</v>
      </c>
      <c r="CT130" s="12">
        <f>IF('Données projet'!$A$140&gt;35,CT129+CS130-DB129,IF(A130&lt;'Données projet'!$A$140,$CQ$205^A130,IF(A130='Données projet'!$A$140,'Données projet'!$B$140,CT129+CS130-DB129)))</f>
        <v>333.70000000000022</v>
      </c>
      <c r="CU130" s="17">
        <f>CT130*VLOOKUP('Données projet'!$B$13,Paramètres!$A$1:$I$89,3,0)*VLOOKUP('Données projet'!$B$13,Paramètres!$A$1:$I$89,5,0)</f>
        <v>338.37180000000023</v>
      </c>
      <c r="CV130" s="13">
        <f t="shared" si="95"/>
        <v>79.163456068697442</v>
      </c>
      <c r="CW130" s="20">
        <f t="shared" si="67"/>
        <v>727.20723765298169</v>
      </c>
      <c r="CX130" s="59">
        <f t="shared" si="68"/>
        <v>1020.5405709863151</v>
      </c>
      <c r="CY130" s="59">
        <f ca="1">AVERAGE(OFFSET($CX$3,0,0,'Données projet'!$E$13+1,1))-AVERAGE(OFFSET($H$3,0,0,'Données projet'!$E$13+1,1))</f>
        <v>407.76560346703042</v>
      </c>
      <c r="CZ130" s="59">
        <f t="shared" si="96"/>
        <v>319.35531375725202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projet'!$B$13,Paramètres!$A$1:$I$89,3,0)*0.475*44/12</f>
        <v>67.190832104495371</v>
      </c>
      <c r="DG130" s="21">
        <f>EXP(-LN(2)/25)*DG129+(1-EXP(-LN(2)/25))/(LN(2)/25)*Calculateur!DB130*Calculateur!DD130*VLOOKUP('Données projet'!$B$13,Paramètres!$A$1:$I$89,3,0)*0.475*44/12</f>
        <v>0</v>
      </c>
      <c r="DH130" s="21">
        <f>EXP(-LN(2)/2)*DH129+(1-EXP(-LN(2)/2))/(LN(2)/2)*DB130*DE130*VLOOKUP('Données projet'!$B$13,Paramètres!$A$1:$I$89,3,0)*0.475*44/12</f>
        <v>0</v>
      </c>
      <c r="DI130" s="22">
        <f t="shared" si="69"/>
        <v>67.190832104495371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2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113.81760000000021</v>
      </c>
      <c r="D131" s="11">
        <f t="shared" si="86"/>
        <v>30.228647177134249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1111.9359431217397</v>
      </c>
      <c r="H131" s="67">
        <f t="shared" si="56"/>
        <v>507.5472138335092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0</v>
      </c>
      <c r="O131" s="13">
        <f>N131*VLOOKUP('Données projet'!$B$9,Paramètres!$A$1:$I$89,3,0)*VLOOKUP('Données projet'!$B$9,Paramètres!$A$1:$I$89,5,0)</f>
        <v>0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101.15586831191774</v>
      </c>
      <c r="T131" s="59">
        <f t="shared" si="88"/>
        <v>346.96347336689064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5.8512061423144157</v>
      </c>
      <c r="AA131" s="21">
        <f>EXP(-LN(2)/25)*AA130+(1-EXP(-LN(2)/25))/(LN(2)/25)*Calculateur!V131*Calculateur!X131*VLOOKUP('Données projet'!$B$9,Paramètres!$A$1:$I$89,3,0)*0.475*44/12</f>
        <v>1.089471236342779</v>
      </c>
      <c r="AB131" s="21">
        <f>EXP(-LN(2)/2)*AB130+(1-EXP(-LN(2)/2))/(LN(2)/2)*V131*Y131*VLOOKUP('Données projet'!$B$9,Paramètres!$A$1:$I$89,3,0)*0.475*44/12</f>
        <v>0</v>
      </c>
      <c r="AC131" s="22">
        <f t="shared" si="57"/>
        <v>6.9406773786571945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0</v>
      </c>
      <c r="AJ131" s="13">
        <f>AI131*VLOOKUP('Données projet'!$B$10,Paramètres!$A$1:$I$89,3,0)*VLOOKUP('Données projet'!$B$10,Paramètres!$A$1:$I$89,5,0)</f>
        <v>0</v>
      </c>
      <c r="AK131" s="13" t="e">
        <f t="shared" si="89"/>
        <v>#NUM!</v>
      </c>
      <c r="AL131" s="20" t="e">
        <f t="shared" si="58"/>
        <v>#NUM!</v>
      </c>
      <c r="AM131" s="59" t="e">
        <f t="shared" si="59"/>
        <v>#NUM!</v>
      </c>
      <c r="AN131" s="59">
        <f ca="1">AVERAGE(OFFSET($AM$3,0,0,'Données projet'!$E$10+1,1))-AVERAGE(OFFSET($H$3,0,0,'Données projet'!$E$10+1,1))</f>
        <v>101.15586831191774</v>
      </c>
      <c r="AO131" s="59">
        <f t="shared" si="90"/>
        <v>346.96347336689064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5.8512061423144157</v>
      </c>
      <c r="AV131" s="21">
        <f>EXP(-LN(2)/25)*AV130+(1-EXP(-LN(2)/25))/(LN(2)/25)*Calculateur!AQ131*Calculateur!AS131*VLOOKUP('Données projet'!$B$10,Paramètres!$A$1:$I$89,3,0)*0.475*44/12</f>
        <v>1.089471236342779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6.9406773786571945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4.0999999999999996</v>
      </c>
      <c r="BD131" s="12">
        <f>IF('Données projet'!$A$88&gt;35,BD130+BC131-BL130,IF(A131&lt;'Données projet'!$A$88,$BA$205^A131,IF(A131='Données projet'!$A$88,'Données projet'!$B$88,BD130+BC131-BL130)))</f>
        <v>337.80000000000024</v>
      </c>
      <c r="BE131" s="13">
        <f>BD131*VLOOKUP('Données projet'!$B$11,Paramètres!$A$1:$I$89,3,0)*VLOOKUP('Données projet'!$B$11,Paramètres!$A$1:$I$89,5,0)</f>
        <v>305.64144000000022</v>
      </c>
      <c r="BF131" s="13">
        <f t="shared" si="91"/>
        <v>72.357840606045428</v>
      </c>
      <c r="BG131" s="20">
        <f t="shared" si="61"/>
        <v>658.34874705552954</v>
      </c>
      <c r="BH131" s="59">
        <f t="shared" si="62"/>
        <v>951.68208038886291</v>
      </c>
      <c r="BI131" s="59">
        <f ca="1">AVERAGE(OFFSET($BH$3,0,0,'Données projet'!$E$11+1,1))-AVERAGE(OFFSET($H$3,0,0,'Données projet'!$E$11+1,1))</f>
        <v>352.62747127358324</v>
      </c>
      <c r="BJ131" s="59">
        <f t="shared" si="92"/>
        <v>283.16932763435011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58.7792173910562</v>
      </c>
      <c r="BQ131" s="21">
        <f>EXP(-LN(2)/25)*BQ130+(1-EXP(-LN(2)/25))/(LN(2)/25)*Calculateur!BL131*Calculateur!BN131*VLOOKUP('Données projet'!$B$11,Paramètres!$A$1:$I$89,3,0)*0.475*44/12</f>
        <v>0</v>
      </c>
      <c r="BR131" s="21">
        <f>EXP(-LN(2)/2)*BR130+(1-EXP(-LN(2)/2))/(LN(2)/2)*BL131*BO131*VLOOKUP('Données projet'!$B$11,Paramètres!$A$1:$I$89,3,0)*0.475*44/12</f>
        <v>0</v>
      </c>
      <c r="BS131" s="22">
        <f t="shared" si="63"/>
        <v>58.7792173910562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4.0999999999999996</v>
      </c>
      <c r="BY131" s="12">
        <f>IF('Données projet'!$A$114&gt;35,BY130+BX131-CG130,IF(A131&lt;'Données projet'!$A$114,$BV$205^A131,IF(A131='Données projet'!$A$114,'Données projet'!$B$114,BY130+BX131-CG130)))</f>
        <v>337.80000000000024</v>
      </c>
      <c r="BZ131" s="13">
        <f>BY131*VLOOKUP('Données projet'!$B$12,Paramètres!$A$1:$I$89,3,0)*VLOOKUP('Données projet'!$B$12,Paramètres!$A$1:$I$89,5,0)</f>
        <v>353.06856000000028</v>
      </c>
      <c r="CA131" s="13">
        <f t="shared" si="93"/>
        <v>82.194038252166749</v>
      </c>
      <c r="CB131" s="20">
        <f t="shared" si="64"/>
        <v>758.08235862252423</v>
      </c>
      <c r="CC131" s="59">
        <f t="shared" si="65"/>
        <v>1051.4156919558575</v>
      </c>
      <c r="CD131" s="59">
        <f ca="1">AVERAGE(OFFSET($CC$3,0,0,'Données projet'!$E$12+1,1))-AVERAGE(OFFSET($H$3,0,0,'Données projet'!$E$12+1,1))</f>
        <v>423.49657671419374</v>
      </c>
      <c r="CE131" s="59">
        <f t="shared" si="94"/>
        <v>329.6783569381081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67.900130434495992</v>
      </c>
      <c r="CL131" s="21">
        <f>EXP(-LN(2)/25)*CL130+(1-EXP(-LN(2)/25))/(LN(2)/25)*Calculateur!CG131*Calculateur!CI131*VLOOKUP('Données projet'!$B$12,Paramètres!$A$1:$I$89,3,0)*0.475*44/12</f>
        <v>0</v>
      </c>
      <c r="CM131" s="21">
        <f>EXP(-LN(2)/2)*CM130+(1-EXP(-LN(2)/2))/(LN(2)/2)*CG131*CJ131*VLOOKUP('Données projet'!$B$12,Paramètres!$A$1:$I$89,3,0)*0.475*44/12</f>
        <v>0</v>
      </c>
      <c r="CN131" s="22">
        <f t="shared" si="66"/>
        <v>67.900130434495992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4.0999999999999996</v>
      </c>
      <c r="CT131" s="12">
        <f>IF('Données projet'!$A$140&gt;35,CT130+CS131-DB130,IF(A131&lt;'Données projet'!$A$140,$CQ$205^A131,IF(A131='Données projet'!$A$140,'Données projet'!$B$140,CT130+CS131-DB130)))</f>
        <v>337.80000000000024</v>
      </c>
      <c r="CU131" s="17">
        <f>CT131*VLOOKUP('Données projet'!$B$13,Paramètres!$A$1:$I$89,3,0)*VLOOKUP('Données projet'!$B$13,Paramètres!$A$1:$I$89,5,0)</f>
        <v>342.52920000000029</v>
      </c>
      <c r="CV131" s="13">
        <f t="shared" si="95"/>
        <v>80.02226954684771</v>
      </c>
      <c r="CW131" s="20">
        <f t="shared" si="67"/>
        <v>735.94380946076024</v>
      </c>
      <c r="CX131" s="59">
        <f t="shared" si="68"/>
        <v>1029.2771427940936</v>
      </c>
      <c r="CY131" s="59">
        <f ca="1">AVERAGE(OFFSET($CX$3,0,0,'Données projet'!$E$13+1,1))-AVERAGE(OFFSET($H$3,0,0,'Données projet'!$E$13+1,1))</f>
        <v>407.76560346703042</v>
      </c>
      <c r="CZ131" s="59">
        <f t="shared" si="96"/>
        <v>319.35531375725202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65.873260869287122</v>
      </c>
      <c r="DG131" s="21">
        <f>EXP(-LN(2)/25)*DG130+(1-EXP(-LN(2)/25))/(LN(2)/25)*Calculateur!DB131*Calculateur!DD131*VLOOKUP('Données projet'!$B$13,Paramètres!$A$1:$I$89,3,0)*0.475*44/12</f>
        <v>0</v>
      </c>
      <c r="DH131" s="21">
        <f>EXP(-LN(2)/2)*DH130+(1-EXP(-LN(2)/2))/(LN(2)/2)*DB131*DE131*VLOOKUP('Données projet'!$B$13,Paramètres!$A$1:$I$89,3,0)*0.475*44/12</f>
        <v>0</v>
      </c>
      <c r="DI131" s="22">
        <f t="shared" si="69"/>
        <v>65.873260869287122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2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114.70680000000021</v>
      </c>
      <c r="D132" s="11">
        <f t="shared" si="86"/>
        <v>30.437224701280673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1120.4100152379581</v>
      </c>
      <c r="H132" s="67">
        <f t="shared" ref="H132:H195" si="110">(B132+E132+F132)*44/12+(C132+D132)*0.475*44/12</f>
        <v>509.45917635473086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0</v>
      </c>
      <c r="O132" s="13">
        <f>N132*VLOOKUP('Données projet'!$B$9,Paramètres!$A$1:$I$89,3,0)*VLOOKUP('Données projet'!$B$9,Paramètres!$A$1:$I$89,5,0)</f>
        <v>0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101.15586831191774</v>
      </c>
      <c r="T132" s="59">
        <f t="shared" si="88"/>
        <v>346.96347336689064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5.7364675587469787</v>
      </c>
      <c r="AA132" s="21">
        <f>EXP(-LN(2)/25)*AA131+(1-EXP(-LN(2)/25))/(LN(2)/25)*Calculateur!V132*Calculateur!X132*VLOOKUP('Données projet'!$B$9,Paramètres!$A$1:$I$89,3,0)*0.475*44/12</f>
        <v>1.0596795880921834</v>
      </c>
      <c r="AB132" s="21">
        <f>EXP(-LN(2)/2)*AB131+(1-EXP(-LN(2)/2))/(LN(2)/2)*V132*Y132*VLOOKUP('Données projet'!$B$9,Paramètres!$A$1:$I$89,3,0)*0.475*44/12</f>
        <v>0</v>
      </c>
      <c r="AC132" s="22">
        <f t="shared" ref="AC132:AC153" si="111">SUM(Z132:AB132)</f>
        <v>6.7961471468391625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0</v>
      </c>
      <c r="AJ132" s="13">
        <f>AI132*VLOOKUP('Données projet'!$B$10,Paramètres!$A$1:$I$89,3,0)*VLOOKUP('Données projet'!$B$10,Paramètres!$A$1:$I$89,5,0)</f>
        <v>0</v>
      </c>
      <c r="AK132" s="13" t="e">
        <f t="shared" si="89"/>
        <v>#NUM!</v>
      </c>
      <c r="AL132" s="20" t="e">
        <f t="shared" ref="AL132:AL153" si="112">(AJ132+AK132)*0.475*44/12</f>
        <v>#NUM!</v>
      </c>
      <c r="AM132" s="59" t="e">
        <f t="shared" ref="AM132:AM195" si="113">AL132+(AD132+AE132)*44/12</f>
        <v>#NUM!</v>
      </c>
      <c r="AN132" s="59">
        <f ca="1">AVERAGE(OFFSET($AM$3,0,0,'Données projet'!$E$10+1,1))-AVERAGE(OFFSET($H$3,0,0,'Données projet'!$E$10+1,1))</f>
        <v>101.15586831191774</v>
      </c>
      <c r="AO132" s="59">
        <f t="shared" si="90"/>
        <v>346.96347336689064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5.7364675587469787</v>
      </c>
      <c r="AV132" s="21">
        <f>EXP(-LN(2)/25)*AV131+(1-EXP(-LN(2)/25))/(LN(2)/25)*Calculateur!AQ132*Calculateur!AS132*VLOOKUP('Données projet'!$B$10,Paramètres!$A$1:$I$89,3,0)*0.475*44/12</f>
        <v>1.0596795880921834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6.7961471468391625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4.0999999999999996</v>
      </c>
      <c r="BD132" s="12">
        <f>IF('Données projet'!$A$88&gt;35,BD131+BC132-BL131,IF(A132&lt;'Données projet'!$A$88,$BA$205^A132,IF(A132='Données projet'!$A$88,'Données projet'!$B$88,BD131+BC132-BL131)))</f>
        <v>341.90000000000026</v>
      </c>
      <c r="BE132" s="13">
        <f>BD132*VLOOKUP('Données projet'!$B$11,Paramètres!$A$1:$I$89,3,0)*VLOOKUP('Données projet'!$B$11,Paramètres!$A$1:$I$89,5,0)</f>
        <v>309.35112000000021</v>
      </c>
      <c r="BF132" s="13">
        <f t="shared" si="91"/>
        <v>73.133301680434883</v>
      </c>
      <c r="BG132" s="20">
        <f t="shared" ref="BG132:BG153" si="115">(BE132+BF132)*0.475*44/12</f>
        <v>666.16036776009116</v>
      </c>
      <c r="BH132" s="59">
        <f t="shared" ref="BH132:BH195" si="116">BG132+(AY132+AZ132)*44/12</f>
        <v>959.49370109342453</v>
      </c>
      <c r="BI132" s="59">
        <f ca="1">AVERAGE(OFFSET($BH$3,0,0,'Données projet'!$E$11+1,1))-AVERAGE(OFFSET($H$3,0,0,'Données projet'!$E$11+1,1))</f>
        <v>352.62747127358324</v>
      </c>
      <c r="BJ132" s="59">
        <f t="shared" si="92"/>
        <v>283.16932763435011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57.626592789800128</v>
      </c>
      <c r="BQ132" s="21">
        <f>EXP(-LN(2)/25)*BQ131+(1-EXP(-LN(2)/25))/(LN(2)/25)*Calculateur!BL132*Calculateur!BN132*VLOOKUP('Données projet'!$B$11,Paramètres!$A$1:$I$89,3,0)*0.475*44/12</f>
        <v>0</v>
      </c>
      <c r="BR132" s="21">
        <f>EXP(-LN(2)/2)*BR131+(1-EXP(-LN(2)/2))/(LN(2)/2)*BL132*BO132*VLOOKUP('Données projet'!$B$11,Paramètres!$A$1:$I$89,3,0)*0.475*44/12</f>
        <v>0</v>
      </c>
      <c r="BS132" s="22">
        <f t="shared" ref="BS132:BS153" si="117">SUM(BP132:BR132)</f>
        <v>57.626592789800128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4.0999999999999996</v>
      </c>
      <c r="BY132" s="12">
        <f>IF('Données projet'!$A$114&gt;35,BY131+BX132-CG131,IF(A132&lt;'Données projet'!$A$114,$BV$205^A132,IF(A132='Données projet'!$A$114,'Données projet'!$B$114,BY131+BX132-CG131)))</f>
        <v>341.90000000000026</v>
      </c>
      <c r="BZ132" s="13">
        <f>BY132*VLOOKUP('Données projet'!$B$12,Paramètres!$A$1:$I$89,3,0)*VLOOKUP('Données projet'!$B$12,Paramètres!$A$1:$I$89,5,0)</f>
        <v>357.35388000000029</v>
      </c>
      <c r="CA132" s="13">
        <f t="shared" si="93"/>
        <v>83.074914141739839</v>
      </c>
      <c r="CB132" s="20">
        <f t="shared" ref="CB132:CB153" si="118">(BZ132+CA132)*0.475*44/12</f>
        <v>767.08014979686402</v>
      </c>
      <c r="CC132" s="59">
        <f t="shared" ref="CC132:CC195" si="119">CB132+(BT132+BU132)*44/12</f>
        <v>1060.4134831301974</v>
      </c>
      <c r="CD132" s="59">
        <f ca="1">AVERAGE(OFFSET($CC$3,0,0,'Données projet'!$E$12+1,1))-AVERAGE(OFFSET($H$3,0,0,'Données projet'!$E$12+1,1))</f>
        <v>423.49657671419374</v>
      </c>
      <c r="CE132" s="59">
        <f t="shared" si="94"/>
        <v>329.6783569381081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66.568650291665705</v>
      </c>
      <c r="CL132" s="21">
        <f>EXP(-LN(2)/25)*CL131+(1-EXP(-LN(2)/25))/(LN(2)/25)*Calculateur!CG132*Calculateur!CI132*VLOOKUP('Données projet'!$B$12,Paramètres!$A$1:$I$89,3,0)*0.475*44/12</f>
        <v>0</v>
      </c>
      <c r="CM132" s="21">
        <f>EXP(-LN(2)/2)*CM131+(1-EXP(-LN(2)/2))/(LN(2)/2)*CG132*CJ132*VLOOKUP('Données projet'!$B$12,Paramètres!$A$1:$I$89,3,0)*0.475*44/12</f>
        <v>0</v>
      </c>
      <c r="CN132" s="22">
        <f t="shared" ref="CN132:CN153" si="120">SUM(CK132:CM132)</f>
        <v>66.568650291665705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4.0999999999999996</v>
      </c>
      <c r="CT132" s="12">
        <f>IF('Données projet'!$A$140&gt;35,CT131+CS132-DB131,IF(A132&lt;'Données projet'!$A$140,$CQ$205^A132,IF(A132='Données projet'!$A$140,'Données projet'!$B$140,CT131+CS132-DB131)))</f>
        <v>341.90000000000026</v>
      </c>
      <c r="CU132" s="17">
        <f>CT132*VLOOKUP('Données projet'!$B$13,Paramètres!$A$1:$I$89,3,0)*VLOOKUP('Données projet'!$B$13,Paramètres!$A$1:$I$89,5,0)</f>
        <v>346.68660000000028</v>
      </c>
      <c r="CV132" s="13">
        <f t="shared" si="95"/>
        <v>80.879870528277451</v>
      </c>
      <c r="CW132" s="20">
        <f t="shared" ref="CW132:CW153" si="121">(CU132+CV132)*0.475*44/12</f>
        <v>744.67826950341703</v>
      </c>
      <c r="CX132" s="59">
        <f t="shared" ref="CX132:CX195" si="122">CW132+(CO132+CP132)*44/12</f>
        <v>1038.0116028367504</v>
      </c>
      <c r="CY132" s="59">
        <f ca="1">AVERAGE(OFFSET($CX$3,0,0,'Données projet'!$E$13+1,1))-AVERAGE(OFFSET($H$3,0,0,'Données projet'!$E$13+1,1))</f>
        <v>407.76560346703042</v>
      </c>
      <c r="CZ132" s="59">
        <f t="shared" si="96"/>
        <v>319.35531375725202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64.581526402362215</v>
      </c>
      <c r="DG132" s="21">
        <f>EXP(-LN(2)/25)*DG131+(1-EXP(-LN(2)/25))/(LN(2)/25)*Calculateur!DB132*Calculateur!DD132*VLOOKUP('Données projet'!$B$13,Paramètres!$A$1:$I$89,3,0)*0.475*44/12</f>
        <v>0</v>
      </c>
      <c r="DH132" s="21">
        <f>EXP(-LN(2)/2)*DH131+(1-EXP(-LN(2)/2))/(LN(2)/2)*DB132*DE132*VLOOKUP('Données projet'!$B$13,Paramètres!$A$1:$I$89,3,0)*0.475*44/12</f>
        <v>0</v>
      </c>
      <c r="DI132" s="22">
        <f t="shared" ref="DI132:DI153" si="123">SUM(DF132:DH132)</f>
        <v>64.581526402362215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2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115.59600000000022</v>
      </c>
      <c r="D133" s="11">
        <f t="shared" ref="D133:D196" si="140">IFERROR(EXP(-1.0587+0.8836*LN(C133)+0.284),0)</f>
        <v>30.645614103483904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1128.8826351847899</v>
      </c>
      <c r="H133" s="67">
        <f t="shared" si="110"/>
        <v>511.37081123023484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0</v>
      </c>
      <c r="O133" s="13">
        <f>N133*VLOOKUP('Données projet'!$B$9,Paramètres!$A$1:$I$89,3,0)*VLOOKUP('Données projet'!$B$9,Paramètres!$A$1:$I$89,5,0)</f>
        <v>0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101.15586831191774</v>
      </c>
      <c r="T133" s="59">
        <f t="shared" ref="T133:T196" si="142">$T$3</f>
        <v>346.96347336689064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5.6239789288196738</v>
      </c>
      <c r="AA133" s="21">
        <f>EXP(-LN(2)/25)*AA132+(1-EXP(-LN(2)/25))/(LN(2)/25)*Calculateur!V133*Calculateur!X133*VLOOKUP('Données projet'!$B$9,Paramètres!$A$1:$I$89,3,0)*0.475*44/12</f>
        <v>1.030702594029675</v>
      </c>
      <c r="AB133" s="21">
        <f>EXP(-LN(2)/2)*AB132+(1-EXP(-LN(2)/2))/(LN(2)/2)*V133*Y133*VLOOKUP('Données projet'!$B$9,Paramètres!$A$1:$I$89,3,0)*0.475*44/12</f>
        <v>0</v>
      </c>
      <c r="AC133" s="22">
        <f t="shared" si="111"/>
        <v>6.6546815228493488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0</v>
      </c>
      <c r="AJ133" s="13">
        <f>AI133*VLOOKUP('Données projet'!$B$10,Paramètres!$A$1:$I$89,3,0)*VLOOKUP('Données projet'!$B$10,Paramètres!$A$1:$I$89,5,0)</f>
        <v>0</v>
      </c>
      <c r="AK133" s="13" t="e">
        <f t="shared" ref="AK133:AK153" si="143">EXP(-1.0587+0.8836*LN(AJ133)+0.284)</f>
        <v>#NUM!</v>
      </c>
      <c r="AL133" s="20" t="e">
        <f t="shared" si="112"/>
        <v>#NUM!</v>
      </c>
      <c r="AM133" s="59" t="e">
        <f t="shared" si="113"/>
        <v>#NUM!</v>
      </c>
      <c r="AN133" s="59">
        <f ca="1">AVERAGE(OFFSET($AM$3,0,0,'Données projet'!$E$10+1,1))-AVERAGE(OFFSET($H$3,0,0,'Données projet'!$E$10+1,1))</f>
        <v>101.15586831191774</v>
      </c>
      <c r="AO133" s="59">
        <f t="shared" ref="AO133:AO196" si="144">$AO$3</f>
        <v>346.96347336689064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5.6239789288196738</v>
      </c>
      <c r="AV133" s="21">
        <f>EXP(-LN(2)/25)*AV132+(1-EXP(-LN(2)/25))/(LN(2)/25)*Calculateur!AQ133*Calculateur!AS133*VLOOKUP('Données projet'!$B$10,Paramètres!$A$1:$I$89,3,0)*0.475*44/12</f>
        <v>1.030702594029675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6.6546815228493488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>
        <f>VLOOKUP(A133,'Données projet'!$A$87:$I$107,2,0)</f>
        <v>346</v>
      </c>
      <c r="BB133" s="12">
        <f>VLOOKUP(A133,'Données projet'!$A$87:$I$107,9,0)</f>
        <v>4.0999999999999996</v>
      </c>
      <c r="BC133" s="12">
        <f t="array" ref="BC133">INDEX(BB:BB,MIN(IF(ISNUMBER(BB133:BB329),ROW(BB133:BB329),"")))</f>
        <v>4.0999999999999996</v>
      </c>
      <c r="BD133" s="12">
        <f>IF('Données projet'!$A$88&gt;35,BD132+BC133-BL132,IF(A133&lt;'Données projet'!$A$88,$BA$205^A133,IF(A133='Données projet'!$A$88,'Données projet'!$B$88,BD132+BC133-BL132)))</f>
        <v>346.00000000000028</v>
      </c>
      <c r="BE133" s="13">
        <f>BD133*VLOOKUP('Données projet'!$B$11,Paramètres!$A$1:$I$89,3,0)*VLOOKUP('Données projet'!$B$11,Paramètres!$A$1:$I$89,5,0)</f>
        <v>313.06080000000026</v>
      </c>
      <c r="BF133" s="13">
        <f t="shared" ref="BF133:BF153" si="145">EXP(-1.0587+0.8836*LN(BE133)+0.284)</f>
        <v>73.90768105769493</v>
      </c>
      <c r="BG133" s="20">
        <f t="shared" si="115"/>
        <v>673.97010450881908</v>
      </c>
      <c r="BH133" s="59">
        <f t="shared" si="116"/>
        <v>967.30343784215233</v>
      </c>
      <c r="BI133" s="59">
        <f ca="1">AVERAGE(OFFSET($BH$3,0,0,'Données projet'!$E$11+1,1))-AVERAGE(OFFSET($H$3,0,0,'Données projet'!$E$11+1,1))</f>
        <v>352.62747127358324</v>
      </c>
      <c r="BJ133" s="59">
        <f t="shared" ref="BJ133:BJ196" si="146">$BJ$3</f>
        <v>283.16932763435011</v>
      </c>
      <c r="BK133" s="15">
        <f>IF(ISNA(VLOOKUP(A133,'Données projet'!$A$87:$I$107,3,0)),0,VLOOKUP(A133,'Données projet'!$A$87:$I$107,3,0))</f>
        <v>23</v>
      </c>
      <c r="BL133" s="15">
        <f>IF(ISNA(VLOOKUP(A133,'Données projet'!$A$87:$I$107,4,0)),0,VLOOKUP(A133,'Données projet'!$A$87:$I$107,4,0))</f>
        <v>44</v>
      </c>
      <c r="BM133" s="16">
        <f>IF(ISNA(VLOOKUP(A133,'Données projet'!$A$87:$I$107,5,0)),0%,VLOOKUP(A133,'Données projet'!$A$87:$I$107,5,0)*VLOOKUP('Données projet'!$B$11,Paramètres!$A$1:$I$89,7,0))</f>
        <v>0.38700000000000001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73.528480072550366</v>
      </c>
      <c r="BQ133" s="21">
        <f>EXP(-LN(2)/25)*BQ132+(1-EXP(-LN(2)/25))/(LN(2)/25)*Calculateur!BL133*Calculateur!BN133*VLOOKUP('Données projet'!$B$11,Paramètres!$A$1:$I$89,3,0)*0.475*44/12</f>
        <v>0</v>
      </c>
      <c r="BR133" s="21">
        <f>EXP(-LN(2)/2)*BR132+(1-EXP(-LN(2)/2))/(LN(2)/2)*BL133*BO133*VLOOKUP('Données projet'!$B$11,Paramètres!$A$1:$I$89,3,0)*0.475*44/12</f>
        <v>0</v>
      </c>
      <c r="BS133" s="22">
        <f t="shared" si="117"/>
        <v>73.528480072550366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>
        <f>VLOOKUP(A133,'Données projet'!$A$113:$I$133,2,0)</f>
        <v>346</v>
      </c>
      <c r="BW133" s="12">
        <f>VLOOKUP(A133,'Données projet'!$A$113:$I$133,9,0)</f>
        <v>4.0999999999999996</v>
      </c>
      <c r="BX133" s="12">
        <f t="array" ref="BX133">INDEX(BW:BW,MIN(IF(ISNUMBER(BW133:BW329),ROW(BW133:BW329),"")))</f>
        <v>4.0999999999999996</v>
      </c>
      <c r="BY133" s="12">
        <f>IF('Données projet'!$A$114&gt;35,BY132+BX133-CG132,IF(A133&lt;'Données projet'!$A$114,$BV$205^A133,IF(A133='Données projet'!$A$114,'Données projet'!$B$114,BY132+BX133-CG132)))</f>
        <v>346.00000000000028</v>
      </c>
      <c r="BZ133" s="13">
        <f>BY133*VLOOKUP('Données projet'!$B$12,Paramètres!$A$1:$I$89,3,0)*VLOOKUP('Données projet'!$B$12,Paramètres!$A$1:$I$89,5,0)</f>
        <v>361.6392000000003</v>
      </c>
      <c r="CA133" s="13">
        <f t="shared" ref="CA133:CA153" si="147">EXP(-1.0587+0.8836*LN(BZ133)+0.284)</f>
        <v>83.954561290177182</v>
      </c>
      <c r="CB133" s="20">
        <f t="shared" si="118"/>
        <v>776.07580091372574</v>
      </c>
      <c r="CC133" s="59">
        <f t="shared" si="119"/>
        <v>1069.409134247059</v>
      </c>
      <c r="CD133" s="59">
        <f ca="1">AVERAGE(OFFSET($CC$3,0,0,'Données projet'!$E$12+1,1))-AVERAGE(OFFSET($H$3,0,0,'Données projet'!$E$12+1,1))</f>
        <v>423.49657671419374</v>
      </c>
      <c r="CE133" s="59">
        <f t="shared" ref="CE133:CE196" si="148">$CE$3</f>
        <v>329.6783569381081</v>
      </c>
      <c r="CF133" s="15">
        <f>IF(ISNA(VLOOKUP(A133,'Données projet'!$A$113:$I$133,3,0)),0,VLOOKUP(A133,'Données projet'!$A$113:$I$133,3,0))</f>
        <v>23</v>
      </c>
      <c r="CG133" s="15">
        <f>IF(ISNA(VLOOKUP(A133,'Données projet'!$A$113:$I$133,4,0)),0,VLOOKUP(A133,'Données projet'!$A$113:$I$133,4,0))</f>
        <v>44</v>
      </c>
      <c r="CH133" s="16">
        <f>IF(ISNA(VLOOKUP(A133,'Données projet'!$A$113:$I$133,5,0)),0%,VLOOKUP(A133,'Données projet'!$A$113:$I$133,5,0)*VLOOKUP('Données projet'!$B$12,Paramètres!$A$1:$I$89,7,0))</f>
        <v>0.38700000000000001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84.938071807946159</v>
      </c>
      <c r="CL133" s="21">
        <f>EXP(-LN(2)/25)*CL132+(1-EXP(-LN(2)/25))/(LN(2)/25)*Calculateur!CG133*Calculateur!CI133*VLOOKUP('Données projet'!$B$12,Paramètres!$A$1:$I$89,3,0)*0.475*44/12</f>
        <v>0</v>
      </c>
      <c r="CM133" s="21">
        <f>EXP(-LN(2)/2)*CM132+(1-EXP(-LN(2)/2))/(LN(2)/2)*CG133*CJ133*VLOOKUP('Données projet'!$B$12,Paramètres!$A$1:$I$89,3,0)*0.475*44/12</f>
        <v>0</v>
      </c>
      <c r="CN133" s="22">
        <f t="shared" si="120"/>
        <v>84.938071807946159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>
        <f>VLOOKUP(A133,'Données projet'!$A$139:$I$159,2,0)</f>
        <v>346</v>
      </c>
      <c r="CR133" s="12">
        <f>VLOOKUP(A133,'Données projet'!$A$139:$I$159,9,0)</f>
        <v>4.0999999999999996</v>
      </c>
      <c r="CS133" s="12">
        <f t="array" ref="CS133">INDEX(CR:CR,MIN(IF(ISNUMBER(CR133:CR329),ROW(CR133:CR329),"")))</f>
        <v>4.0999999999999996</v>
      </c>
      <c r="CT133" s="12">
        <f>IF('Données projet'!$A$140&gt;35,CT132+CS133-DB132,IF(A133&lt;'Données projet'!$A$140,$CQ$205^A133,IF(A133='Données projet'!$A$140,'Données projet'!$B$140,CT132+CS133-DB132)))</f>
        <v>346.00000000000028</v>
      </c>
      <c r="CU133" s="17">
        <f>CT133*VLOOKUP('Données projet'!$B$13,Paramètres!$A$1:$I$89,3,0)*VLOOKUP('Données projet'!$B$13,Paramètres!$A$1:$I$89,5,0)</f>
        <v>350.84400000000034</v>
      </c>
      <c r="CV133" s="13">
        <f t="shared" ref="CV133:CV153" si="149">EXP(-1.0587+0.8836*LN(CU133)+0.284)</f>
        <v>81.736275234935349</v>
      </c>
      <c r="CW133" s="20">
        <f t="shared" si="121"/>
        <v>753.41064603417965</v>
      </c>
      <c r="CX133" s="59">
        <f t="shared" si="122"/>
        <v>1046.743979367513</v>
      </c>
      <c r="CY133" s="59">
        <f ca="1">AVERAGE(OFFSET($CX$3,0,0,'Données projet'!$E$13+1,1))-AVERAGE(OFFSET($H$3,0,0,'Données projet'!$E$13+1,1))</f>
        <v>407.76560346703042</v>
      </c>
      <c r="CZ133" s="59">
        <f t="shared" ref="CZ133:CZ196" si="150">$CZ$3</f>
        <v>319.35531375725202</v>
      </c>
      <c r="DA133" s="15">
        <f>IF(ISNA(VLOOKUP(A133,'Données projet'!$A$139:$I$159,3,0)),0,VLOOKUP(A133,'Données projet'!$A$139:$I$159,3,0))</f>
        <v>23</v>
      </c>
      <c r="DB133" s="15">
        <f>IF(ISNA(VLOOKUP(A133,'Données projet'!$A$139:$I$159,4,0)),0,VLOOKUP(A133,'Données projet'!$A$139:$I$159,4,0))</f>
        <v>44</v>
      </c>
      <c r="DC133" s="16">
        <f>IF(ISNA(VLOOKUP(A133,'Données projet'!$A$139:$I$159,5,0)),0%,VLOOKUP(A133,'Données projet'!$A$139:$I$159,5,0)*VLOOKUP('Données projet'!$B$13,Paramètres!$A$1:$I$89,7,0))</f>
        <v>0.38700000000000001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projet'!$B$13,Paramètres!$A$1:$I$89,3,0)*0.475*44/12</f>
        <v>82.40260697785817</v>
      </c>
      <c r="DG133" s="21">
        <f>EXP(-LN(2)/25)*DG132+(1-EXP(-LN(2)/25))/(LN(2)/25)*Calculateur!DB133*Calculateur!DD133*VLOOKUP('Données projet'!$B$13,Paramètres!$A$1:$I$89,3,0)*0.475*44/12</f>
        <v>0</v>
      </c>
      <c r="DH133" s="21">
        <f>EXP(-LN(2)/2)*DH132+(1-EXP(-LN(2)/2))/(LN(2)/2)*DB133*DE133*VLOOKUP('Données projet'!$B$13,Paramètres!$A$1:$I$89,3,0)*0.475*44/12</f>
        <v>0</v>
      </c>
      <c r="DI133" s="22">
        <f t="shared" si="123"/>
        <v>82.40260697785817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2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116.48520000000022</v>
      </c>
      <c r="D134" s="11">
        <f t="shared" si="140"/>
        <v>30.853816998586289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1137.3538154276855</v>
      </c>
      <c r="H134" s="67">
        <f t="shared" si="110"/>
        <v>513.28212127253823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0</v>
      </c>
      <c r="O134" s="13">
        <f>N134*VLOOKUP('Données projet'!$B$9,Paramètres!$A$1:$I$89,3,0)*VLOOKUP('Données projet'!$B$9,Paramètres!$A$1:$I$89,5,0)</f>
        <v>0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101.15586831191774</v>
      </c>
      <c r="T134" s="59">
        <f t="shared" si="142"/>
        <v>346.96347336689064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5.5136961323139539</v>
      </c>
      <c r="AA134" s="21">
        <f>EXP(-LN(2)/25)*AA133+(1-EXP(-LN(2)/25))/(LN(2)/25)*Calculateur!V134*Calculateur!X134*VLOOKUP('Données projet'!$B$9,Paramètres!$A$1:$I$89,3,0)*0.475*44/12</f>
        <v>1.0025179773936399</v>
      </c>
      <c r="AB134" s="21">
        <f>EXP(-LN(2)/2)*AB133+(1-EXP(-LN(2)/2))/(LN(2)/2)*V134*Y134*VLOOKUP('Données projet'!$B$9,Paramètres!$A$1:$I$89,3,0)*0.475*44/12</f>
        <v>0</v>
      </c>
      <c r="AC134" s="22">
        <f t="shared" si="111"/>
        <v>6.5162141097075938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0</v>
      </c>
      <c r="AJ134" s="13">
        <f>AI134*VLOOKUP('Données projet'!$B$10,Paramètres!$A$1:$I$89,3,0)*VLOOKUP('Données projet'!$B$10,Paramètres!$A$1:$I$89,5,0)</f>
        <v>0</v>
      </c>
      <c r="AK134" s="13" t="e">
        <f t="shared" si="143"/>
        <v>#NUM!</v>
      </c>
      <c r="AL134" s="20" t="e">
        <f t="shared" si="112"/>
        <v>#NUM!</v>
      </c>
      <c r="AM134" s="59" t="e">
        <f t="shared" si="113"/>
        <v>#NUM!</v>
      </c>
      <c r="AN134" s="59">
        <f ca="1">AVERAGE(OFFSET($AM$3,0,0,'Données projet'!$E$10+1,1))-AVERAGE(OFFSET($H$3,0,0,'Données projet'!$E$10+1,1))</f>
        <v>101.15586831191774</v>
      </c>
      <c r="AO134" s="59">
        <f t="shared" si="144"/>
        <v>346.96347336689064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5.5136961323139539</v>
      </c>
      <c r="AV134" s="21">
        <f>EXP(-LN(2)/25)*AV133+(1-EXP(-LN(2)/25))/(LN(2)/25)*Calculateur!AQ134*Calculateur!AS134*VLOOKUP('Données projet'!$B$10,Paramètres!$A$1:$I$89,3,0)*0.475*44/12</f>
        <v>1.0025179773936399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6.5162141097075938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3.9</v>
      </c>
      <c r="BD134" s="12">
        <f>IF('Données projet'!$A$88&gt;35,BD133+BC134-BL133,IF(A134&lt;'Données projet'!$A$88,$BA$205^A134,IF(A134='Données projet'!$A$88,'Données projet'!$B$88,BD133+BC134-BL133)))</f>
        <v>305.90000000000026</v>
      </c>
      <c r="BE134" s="13">
        <f>BD134*VLOOKUP('Données projet'!$B$11,Paramètres!$A$1:$I$89,3,0)*VLOOKUP('Données projet'!$B$11,Paramètres!$A$1:$I$89,5,0)</f>
        <v>276.77832000000024</v>
      </c>
      <c r="BF134" s="13">
        <f t="shared" si="145"/>
        <v>66.28571740098451</v>
      </c>
      <c r="BG134" s="20">
        <f t="shared" si="115"/>
        <v>597.50319847338164</v>
      </c>
      <c r="BH134" s="59">
        <f t="shared" si="116"/>
        <v>890.8365318067149</v>
      </c>
      <c r="BI134" s="59">
        <f ca="1">AVERAGE(OFFSET($BH$3,0,0,'Données projet'!$E$11+1,1))-AVERAGE(OFFSET($H$3,0,0,'Données projet'!$E$11+1,1))</f>
        <v>352.62747127358324</v>
      </c>
      <c r="BJ134" s="59">
        <f t="shared" si="146"/>
        <v>283.16932763435011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72.086631426272135</v>
      </c>
      <c r="BQ134" s="21">
        <f>EXP(-LN(2)/25)*BQ133+(1-EXP(-LN(2)/25))/(LN(2)/25)*Calculateur!BL134*Calculateur!BN134*VLOOKUP('Données projet'!$B$11,Paramètres!$A$1:$I$89,3,0)*0.475*44/12</f>
        <v>0</v>
      </c>
      <c r="BR134" s="21">
        <f>EXP(-LN(2)/2)*BR133+(1-EXP(-LN(2)/2))/(LN(2)/2)*BL134*BO134*VLOOKUP('Données projet'!$B$11,Paramètres!$A$1:$I$89,3,0)*0.475*44/12</f>
        <v>0</v>
      </c>
      <c r="BS134" s="22">
        <f t="shared" si="117"/>
        <v>72.086631426272135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3.9</v>
      </c>
      <c r="BY134" s="12">
        <f>IF('Données projet'!$A$114&gt;35,BY133+BX134-CG133,IF(A134&lt;'Données projet'!$A$114,$BV$205^A134,IF(A134='Données projet'!$A$114,'Données projet'!$B$114,BY133+BX134-CG133)))</f>
        <v>305.90000000000026</v>
      </c>
      <c r="BZ134" s="13">
        <f>BY134*VLOOKUP('Données projet'!$B$12,Paramètres!$A$1:$I$89,3,0)*VLOOKUP('Données projet'!$B$12,Paramètres!$A$1:$I$89,5,0)</f>
        <v>319.72668000000027</v>
      </c>
      <c r="CA134" s="13">
        <f t="shared" si="147"/>
        <v>75.296481293467963</v>
      </c>
      <c r="CB134" s="20">
        <f t="shared" si="118"/>
        <v>687.99867258612392</v>
      </c>
      <c r="CC134" s="59">
        <f t="shared" si="119"/>
        <v>981.33200591945729</v>
      </c>
      <c r="CD134" s="59">
        <f ca="1">AVERAGE(OFFSET($CC$3,0,0,'Données projet'!$E$12+1,1))-AVERAGE(OFFSET($H$3,0,0,'Données projet'!$E$12+1,1))</f>
        <v>423.49657671419374</v>
      </c>
      <c r="CE134" s="59">
        <f t="shared" si="148"/>
        <v>329.6783569381081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83.272488026900604</v>
      </c>
      <c r="CL134" s="21">
        <f>EXP(-LN(2)/25)*CL133+(1-EXP(-LN(2)/25))/(LN(2)/25)*Calculateur!CG134*Calculateur!CI134*VLOOKUP('Données projet'!$B$12,Paramètres!$A$1:$I$89,3,0)*0.475*44/12</f>
        <v>0</v>
      </c>
      <c r="CM134" s="21">
        <f>EXP(-LN(2)/2)*CM133+(1-EXP(-LN(2)/2))/(LN(2)/2)*CG134*CJ134*VLOOKUP('Données projet'!$B$12,Paramètres!$A$1:$I$89,3,0)*0.475*44/12</f>
        <v>0</v>
      </c>
      <c r="CN134" s="22">
        <f t="shared" si="120"/>
        <v>83.272488026900604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3.9</v>
      </c>
      <c r="CT134" s="12">
        <f>IF('Données projet'!$A$140&gt;35,CT133+CS134-DB133,IF(A134&lt;'Données projet'!$A$140,$CQ$205^A134,IF(A134='Données projet'!$A$140,'Données projet'!$B$140,CT133+CS134-DB133)))</f>
        <v>305.90000000000026</v>
      </c>
      <c r="CU134" s="17">
        <f>CT134*VLOOKUP('Données projet'!$B$13,Paramètres!$A$1:$I$89,3,0)*VLOOKUP('Données projet'!$B$13,Paramètres!$A$1:$I$89,5,0)</f>
        <v>310.18260000000026</v>
      </c>
      <c r="CV134" s="13">
        <f t="shared" si="149"/>
        <v>73.306963012444911</v>
      </c>
      <c r="CW134" s="20">
        <f t="shared" si="121"/>
        <v>667.91098891334195</v>
      </c>
      <c r="CX134" s="59">
        <f t="shared" si="122"/>
        <v>961.24432224667521</v>
      </c>
      <c r="CY134" s="59">
        <f ca="1">AVERAGE(OFFSET($CX$3,0,0,'Données projet'!$E$13+1,1))-AVERAGE(OFFSET($H$3,0,0,'Données projet'!$E$13+1,1))</f>
        <v>407.76560346703042</v>
      </c>
      <c r="CZ134" s="59">
        <f t="shared" si="150"/>
        <v>319.35531375725202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80.786742115649801</v>
      </c>
      <c r="DG134" s="21">
        <f>EXP(-LN(2)/25)*DG133+(1-EXP(-LN(2)/25))/(LN(2)/25)*Calculateur!DB134*Calculateur!DD134*VLOOKUP('Données projet'!$B$13,Paramètres!$A$1:$I$89,3,0)*0.475*44/12</f>
        <v>0</v>
      </c>
      <c r="DH134" s="21">
        <f>EXP(-LN(2)/2)*DH133+(1-EXP(-LN(2)/2))/(LN(2)/2)*DB134*DE134*VLOOKUP('Données projet'!$B$13,Paramètres!$A$1:$I$89,3,0)*0.475*44/12</f>
        <v>0</v>
      </c>
      <c r="DI134" s="22">
        <f t="shared" si="123"/>
        <v>80.786742115649801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2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117.37440000000022</v>
      </c>
      <c r="D135" s="11">
        <f t="shared" si="140"/>
        <v>31.061834975351932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1145.8235682307889</v>
      </c>
      <c r="H135" s="67">
        <f t="shared" si="110"/>
        <v>515.19310924873832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0</v>
      </c>
      <c r="O135" s="13">
        <f>N135*VLOOKUP('Données projet'!$B$9,Paramètres!$A$1:$I$89,3,0)*VLOOKUP('Données projet'!$B$9,Paramètres!$A$1:$I$89,5,0)</f>
        <v>0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101.15586831191774</v>
      </c>
      <c r="T135" s="59">
        <f t="shared" si="142"/>
        <v>346.96347336689064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5.4055759141818474</v>
      </c>
      <c r="AA135" s="21">
        <f>EXP(-LN(2)/25)*AA134+(1-EXP(-LN(2)/25))/(LN(2)/25)*Calculateur!V135*Calculateur!X135*VLOOKUP('Données projet'!$B$9,Paramètres!$A$1:$I$89,3,0)*0.475*44/12</f>
        <v>0.97510407058168169</v>
      </c>
      <c r="AB135" s="21">
        <f>EXP(-LN(2)/2)*AB134+(1-EXP(-LN(2)/2))/(LN(2)/2)*V135*Y135*VLOOKUP('Données projet'!$B$9,Paramètres!$A$1:$I$89,3,0)*0.475*44/12</f>
        <v>0</v>
      </c>
      <c r="AC135" s="22">
        <f t="shared" si="111"/>
        <v>6.3806799847635292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0</v>
      </c>
      <c r="AJ135" s="13">
        <f>AI135*VLOOKUP('Données projet'!$B$10,Paramètres!$A$1:$I$89,3,0)*VLOOKUP('Données projet'!$B$10,Paramètres!$A$1:$I$89,5,0)</f>
        <v>0</v>
      </c>
      <c r="AK135" s="13" t="e">
        <f t="shared" si="143"/>
        <v>#NUM!</v>
      </c>
      <c r="AL135" s="20" t="e">
        <f t="shared" si="112"/>
        <v>#NUM!</v>
      </c>
      <c r="AM135" s="59" t="e">
        <f t="shared" si="113"/>
        <v>#NUM!</v>
      </c>
      <c r="AN135" s="59">
        <f ca="1">AVERAGE(OFFSET($AM$3,0,0,'Données projet'!$E$10+1,1))-AVERAGE(OFFSET($H$3,0,0,'Données projet'!$E$10+1,1))</f>
        <v>101.15586831191774</v>
      </c>
      <c r="AO135" s="59">
        <f t="shared" si="144"/>
        <v>346.96347336689064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5.4055759141818474</v>
      </c>
      <c r="AV135" s="21">
        <f>EXP(-LN(2)/25)*AV134+(1-EXP(-LN(2)/25))/(LN(2)/25)*Calculateur!AQ135*Calculateur!AS135*VLOOKUP('Données projet'!$B$10,Paramètres!$A$1:$I$89,3,0)*0.475*44/12</f>
        <v>0.97510407058168169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6.3806799847635292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3.9</v>
      </c>
      <c r="BD135" s="12">
        <f>IF('Données projet'!$A$88&gt;35,BD134+BC135-BL134,IF(A135&lt;'Données projet'!$A$88,$BA$205^A135,IF(A135='Données projet'!$A$88,'Données projet'!$B$88,BD134+BC135-BL134)))</f>
        <v>309.80000000000024</v>
      </c>
      <c r="BE135" s="13">
        <f>BD135*VLOOKUP('Données projet'!$B$11,Paramètres!$A$1:$I$89,3,0)*VLOOKUP('Données projet'!$B$11,Paramètres!$A$1:$I$89,5,0)</f>
        <v>280.3070400000002</v>
      </c>
      <c r="BF135" s="13">
        <f t="shared" si="145"/>
        <v>67.031891120073936</v>
      </c>
      <c r="BG135" s="20">
        <f t="shared" si="115"/>
        <v>604.94863836746242</v>
      </c>
      <c r="BH135" s="59">
        <f t="shared" si="116"/>
        <v>898.28197170079579</v>
      </c>
      <c r="BI135" s="59">
        <f ca="1">AVERAGE(OFFSET($BH$3,0,0,'Données projet'!$E$11+1,1))-AVERAGE(OFFSET($H$3,0,0,'Données projet'!$E$11+1,1))</f>
        <v>352.62747127358324</v>
      </c>
      <c r="BJ135" s="59">
        <f t="shared" si="146"/>
        <v>283.16932763435011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70.67305655250658</v>
      </c>
      <c r="BQ135" s="21">
        <f>EXP(-LN(2)/25)*BQ134+(1-EXP(-LN(2)/25))/(LN(2)/25)*Calculateur!BL135*Calculateur!BN135*VLOOKUP('Données projet'!$B$11,Paramètres!$A$1:$I$89,3,0)*0.475*44/12</f>
        <v>0</v>
      </c>
      <c r="BR135" s="21">
        <f>EXP(-LN(2)/2)*BR134+(1-EXP(-LN(2)/2))/(LN(2)/2)*BL135*BO135*VLOOKUP('Données projet'!$B$11,Paramètres!$A$1:$I$89,3,0)*0.475*44/12</f>
        <v>0</v>
      </c>
      <c r="BS135" s="22">
        <f t="shared" si="117"/>
        <v>70.67305655250658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3.9</v>
      </c>
      <c r="BY135" s="12">
        <f>IF('Données projet'!$A$114&gt;35,BY134+BX135-CG134,IF(A135&lt;'Données projet'!$A$114,$BV$205^A135,IF(A135='Données projet'!$A$114,'Données projet'!$B$114,BY134+BX135-CG134)))</f>
        <v>309.80000000000024</v>
      </c>
      <c r="BZ135" s="13">
        <f>BY135*VLOOKUP('Données projet'!$B$12,Paramètres!$A$1:$I$89,3,0)*VLOOKUP('Données projet'!$B$12,Paramètres!$A$1:$I$89,5,0)</f>
        <v>323.80296000000027</v>
      </c>
      <c r="CA135" s="13">
        <f t="shared" si="147"/>
        <v>76.144088556148887</v>
      </c>
      <c r="CB135" s="20">
        <f t="shared" si="118"/>
        <v>696.57444290195974</v>
      </c>
      <c r="CC135" s="59">
        <f t="shared" si="119"/>
        <v>989.90777623529311</v>
      </c>
      <c r="CD135" s="59">
        <f ca="1">AVERAGE(OFFSET($CC$3,0,0,'Données projet'!$E$12+1,1))-AVERAGE(OFFSET($H$3,0,0,'Données projet'!$E$12+1,1))</f>
        <v>423.49657671419374</v>
      </c>
      <c r="CE135" s="59">
        <f t="shared" si="148"/>
        <v>329.6783569381081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81.639565327895568</v>
      </c>
      <c r="CL135" s="21">
        <f>EXP(-LN(2)/25)*CL134+(1-EXP(-LN(2)/25))/(LN(2)/25)*Calculateur!CG135*Calculateur!CI135*VLOOKUP('Données projet'!$B$12,Paramètres!$A$1:$I$89,3,0)*0.475*44/12</f>
        <v>0</v>
      </c>
      <c r="CM135" s="21">
        <f>EXP(-LN(2)/2)*CM134+(1-EXP(-LN(2)/2))/(LN(2)/2)*CG135*CJ135*VLOOKUP('Données projet'!$B$12,Paramètres!$A$1:$I$89,3,0)*0.475*44/12</f>
        <v>0</v>
      </c>
      <c r="CN135" s="22">
        <f t="shared" si="120"/>
        <v>81.639565327895568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3.9</v>
      </c>
      <c r="CT135" s="12">
        <f>IF('Données projet'!$A$140&gt;35,CT134+CS135-DB134,IF(A135&lt;'Données projet'!$A$140,$CQ$205^A135,IF(A135='Données projet'!$A$140,'Données projet'!$B$140,CT134+CS135-DB134)))</f>
        <v>309.80000000000024</v>
      </c>
      <c r="CU135" s="17">
        <f>CT135*VLOOKUP('Données projet'!$B$13,Paramètres!$A$1:$I$89,3,0)*VLOOKUP('Données projet'!$B$13,Paramètres!$A$1:$I$89,5,0)</f>
        <v>314.13720000000029</v>
      </c>
      <c r="CV135" s="13">
        <f t="shared" si="149"/>
        <v>74.132174405952952</v>
      </c>
      <c r="CW135" s="20">
        <f t="shared" si="121"/>
        <v>676.23582709036862</v>
      </c>
      <c r="CX135" s="59">
        <f t="shared" si="122"/>
        <v>969.56916042370199</v>
      </c>
      <c r="CY135" s="59">
        <f ca="1">AVERAGE(OFFSET($CX$3,0,0,'Données projet'!$E$13+1,1))-AVERAGE(OFFSET($H$3,0,0,'Données projet'!$E$13+1,1))</f>
        <v>407.76560346703042</v>
      </c>
      <c r="CZ135" s="59">
        <f t="shared" si="150"/>
        <v>319.35531375725202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79.202563377809099</v>
      </c>
      <c r="DG135" s="21">
        <f>EXP(-LN(2)/25)*DG134+(1-EXP(-LN(2)/25))/(LN(2)/25)*Calculateur!DB135*Calculateur!DD135*VLOOKUP('Données projet'!$B$13,Paramètres!$A$1:$I$89,3,0)*0.475*44/12</f>
        <v>0</v>
      </c>
      <c r="DH135" s="21">
        <f>EXP(-LN(2)/2)*DH134+(1-EXP(-LN(2)/2))/(LN(2)/2)*DB135*DE135*VLOOKUP('Données projet'!$B$13,Paramètres!$A$1:$I$89,3,0)*0.475*44/12</f>
        <v>0</v>
      </c>
      <c r="DI135" s="22">
        <f t="shared" si="123"/>
        <v>79.202563377809099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2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118.26360000000022</v>
      </c>
      <c r="D136" s="11">
        <f t="shared" si="140"/>
        <v>31.26966959708238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1154.2919056616904</v>
      </c>
      <c r="H136" s="67">
        <f t="shared" si="110"/>
        <v>517.10377788158553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0</v>
      </c>
      <c r="O136" s="13">
        <f>N136*VLOOKUP('Données projet'!$B$9,Paramètres!$A$1:$I$89,3,0)*VLOOKUP('Données projet'!$B$9,Paramètres!$A$1:$I$89,5,0)</f>
        <v>0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101.15586831191774</v>
      </c>
      <c r="T136" s="59">
        <f t="shared" si="142"/>
        <v>346.96347336689064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5.29957586758049</v>
      </c>
      <c r="AA136" s="21">
        <f>EXP(-LN(2)/25)*AA135+(1-EXP(-LN(2)/25))/(LN(2)/25)*Calculateur!V136*Calculateur!X136*VLOOKUP('Données projet'!$B$9,Paramètres!$A$1:$I$89,3,0)*0.475*44/12</f>
        <v>0.9484397984931312</v>
      </c>
      <c r="AB136" s="21">
        <f>EXP(-LN(2)/2)*AB135+(1-EXP(-LN(2)/2))/(LN(2)/2)*V136*Y136*VLOOKUP('Données projet'!$B$9,Paramètres!$A$1:$I$89,3,0)*0.475*44/12</f>
        <v>0</v>
      </c>
      <c r="AC136" s="22">
        <f t="shared" si="111"/>
        <v>6.2480156660736217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0</v>
      </c>
      <c r="AJ136" s="13">
        <f>AI136*VLOOKUP('Données projet'!$B$10,Paramètres!$A$1:$I$89,3,0)*VLOOKUP('Données projet'!$B$10,Paramètres!$A$1:$I$89,5,0)</f>
        <v>0</v>
      </c>
      <c r="AK136" s="13" t="e">
        <f t="shared" si="143"/>
        <v>#NUM!</v>
      </c>
      <c r="AL136" s="20" t="e">
        <f t="shared" si="112"/>
        <v>#NUM!</v>
      </c>
      <c r="AM136" s="59" t="e">
        <f t="shared" si="113"/>
        <v>#NUM!</v>
      </c>
      <c r="AN136" s="59">
        <f ca="1">AVERAGE(OFFSET($AM$3,0,0,'Données projet'!$E$10+1,1))-AVERAGE(OFFSET($H$3,0,0,'Données projet'!$E$10+1,1))</f>
        <v>101.15586831191774</v>
      </c>
      <c r="AO136" s="59">
        <f t="shared" si="144"/>
        <v>346.96347336689064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5.29957586758049</v>
      </c>
      <c r="AV136" s="21">
        <f>EXP(-LN(2)/25)*AV135+(1-EXP(-LN(2)/25))/(LN(2)/25)*Calculateur!AQ136*Calculateur!AS136*VLOOKUP('Données projet'!$B$10,Paramètres!$A$1:$I$89,3,0)*0.475*44/12</f>
        <v>0.9484397984931312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6.2480156660736217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3.9</v>
      </c>
      <c r="BD136" s="12">
        <f>IF('Données projet'!$A$88&gt;35,BD135+BC136-BL135,IF(A136&lt;'Données projet'!$A$88,$BA$205^A136,IF(A136='Données projet'!$A$88,'Données projet'!$B$88,BD135+BC136-BL135)))</f>
        <v>313.70000000000022</v>
      </c>
      <c r="BE136" s="13">
        <f>BD136*VLOOKUP('Données projet'!$B$11,Paramètres!$A$1:$I$89,3,0)*VLOOKUP('Données projet'!$B$11,Paramètres!$A$1:$I$89,5,0)</f>
        <v>283.83576000000016</v>
      </c>
      <c r="BF136" s="13">
        <f t="shared" si="145"/>
        <v>67.7769722167656</v>
      </c>
      <c r="BG136" s="20">
        <f t="shared" si="115"/>
        <v>612.39217527753362</v>
      </c>
      <c r="BH136" s="59">
        <f t="shared" si="116"/>
        <v>905.72550861086688</v>
      </c>
      <c r="BI136" s="59">
        <f ca="1">AVERAGE(OFFSET($BH$3,0,0,'Données projet'!$E$11+1,1))-AVERAGE(OFFSET($H$3,0,0,'Données projet'!$E$11+1,1))</f>
        <v>352.62747127358324</v>
      </c>
      <c r="BJ136" s="59">
        <f t="shared" si="146"/>
        <v>283.16932763435011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69.287201019820031</v>
      </c>
      <c r="BQ136" s="21">
        <f>EXP(-LN(2)/25)*BQ135+(1-EXP(-LN(2)/25))/(LN(2)/25)*Calculateur!BL136*Calculateur!BN136*VLOOKUP('Données projet'!$B$11,Paramètres!$A$1:$I$89,3,0)*0.475*44/12</f>
        <v>0</v>
      </c>
      <c r="BR136" s="21">
        <f>EXP(-LN(2)/2)*BR135+(1-EXP(-LN(2)/2))/(LN(2)/2)*BL136*BO136*VLOOKUP('Données projet'!$B$11,Paramètres!$A$1:$I$89,3,0)*0.475*44/12</f>
        <v>0</v>
      </c>
      <c r="BS136" s="22">
        <f t="shared" si="117"/>
        <v>69.287201019820031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3.9</v>
      </c>
      <c r="BY136" s="12">
        <f>IF('Données projet'!$A$114&gt;35,BY135+BX136-CG135,IF(A136&lt;'Données projet'!$A$114,$BV$205^A136,IF(A136='Données projet'!$A$114,'Données projet'!$B$114,BY135+BX136-CG135)))</f>
        <v>313.70000000000022</v>
      </c>
      <c r="BZ136" s="13">
        <f>BY136*VLOOKUP('Données projet'!$B$12,Paramètres!$A$1:$I$89,3,0)*VLOOKUP('Données projet'!$B$12,Paramètres!$A$1:$I$89,5,0)</f>
        <v>327.87924000000021</v>
      </c>
      <c r="CA136" s="13">
        <f t="shared" si="147"/>
        <v>76.990454667264203</v>
      </c>
      <c r="CB136" s="20">
        <f t="shared" si="118"/>
        <v>705.14805154548549</v>
      </c>
      <c r="CC136" s="59">
        <f t="shared" si="119"/>
        <v>998.48138487881874</v>
      </c>
      <c r="CD136" s="59">
        <f ca="1">AVERAGE(OFFSET($CC$3,0,0,'Données projet'!$E$12+1,1))-AVERAGE(OFFSET($H$3,0,0,'Données projet'!$E$12+1,1))</f>
        <v>423.49657671419374</v>
      </c>
      <c r="CE136" s="59">
        <f t="shared" si="148"/>
        <v>329.6783569381081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80.038663247033512</v>
      </c>
      <c r="CL136" s="21">
        <f>EXP(-LN(2)/25)*CL135+(1-EXP(-LN(2)/25))/(LN(2)/25)*Calculateur!CG136*Calculateur!CI136*VLOOKUP('Données projet'!$B$12,Paramètres!$A$1:$I$89,3,0)*0.475*44/12</f>
        <v>0</v>
      </c>
      <c r="CM136" s="21">
        <f>EXP(-LN(2)/2)*CM135+(1-EXP(-LN(2)/2))/(LN(2)/2)*CG136*CJ136*VLOOKUP('Données projet'!$B$12,Paramètres!$A$1:$I$89,3,0)*0.475*44/12</f>
        <v>0</v>
      </c>
      <c r="CN136" s="22">
        <f t="shared" si="120"/>
        <v>80.038663247033512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3.9</v>
      </c>
      <c r="CT136" s="12">
        <f>IF('Données projet'!$A$140&gt;35,CT135+CS136-DB135,IF(A136&lt;'Données projet'!$A$140,$CQ$205^A136,IF(A136='Données projet'!$A$140,'Données projet'!$B$140,CT135+CS136-DB135)))</f>
        <v>313.70000000000022</v>
      </c>
      <c r="CU136" s="17">
        <f>CT136*VLOOKUP('Données projet'!$B$13,Paramètres!$A$1:$I$89,3,0)*VLOOKUP('Données projet'!$B$13,Paramètres!$A$1:$I$89,5,0)</f>
        <v>318.09180000000026</v>
      </c>
      <c r="CV136" s="13">
        <f t="shared" si="149"/>
        <v>74.956177442173129</v>
      </c>
      <c r="CW136" s="20">
        <f t="shared" si="121"/>
        <v>684.55856071178539</v>
      </c>
      <c r="CX136" s="59">
        <f t="shared" si="122"/>
        <v>977.89189404511876</v>
      </c>
      <c r="CY136" s="59">
        <f ca="1">AVERAGE(OFFSET($CX$3,0,0,'Données projet'!$E$13+1,1))-AVERAGE(OFFSET($H$3,0,0,'Données projet'!$E$13+1,1))</f>
        <v>407.76560346703042</v>
      </c>
      <c r="CZ136" s="59">
        <f t="shared" si="150"/>
        <v>319.35531375725202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77.649449418763822</v>
      </c>
      <c r="DG136" s="21">
        <f>EXP(-LN(2)/25)*DG135+(1-EXP(-LN(2)/25))/(LN(2)/25)*Calculateur!DB136*Calculateur!DD136*VLOOKUP('Données projet'!$B$13,Paramètres!$A$1:$I$89,3,0)*0.475*44/12</f>
        <v>0</v>
      </c>
      <c r="DH136" s="21">
        <f>EXP(-LN(2)/2)*DH135+(1-EXP(-LN(2)/2))/(LN(2)/2)*DB136*DE136*VLOOKUP('Données projet'!$B$13,Paramètres!$A$1:$I$89,3,0)*0.475*44/12</f>
        <v>0</v>
      </c>
      <c r="DI136" s="22">
        <f t="shared" si="123"/>
        <v>77.649449418763822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2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119.15280000000023</v>
      </c>
      <c r="D137" s="11">
        <f t="shared" si="140"/>
        <v>31.477322402212781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1162.7588395960302</v>
      </c>
      <c r="H137" s="67">
        <f t="shared" si="110"/>
        <v>519.01412985052093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0</v>
      </c>
      <c r="O137" s="13">
        <f>N137*VLOOKUP('Données projet'!$B$9,Paramètres!$A$1:$I$89,3,0)*VLOOKUP('Données projet'!$B$9,Paramètres!$A$1:$I$89,5,0)</f>
        <v>0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101.15586831191774</v>
      </c>
      <c r="T137" s="59">
        <f t="shared" si="142"/>
        <v>346.96347336689064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5.1956544172393411</v>
      </c>
      <c r="AA137" s="21">
        <f>EXP(-LN(2)/25)*AA136+(1-EXP(-LN(2)/25))/(LN(2)/25)*Calculateur!V137*Calculateur!X137*VLOOKUP('Données projet'!$B$9,Paramètres!$A$1:$I$89,3,0)*0.475*44/12</f>
        <v>0.92250466232705519</v>
      </c>
      <c r="AB137" s="21">
        <f>EXP(-LN(2)/2)*AB136+(1-EXP(-LN(2)/2))/(LN(2)/2)*V137*Y137*VLOOKUP('Données projet'!$B$9,Paramètres!$A$1:$I$89,3,0)*0.475*44/12</f>
        <v>0</v>
      </c>
      <c r="AC137" s="22">
        <f t="shared" si="111"/>
        <v>6.1181590795663965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0</v>
      </c>
      <c r="AJ137" s="13">
        <f>AI137*VLOOKUP('Données projet'!$B$10,Paramètres!$A$1:$I$89,3,0)*VLOOKUP('Données projet'!$B$10,Paramètres!$A$1:$I$89,5,0)</f>
        <v>0</v>
      </c>
      <c r="AK137" s="13" t="e">
        <f t="shared" si="143"/>
        <v>#NUM!</v>
      </c>
      <c r="AL137" s="20" t="e">
        <f t="shared" si="112"/>
        <v>#NUM!</v>
      </c>
      <c r="AM137" s="59" t="e">
        <f t="shared" si="113"/>
        <v>#NUM!</v>
      </c>
      <c r="AN137" s="59">
        <f ca="1">AVERAGE(OFFSET($AM$3,0,0,'Données projet'!$E$10+1,1))-AVERAGE(OFFSET($H$3,0,0,'Données projet'!$E$10+1,1))</f>
        <v>101.15586831191774</v>
      </c>
      <c r="AO137" s="59">
        <f t="shared" si="144"/>
        <v>346.96347336689064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5.1956544172393411</v>
      </c>
      <c r="AV137" s="21">
        <f>EXP(-LN(2)/25)*AV136+(1-EXP(-LN(2)/25))/(LN(2)/25)*Calculateur!AQ137*Calculateur!AS137*VLOOKUP('Données projet'!$B$10,Paramètres!$A$1:$I$89,3,0)*0.475*44/12</f>
        <v>0.92250466232705519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6.1181590795663965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3.9</v>
      </c>
      <c r="BD137" s="12">
        <f>IF('Données projet'!$A$88&gt;35,BD136+BC137-BL136,IF(A137&lt;'Données projet'!$A$88,$BA$205^A137,IF(A137='Données projet'!$A$88,'Données projet'!$B$88,BD136+BC137-BL136)))</f>
        <v>317.60000000000019</v>
      </c>
      <c r="BE137" s="13">
        <f>BD137*VLOOKUP('Données projet'!$B$11,Paramètres!$A$1:$I$89,3,0)*VLOOKUP('Données projet'!$B$11,Paramètres!$A$1:$I$89,5,0)</f>
        <v>287.36448000000019</v>
      </c>
      <c r="BF137" s="13">
        <f t="shared" si="145"/>
        <v>68.520975845793458</v>
      </c>
      <c r="BG137" s="20">
        <f t="shared" si="115"/>
        <v>619.83383559809056</v>
      </c>
      <c r="BH137" s="59">
        <f t="shared" si="116"/>
        <v>913.16716893142393</v>
      </c>
      <c r="BI137" s="59">
        <f ca="1">AVERAGE(OFFSET($BH$3,0,0,'Données projet'!$E$11+1,1))-AVERAGE(OFFSET($H$3,0,0,'Données projet'!$E$11+1,1))</f>
        <v>352.62747127358324</v>
      </c>
      <c r="BJ137" s="59">
        <f t="shared" si="146"/>
        <v>283.16932763435011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67.928521268841052</v>
      </c>
      <c r="BQ137" s="21">
        <f>EXP(-LN(2)/25)*BQ136+(1-EXP(-LN(2)/25))/(LN(2)/25)*Calculateur!BL137*Calculateur!BN137*VLOOKUP('Données projet'!$B$11,Paramètres!$A$1:$I$89,3,0)*0.475*44/12</f>
        <v>0</v>
      </c>
      <c r="BR137" s="21">
        <f>EXP(-LN(2)/2)*BR136+(1-EXP(-LN(2)/2))/(LN(2)/2)*BL137*BO137*VLOOKUP('Données projet'!$B$11,Paramètres!$A$1:$I$89,3,0)*0.475*44/12</f>
        <v>0</v>
      </c>
      <c r="BS137" s="22">
        <f t="shared" si="117"/>
        <v>67.928521268841052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3.9</v>
      </c>
      <c r="BY137" s="12">
        <f>IF('Données projet'!$A$114&gt;35,BY136+BX137-CG136,IF(A137&lt;'Données projet'!$A$114,$BV$205^A137,IF(A137='Données projet'!$A$114,'Données projet'!$B$114,BY136+BX137-CG136)))</f>
        <v>317.60000000000019</v>
      </c>
      <c r="BZ137" s="13">
        <f>BY137*VLOOKUP('Données projet'!$B$12,Paramètres!$A$1:$I$89,3,0)*VLOOKUP('Données projet'!$B$12,Paramètres!$A$1:$I$89,5,0)</f>
        <v>331.95552000000026</v>
      </c>
      <c r="CA137" s="13">
        <f t="shared" si="147"/>
        <v>77.835596841655772</v>
      </c>
      <c r="CB137" s="20">
        <f t="shared" si="118"/>
        <v>713.71952849921763</v>
      </c>
      <c r="CC137" s="59">
        <f t="shared" si="119"/>
        <v>1007.0528618325509</v>
      </c>
      <c r="CD137" s="59">
        <f ca="1">AVERAGE(OFFSET($CC$3,0,0,'Données projet'!$E$12+1,1))-AVERAGE(OFFSET($H$3,0,0,'Données projet'!$E$12+1,1))</f>
        <v>423.49657671419374</v>
      </c>
      <c r="CE137" s="59">
        <f t="shared" si="148"/>
        <v>329.6783569381081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78.469153879523319</v>
      </c>
      <c r="CL137" s="21">
        <f>EXP(-LN(2)/25)*CL136+(1-EXP(-LN(2)/25))/(LN(2)/25)*Calculateur!CG137*Calculateur!CI137*VLOOKUP('Données projet'!$B$12,Paramètres!$A$1:$I$89,3,0)*0.475*44/12</f>
        <v>0</v>
      </c>
      <c r="CM137" s="21">
        <f>EXP(-LN(2)/2)*CM136+(1-EXP(-LN(2)/2))/(LN(2)/2)*CG137*CJ137*VLOOKUP('Données projet'!$B$12,Paramètres!$A$1:$I$89,3,0)*0.475*44/12</f>
        <v>0</v>
      </c>
      <c r="CN137" s="22">
        <f t="shared" si="120"/>
        <v>78.469153879523319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3.9</v>
      </c>
      <c r="CT137" s="12">
        <f>IF('Données projet'!$A$140&gt;35,CT136+CS137-DB136,IF(A137&lt;'Données projet'!$A$140,$CQ$205^A137,IF(A137='Données projet'!$A$140,'Données projet'!$B$140,CT136+CS137-DB136)))</f>
        <v>317.60000000000019</v>
      </c>
      <c r="CU137" s="17">
        <f>CT137*VLOOKUP('Données projet'!$B$13,Paramètres!$A$1:$I$89,3,0)*VLOOKUP('Données projet'!$B$13,Paramètres!$A$1:$I$89,5,0)</f>
        <v>322.04640000000023</v>
      </c>
      <c r="CV137" s="13">
        <f t="shared" si="149"/>
        <v>75.778988881088978</v>
      </c>
      <c r="CW137" s="20">
        <f t="shared" si="121"/>
        <v>692.87921896789703</v>
      </c>
      <c r="CX137" s="59">
        <f t="shared" si="122"/>
        <v>986.21255230123029</v>
      </c>
      <c r="CY137" s="59">
        <f ca="1">AVERAGE(OFFSET($CX$3,0,0,'Données projet'!$E$13+1,1))-AVERAGE(OFFSET($H$3,0,0,'Données projet'!$E$13+1,1))</f>
        <v>407.76560346703042</v>
      </c>
      <c r="CZ137" s="59">
        <f t="shared" si="150"/>
        <v>319.35531375725202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76.126791077149448</v>
      </c>
      <c r="DG137" s="21">
        <f>EXP(-LN(2)/25)*DG136+(1-EXP(-LN(2)/25))/(LN(2)/25)*Calculateur!DB137*Calculateur!DD137*VLOOKUP('Données projet'!$B$13,Paramètres!$A$1:$I$89,3,0)*0.475*44/12</f>
        <v>0</v>
      </c>
      <c r="DH137" s="21">
        <f>EXP(-LN(2)/2)*DH136+(1-EXP(-LN(2)/2))/(LN(2)/2)*DB137*DE137*VLOOKUP('Données projet'!$B$13,Paramètres!$A$1:$I$89,3,0)*0.475*44/12</f>
        <v>0</v>
      </c>
      <c r="DI137" s="22">
        <f t="shared" si="123"/>
        <v>76.126791077149448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2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120.04200000000023</v>
      </c>
      <c r="D138" s="11">
        <f t="shared" si="140"/>
        <v>31.68479490489014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1171.2243817219608</v>
      </c>
      <c r="H138" s="67">
        <f t="shared" si="110"/>
        <v>520.9241677926841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0</v>
      </c>
      <c r="O138" s="13">
        <f>N138*VLOOKUP('Données projet'!$B$9,Paramètres!$A$1:$I$89,3,0)*VLOOKUP('Données projet'!$B$9,Paramètres!$A$1:$I$89,5,0)</f>
        <v>0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101.15586831191774</v>
      </c>
      <c r="T138" s="59">
        <f t="shared" si="142"/>
        <v>346.96347336689064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5.0937708031535553</v>
      </c>
      <c r="AA138" s="21">
        <f>EXP(-LN(2)/25)*AA137+(1-EXP(-LN(2)/25))/(LN(2)/25)*Calculateur!V138*Calculateur!X138*VLOOKUP('Données projet'!$B$9,Paramètres!$A$1:$I$89,3,0)*0.475*44/12</f>
        <v>0.89727872382331009</v>
      </c>
      <c r="AB138" s="21">
        <f>EXP(-LN(2)/2)*AB137+(1-EXP(-LN(2)/2))/(LN(2)/2)*V138*Y138*VLOOKUP('Données projet'!$B$9,Paramètres!$A$1:$I$89,3,0)*0.475*44/12</f>
        <v>0</v>
      </c>
      <c r="AC138" s="22">
        <f t="shared" si="111"/>
        <v>5.9910495269768651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0</v>
      </c>
      <c r="AJ138" s="13">
        <f>AI138*VLOOKUP('Données projet'!$B$10,Paramètres!$A$1:$I$89,3,0)*VLOOKUP('Données projet'!$B$10,Paramètres!$A$1:$I$89,5,0)</f>
        <v>0</v>
      </c>
      <c r="AK138" s="13" t="e">
        <f t="shared" si="143"/>
        <v>#NUM!</v>
      </c>
      <c r="AL138" s="20" t="e">
        <f t="shared" si="112"/>
        <v>#NUM!</v>
      </c>
      <c r="AM138" s="59" t="e">
        <f t="shared" si="113"/>
        <v>#NUM!</v>
      </c>
      <c r="AN138" s="59">
        <f ca="1">AVERAGE(OFFSET($AM$3,0,0,'Données projet'!$E$10+1,1))-AVERAGE(OFFSET($H$3,0,0,'Données projet'!$E$10+1,1))</f>
        <v>101.15586831191774</v>
      </c>
      <c r="AO138" s="59">
        <f t="shared" si="144"/>
        <v>346.96347336689064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5.0937708031535553</v>
      </c>
      <c r="AV138" s="21">
        <f>EXP(-LN(2)/25)*AV137+(1-EXP(-LN(2)/25))/(LN(2)/25)*Calculateur!AQ138*Calculateur!AS138*VLOOKUP('Données projet'!$B$10,Paramètres!$A$1:$I$89,3,0)*0.475*44/12</f>
        <v>0.89727872382331009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5.9910495269768651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3.9</v>
      </c>
      <c r="BD138" s="12">
        <f>IF('Données projet'!$A$88&gt;35,BD137+BC138-BL137,IF(A138&lt;'Données projet'!$A$88,$BA$205^A138,IF(A138='Données projet'!$A$88,'Données projet'!$B$88,BD137+BC138-BL137)))</f>
        <v>321.50000000000017</v>
      </c>
      <c r="BE138" s="13">
        <f>BD138*VLOOKUP('Données projet'!$B$11,Paramètres!$A$1:$I$89,3,0)*VLOOKUP('Données projet'!$B$11,Paramètres!$A$1:$I$89,5,0)</f>
        <v>290.89320000000015</v>
      </c>
      <c r="BF138" s="13">
        <f t="shared" si="145"/>
        <v>69.263916768293996</v>
      </c>
      <c r="BG138" s="20">
        <f t="shared" si="115"/>
        <v>627.27364503811225</v>
      </c>
      <c r="BH138" s="59">
        <f t="shared" si="116"/>
        <v>920.60697837144562</v>
      </c>
      <c r="BI138" s="59">
        <f ca="1">AVERAGE(OFFSET($BH$3,0,0,'Données projet'!$E$11+1,1))-AVERAGE(OFFSET($H$3,0,0,'Données projet'!$E$11+1,1))</f>
        <v>352.62747127358324</v>
      </c>
      <c r="BJ138" s="59">
        <f t="shared" si="146"/>
        <v>283.16932763435011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66.596484399065957</v>
      </c>
      <c r="BQ138" s="21">
        <f>EXP(-LN(2)/25)*BQ137+(1-EXP(-LN(2)/25))/(LN(2)/25)*Calculateur!BL138*Calculateur!BN138*VLOOKUP('Données projet'!$B$11,Paramètres!$A$1:$I$89,3,0)*0.475*44/12</f>
        <v>0</v>
      </c>
      <c r="BR138" s="21">
        <f>EXP(-LN(2)/2)*BR137+(1-EXP(-LN(2)/2))/(LN(2)/2)*BL138*BO138*VLOOKUP('Données projet'!$B$11,Paramètres!$A$1:$I$89,3,0)*0.475*44/12</f>
        <v>0</v>
      </c>
      <c r="BS138" s="22">
        <f t="shared" si="117"/>
        <v>66.596484399065957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3.9</v>
      </c>
      <c r="BY138" s="12">
        <f>IF('Données projet'!$A$114&gt;35,BY137+BX138-CG137,IF(A138&lt;'Données projet'!$A$114,$BV$205^A138,IF(A138='Données projet'!$A$114,'Données projet'!$B$114,BY137+BX138-CG137)))</f>
        <v>321.50000000000017</v>
      </c>
      <c r="BZ138" s="13">
        <f>BY138*VLOOKUP('Données projet'!$B$12,Paramètres!$A$1:$I$89,3,0)*VLOOKUP('Données projet'!$B$12,Paramètres!$A$1:$I$89,5,0)</f>
        <v>336.0318000000002</v>
      </c>
      <c r="CA138" s="13">
        <f t="shared" si="147"/>
        <v>78.679531847062805</v>
      </c>
      <c r="CB138" s="20">
        <f t="shared" si="118"/>
        <v>722.28890296696807</v>
      </c>
      <c r="CC138" s="59">
        <f t="shared" si="119"/>
        <v>1015.6222363003014</v>
      </c>
      <c r="CD138" s="59">
        <f ca="1">AVERAGE(OFFSET($CC$3,0,0,'Données projet'!$E$12+1,1))-AVERAGE(OFFSET($H$3,0,0,'Données projet'!$E$12+1,1))</f>
        <v>423.49657671419374</v>
      </c>
      <c r="CE138" s="59">
        <f t="shared" si="148"/>
        <v>329.6783569381081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76.93042163340381</v>
      </c>
      <c r="CL138" s="21">
        <f>EXP(-LN(2)/25)*CL137+(1-EXP(-LN(2)/25))/(LN(2)/25)*Calculateur!CG138*Calculateur!CI138*VLOOKUP('Données projet'!$B$12,Paramètres!$A$1:$I$89,3,0)*0.475*44/12</f>
        <v>0</v>
      </c>
      <c r="CM138" s="21">
        <f>EXP(-LN(2)/2)*CM137+(1-EXP(-LN(2)/2))/(LN(2)/2)*CG138*CJ138*VLOOKUP('Données projet'!$B$12,Paramètres!$A$1:$I$89,3,0)*0.475*44/12</f>
        <v>0</v>
      </c>
      <c r="CN138" s="22">
        <f t="shared" si="120"/>
        <v>76.93042163340381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3.9</v>
      </c>
      <c r="CT138" s="12">
        <f>IF('Données projet'!$A$140&gt;35,CT137+CS138-DB137,IF(A138&lt;'Données projet'!$A$140,$CQ$205^A138,IF(A138='Données projet'!$A$140,'Données projet'!$B$140,CT137+CS138-DB137)))</f>
        <v>321.50000000000017</v>
      </c>
      <c r="CU138" s="17">
        <f>CT138*VLOOKUP('Données projet'!$B$13,Paramètres!$A$1:$I$89,3,0)*VLOOKUP('Données projet'!$B$13,Paramètres!$A$1:$I$89,5,0)</f>
        <v>326.0010000000002</v>
      </c>
      <c r="CV138" s="13">
        <f t="shared" si="149"/>
        <v>76.600625047394786</v>
      </c>
      <c r="CW138" s="20">
        <f t="shared" si="121"/>
        <v>701.19783029087955</v>
      </c>
      <c r="CX138" s="59">
        <f t="shared" si="122"/>
        <v>994.53116362421292</v>
      </c>
      <c r="CY138" s="59">
        <f ca="1">AVERAGE(OFFSET($CX$3,0,0,'Données projet'!$E$13+1,1))-AVERAGE(OFFSET($H$3,0,0,'Données projet'!$E$13+1,1))</f>
        <v>407.76560346703042</v>
      </c>
      <c r="CZ138" s="59">
        <f t="shared" si="150"/>
        <v>319.35531375725202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74.633991136884248</v>
      </c>
      <c r="DG138" s="21">
        <f>EXP(-LN(2)/25)*DG137+(1-EXP(-LN(2)/25))/(LN(2)/25)*Calculateur!DB138*Calculateur!DD138*VLOOKUP('Données projet'!$B$13,Paramètres!$A$1:$I$89,3,0)*0.475*44/12</f>
        <v>0</v>
      </c>
      <c r="DH138" s="21">
        <f>EXP(-LN(2)/2)*DH137+(1-EXP(-LN(2)/2))/(LN(2)/2)*DB138*DE138*VLOOKUP('Données projet'!$B$13,Paramètres!$A$1:$I$89,3,0)*0.475*44/12</f>
        <v>0</v>
      </c>
      <c r="DI138" s="22">
        <f t="shared" si="123"/>
        <v>74.633991136884248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2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120.93120000000023</v>
      </c>
      <c r="D139" s="11">
        <f t="shared" si="140"/>
        <v>31.892088595533707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1179.6885435444726</v>
      </c>
      <c r="H139" s="67">
        <f t="shared" si="110"/>
        <v>522.83389430388831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0</v>
      </c>
      <c r="O139" s="13">
        <f>N139*VLOOKUP('Données projet'!$B$9,Paramètres!$A$1:$I$89,3,0)*VLOOKUP('Données projet'!$B$9,Paramètres!$A$1:$I$89,5,0)</f>
        <v>0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101.15586831191774</v>
      </c>
      <c r="T139" s="59">
        <f t="shared" si="142"/>
        <v>346.96347336689064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4.9938850645971238</v>
      </c>
      <c r="AA139" s="21">
        <f>EXP(-LN(2)/25)*AA138+(1-EXP(-LN(2)/25))/(LN(2)/25)*Calculateur!V139*Calculateur!X139*VLOOKUP('Données projet'!$B$9,Paramètres!$A$1:$I$89,3,0)*0.475*44/12</f>
        <v>0.87274258993452436</v>
      </c>
      <c r="AB139" s="21">
        <f>EXP(-LN(2)/2)*AB138+(1-EXP(-LN(2)/2))/(LN(2)/2)*V139*Y139*VLOOKUP('Données projet'!$B$9,Paramètres!$A$1:$I$89,3,0)*0.475*44/12</f>
        <v>0</v>
      </c>
      <c r="AC139" s="22">
        <f t="shared" si="111"/>
        <v>5.8666276545316478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0</v>
      </c>
      <c r="AJ139" s="13">
        <f>AI139*VLOOKUP('Données projet'!$B$10,Paramètres!$A$1:$I$89,3,0)*VLOOKUP('Données projet'!$B$10,Paramètres!$A$1:$I$89,5,0)</f>
        <v>0</v>
      </c>
      <c r="AK139" s="13" t="e">
        <f t="shared" si="143"/>
        <v>#NUM!</v>
      </c>
      <c r="AL139" s="20" t="e">
        <f t="shared" si="112"/>
        <v>#NUM!</v>
      </c>
      <c r="AM139" s="59" t="e">
        <f t="shared" si="113"/>
        <v>#NUM!</v>
      </c>
      <c r="AN139" s="59">
        <f ca="1">AVERAGE(OFFSET($AM$3,0,0,'Données projet'!$E$10+1,1))-AVERAGE(OFFSET($H$3,0,0,'Données projet'!$E$10+1,1))</f>
        <v>101.15586831191774</v>
      </c>
      <c r="AO139" s="59">
        <f t="shared" si="144"/>
        <v>346.96347336689064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4.9938850645971238</v>
      </c>
      <c r="AV139" s="21">
        <f>EXP(-LN(2)/25)*AV138+(1-EXP(-LN(2)/25))/(LN(2)/25)*Calculateur!AQ139*Calculateur!AS139*VLOOKUP('Données projet'!$B$10,Paramètres!$A$1:$I$89,3,0)*0.475*44/12</f>
        <v>0.87274258993452436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5.8666276545316478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3.9</v>
      </c>
      <c r="BD139" s="12">
        <f>IF('Données projet'!$A$88&gt;35,BD138+BC139-BL138,IF(A139&lt;'Données projet'!$A$88,$BA$205^A139,IF(A139='Données projet'!$A$88,'Données projet'!$B$88,BD138+BC139-BL138)))</f>
        <v>325.40000000000015</v>
      </c>
      <c r="BE139" s="13">
        <f>BD139*VLOOKUP('Données projet'!$B$11,Paramètres!$A$1:$I$89,3,0)*VLOOKUP('Données projet'!$B$11,Paramètres!$A$1:$I$89,5,0)</f>
        <v>294.42192000000011</v>
      </c>
      <c r="BF139" s="13">
        <f t="shared" si="145"/>
        <v>70.00580936667663</v>
      </c>
      <c r="BG139" s="20">
        <f t="shared" si="115"/>
        <v>634.71162864696203</v>
      </c>
      <c r="BH139" s="59">
        <f t="shared" si="116"/>
        <v>928.04496198029528</v>
      </c>
      <c r="BI139" s="59">
        <f ca="1">AVERAGE(OFFSET($BH$3,0,0,'Données projet'!$E$11+1,1))-AVERAGE(OFFSET($H$3,0,0,'Données projet'!$E$11+1,1))</f>
        <v>352.62747127358324</v>
      </c>
      <c r="BJ139" s="59">
        <f t="shared" si="146"/>
        <v>283.16932763435011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65.290567959844878</v>
      </c>
      <c r="BQ139" s="21">
        <f>EXP(-LN(2)/25)*BQ138+(1-EXP(-LN(2)/25))/(LN(2)/25)*Calculateur!BL139*Calculateur!BN139*VLOOKUP('Données projet'!$B$11,Paramètres!$A$1:$I$89,3,0)*0.475*44/12</f>
        <v>0</v>
      </c>
      <c r="BR139" s="21">
        <f>EXP(-LN(2)/2)*BR138+(1-EXP(-LN(2)/2))/(LN(2)/2)*BL139*BO139*VLOOKUP('Données projet'!$B$11,Paramètres!$A$1:$I$89,3,0)*0.475*44/12</f>
        <v>0</v>
      </c>
      <c r="BS139" s="22">
        <f t="shared" si="117"/>
        <v>65.290567959844878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3.9</v>
      </c>
      <c r="BY139" s="12">
        <f>IF('Données projet'!$A$114&gt;35,BY138+BX139-CG138,IF(A139&lt;'Données projet'!$A$114,$BV$205^A139,IF(A139='Données projet'!$A$114,'Données projet'!$B$114,BY138+BX139-CG138)))</f>
        <v>325.40000000000015</v>
      </c>
      <c r="BZ139" s="13">
        <f>BY139*VLOOKUP('Données projet'!$B$12,Paramètres!$A$1:$I$89,3,0)*VLOOKUP('Données projet'!$B$12,Paramètres!$A$1:$I$89,5,0)</f>
        <v>340.1080800000002</v>
      </c>
      <c r="CA139" s="13">
        <f t="shared" si="147"/>
        <v>79.522276021014378</v>
      </c>
      <c r="CB139" s="20">
        <f t="shared" si="118"/>
        <v>730.85620340326705</v>
      </c>
      <c r="CC139" s="59">
        <f t="shared" si="119"/>
        <v>1024.1895367366003</v>
      </c>
      <c r="CD139" s="59">
        <f ca="1">AVERAGE(OFFSET($CC$3,0,0,'Données projet'!$E$12+1,1))-AVERAGE(OFFSET($H$3,0,0,'Données projet'!$E$12+1,1))</f>
        <v>423.49657671419374</v>
      </c>
      <c r="CE139" s="59">
        <f t="shared" si="148"/>
        <v>329.6783569381081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75.421862988096706</v>
      </c>
      <c r="CL139" s="21">
        <f>EXP(-LN(2)/25)*CL138+(1-EXP(-LN(2)/25))/(LN(2)/25)*Calculateur!CG139*Calculateur!CI139*VLOOKUP('Données projet'!$B$12,Paramètres!$A$1:$I$89,3,0)*0.475*44/12</f>
        <v>0</v>
      </c>
      <c r="CM139" s="21">
        <f>EXP(-LN(2)/2)*CM138+(1-EXP(-LN(2)/2))/(LN(2)/2)*CG139*CJ139*VLOOKUP('Données projet'!$B$12,Paramètres!$A$1:$I$89,3,0)*0.475*44/12</f>
        <v>0</v>
      </c>
      <c r="CN139" s="22">
        <f t="shared" si="120"/>
        <v>75.421862988096706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3.9</v>
      </c>
      <c r="CT139" s="12">
        <f>IF('Données projet'!$A$140&gt;35,CT138+CS139-DB138,IF(A139&lt;'Données projet'!$A$140,$CQ$205^A139,IF(A139='Données projet'!$A$140,'Données projet'!$B$140,CT138+CS139-DB138)))</f>
        <v>325.40000000000015</v>
      </c>
      <c r="CU139" s="17">
        <f>CT139*VLOOKUP('Données projet'!$B$13,Paramètres!$A$1:$I$89,3,0)*VLOOKUP('Données projet'!$B$13,Paramètres!$A$1:$I$89,5,0)</f>
        <v>329.95560000000017</v>
      </c>
      <c r="CV139" s="13">
        <f t="shared" si="149"/>
        <v>77.421101846941866</v>
      </c>
      <c r="CW139" s="20">
        <f t="shared" si="121"/>
        <v>709.51442238342406</v>
      </c>
      <c r="CX139" s="59">
        <f t="shared" si="122"/>
        <v>1002.8477557167573</v>
      </c>
      <c r="CY139" s="59">
        <f ca="1">AVERAGE(OFFSET($CX$3,0,0,'Données projet'!$E$13+1,1))-AVERAGE(OFFSET($H$3,0,0,'Données projet'!$E$13+1,1))</f>
        <v>407.76560346703042</v>
      </c>
      <c r="CZ139" s="59">
        <f t="shared" si="150"/>
        <v>319.35531375725202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73.170464092929592</v>
      </c>
      <c r="DG139" s="21">
        <f>EXP(-LN(2)/25)*DG138+(1-EXP(-LN(2)/25))/(LN(2)/25)*Calculateur!DB139*Calculateur!DD139*VLOOKUP('Données projet'!$B$13,Paramètres!$A$1:$I$89,3,0)*0.475*44/12</f>
        <v>0</v>
      </c>
      <c r="DH139" s="21">
        <f>EXP(-LN(2)/2)*DH138+(1-EXP(-LN(2)/2))/(LN(2)/2)*DB139*DE139*VLOOKUP('Données projet'!$B$13,Paramètres!$A$1:$I$89,3,0)*0.475*44/12</f>
        <v>0</v>
      </c>
      <c r="DI139" s="22">
        <f t="shared" si="123"/>
        <v>73.170464092929592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2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121.82040000000023</v>
      </c>
      <c r="D140" s="11">
        <f t="shared" si="140"/>
        <v>32.09920494137846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1188.1513363895899</v>
      </c>
      <c r="H140" s="67">
        <f t="shared" si="110"/>
        <v>524.74331193956789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0</v>
      </c>
      <c r="O140" s="13">
        <f>N140*VLOOKUP('Données projet'!$B$9,Paramètres!$A$1:$I$89,3,0)*VLOOKUP('Données projet'!$B$9,Paramètres!$A$1:$I$89,5,0)</f>
        <v>0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101.15586831191774</v>
      </c>
      <c r="T140" s="59">
        <f t="shared" si="142"/>
        <v>346.96347336689064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4.8959580244494987</v>
      </c>
      <c r="AA140" s="21">
        <f>EXP(-LN(2)/25)*AA139+(1-EXP(-LN(2)/25))/(LN(2)/25)*Calculateur!V140*Calculateur!X140*VLOOKUP('Données projet'!$B$9,Paramètres!$A$1:$I$89,3,0)*0.475*44/12</f>
        <v>0.84887739791722672</v>
      </c>
      <c r="AB140" s="21">
        <f>EXP(-LN(2)/2)*AB139+(1-EXP(-LN(2)/2))/(LN(2)/2)*V140*Y140*VLOOKUP('Données projet'!$B$9,Paramètres!$A$1:$I$89,3,0)*0.475*44/12</f>
        <v>0</v>
      </c>
      <c r="AC140" s="22">
        <f t="shared" si="111"/>
        <v>5.7448354223667257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0</v>
      </c>
      <c r="AJ140" s="13">
        <f>AI140*VLOOKUP('Données projet'!$B$10,Paramètres!$A$1:$I$89,3,0)*VLOOKUP('Données projet'!$B$10,Paramètres!$A$1:$I$89,5,0)</f>
        <v>0</v>
      </c>
      <c r="AK140" s="13" t="e">
        <f t="shared" si="143"/>
        <v>#NUM!</v>
      </c>
      <c r="AL140" s="20" t="e">
        <f t="shared" si="112"/>
        <v>#NUM!</v>
      </c>
      <c r="AM140" s="59" t="e">
        <f t="shared" si="113"/>
        <v>#NUM!</v>
      </c>
      <c r="AN140" s="59">
        <f ca="1">AVERAGE(OFFSET($AM$3,0,0,'Données projet'!$E$10+1,1))-AVERAGE(OFFSET($H$3,0,0,'Données projet'!$E$10+1,1))</f>
        <v>101.15586831191774</v>
      </c>
      <c r="AO140" s="59">
        <f t="shared" si="144"/>
        <v>346.96347336689064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4.8959580244494987</v>
      </c>
      <c r="AV140" s="21">
        <f>EXP(-LN(2)/25)*AV139+(1-EXP(-LN(2)/25))/(LN(2)/25)*Calculateur!AQ140*Calculateur!AS140*VLOOKUP('Données projet'!$B$10,Paramètres!$A$1:$I$89,3,0)*0.475*44/12</f>
        <v>0.84887739791722672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5.7448354223667257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3.9</v>
      </c>
      <c r="BD140" s="12">
        <f>IF('Données projet'!$A$88&gt;35,BD139+BC140-BL139,IF(A140&lt;'Données projet'!$A$88,$BA$205^A140,IF(A140='Données projet'!$A$88,'Données projet'!$B$88,BD139+BC140-BL139)))</f>
        <v>329.30000000000013</v>
      </c>
      <c r="BE140" s="13">
        <f>BD140*VLOOKUP('Données projet'!$B$11,Paramètres!$A$1:$I$89,3,0)*VLOOKUP('Données projet'!$B$11,Paramètres!$A$1:$I$89,5,0)</f>
        <v>297.95064000000008</v>
      </c>
      <c r="BF140" s="13">
        <f t="shared" si="145"/>
        <v>70.746667658760956</v>
      </c>
      <c r="BG140" s="20">
        <f t="shared" si="115"/>
        <v>642.14781083900868</v>
      </c>
      <c r="BH140" s="59">
        <f t="shared" si="116"/>
        <v>935.48114417234206</v>
      </c>
      <c r="BI140" s="59">
        <f ca="1">AVERAGE(OFFSET($BH$3,0,0,'Données projet'!$E$11+1,1))-AVERAGE(OFFSET($H$3,0,0,'Données projet'!$E$11+1,1))</f>
        <v>352.62747127358324</v>
      </c>
      <c r="BJ140" s="59">
        <f t="shared" si="146"/>
        <v>283.16932763435011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64.010259745466556</v>
      </c>
      <c r="BQ140" s="21">
        <f>EXP(-LN(2)/25)*BQ139+(1-EXP(-LN(2)/25))/(LN(2)/25)*Calculateur!BL140*Calculateur!BN140*VLOOKUP('Données projet'!$B$11,Paramètres!$A$1:$I$89,3,0)*0.475*44/12</f>
        <v>0</v>
      </c>
      <c r="BR140" s="21">
        <f>EXP(-LN(2)/2)*BR139+(1-EXP(-LN(2)/2))/(LN(2)/2)*BL140*BO140*VLOOKUP('Données projet'!$B$11,Paramètres!$A$1:$I$89,3,0)*0.475*44/12</f>
        <v>0</v>
      </c>
      <c r="BS140" s="22">
        <f t="shared" si="117"/>
        <v>64.010259745466556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3.9</v>
      </c>
      <c r="BY140" s="12">
        <f>IF('Données projet'!$A$114&gt;35,BY139+BX140-CG139,IF(A140&lt;'Données projet'!$A$114,$BV$205^A140,IF(A140='Données projet'!$A$114,'Données projet'!$B$114,BY139+BX140-CG139)))</f>
        <v>329.30000000000013</v>
      </c>
      <c r="BZ140" s="13">
        <f>BY140*VLOOKUP('Données projet'!$B$12,Paramètres!$A$1:$I$89,3,0)*VLOOKUP('Données projet'!$B$12,Paramètres!$A$1:$I$89,5,0)</f>
        <v>344.18436000000014</v>
      </c>
      <c r="CA140" s="13">
        <f t="shared" si="147"/>
        <v>80.363845286887852</v>
      </c>
      <c r="CB140" s="20">
        <f t="shared" si="118"/>
        <v>739.4214575413298</v>
      </c>
      <c r="CC140" s="59">
        <f t="shared" si="119"/>
        <v>1032.7547908746631</v>
      </c>
      <c r="CD140" s="59">
        <f ca="1">AVERAGE(OFFSET($CC$3,0,0,'Données projet'!$E$12+1,1))-AVERAGE(OFFSET($H$3,0,0,'Données projet'!$E$12+1,1))</f>
        <v>423.49657671419374</v>
      </c>
      <c r="CE140" s="59">
        <f t="shared" si="148"/>
        <v>329.6783569381081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73.942886257694155</v>
      </c>
      <c r="CL140" s="21">
        <f>EXP(-LN(2)/25)*CL139+(1-EXP(-LN(2)/25))/(LN(2)/25)*Calculateur!CG140*Calculateur!CI140*VLOOKUP('Données projet'!$B$12,Paramètres!$A$1:$I$89,3,0)*0.475*44/12</f>
        <v>0</v>
      </c>
      <c r="CM140" s="21">
        <f>EXP(-LN(2)/2)*CM139+(1-EXP(-LN(2)/2))/(LN(2)/2)*CG140*CJ140*VLOOKUP('Données projet'!$B$12,Paramètres!$A$1:$I$89,3,0)*0.475*44/12</f>
        <v>0</v>
      </c>
      <c r="CN140" s="22">
        <f t="shared" si="120"/>
        <v>73.942886257694155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3.9</v>
      </c>
      <c r="CT140" s="12">
        <f>IF('Données projet'!$A$140&gt;35,CT139+CS140-DB139,IF(A140&lt;'Données projet'!$A$140,$CQ$205^A140,IF(A140='Données projet'!$A$140,'Données projet'!$B$140,CT139+CS140-DB139)))</f>
        <v>329.30000000000013</v>
      </c>
      <c r="CU140" s="17">
        <f>CT140*VLOOKUP('Données projet'!$B$13,Paramètres!$A$1:$I$89,3,0)*VLOOKUP('Données projet'!$B$13,Paramètres!$A$1:$I$89,5,0)</f>
        <v>333.91020000000015</v>
      </c>
      <c r="CV140" s="13">
        <f t="shared" si="149"/>
        <v>78.240434782372716</v>
      </c>
      <c r="CW140" s="20">
        <f t="shared" si="121"/>
        <v>717.82902224596603</v>
      </c>
      <c r="CX140" s="59">
        <f t="shared" si="122"/>
        <v>1011.1623555792994</v>
      </c>
      <c r="CY140" s="59">
        <f ca="1">AVERAGE(OFFSET($CX$3,0,0,'Données projet'!$E$13+1,1))-AVERAGE(OFFSET($H$3,0,0,'Données projet'!$E$13+1,1))</f>
        <v>407.76560346703042</v>
      </c>
      <c r="CZ140" s="59">
        <f t="shared" si="150"/>
        <v>319.35531375725202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71.735635921643535</v>
      </c>
      <c r="DG140" s="21">
        <f>EXP(-LN(2)/25)*DG139+(1-EXP(-LN(2)/25))/(LN(2)/25)*Calculateur!DB140*Calculateur!DD140*VLOOKUP('Données projet'!$B$13,Paramètres!$A$1:$I$89,3,0)*0.475*44/12</f>
        <v>0</v>
      </c>
      <c r="DH140" s="21">
        <f>EXP(-LN(2)/2)*DH139+(1-EXP(-LN(2)/2))/(LN(2)/2)*DB140*DE140*VLOOKUP('Données projet'!$B$13,Paramètres!$A$1:$I$89,3,0)*0.475*44/12</f>
        <v>0</v>
      </c>
      <c r="DI140" s="22">
        <f t="shared" si="123"/>
        <v>71.735635921643535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2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122.70960000000024</v>
      </c>
      <c r="D141" s="11">
        <f t="shared" si="140"/>
        <v>32.306145387002346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1196.6127714084412</v>
      </c>
      <c r="H141" s="67">
        <f t="shared" si="110"/>
        <v>526.65242321569622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0</v>
      </c>
      <c r="O141" s="13">
        <f>N141*VLOOKUP('Données projet'!$B$9,Paramètres!$A$1:$I$89,3,0)*VLOOKUP('Données projet'!$B$9,Paramètres!$A$1:$I$89,5,0)</f>
        <v>0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101.15586831191774</v>
      </c>
      <c r="T141" s="59">
        <f t="shared" si="142"/>
        <v>346.96347336689064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4.7999512738295724</v>
      </c>
      <c r="AA141" s="21">
        <f>EXP(-LN(2)/25)*AA140+(1-EXP(-LN(2)/25))/(LN(2)/25)*Calculateur!V141*Calculateur!X141*VLOOKUP('Données projet'!$B$9,Paramètres!$A$1:$I$89,3,0)*0.475*44/12</f>
        <v>0.82566480083065796</v>
      </c>
      <c r="AB141" s="21">
        <f>EXP(-LN(2)/2)*AB140+(1-EXP(-LN(2)/2))/(LN(2)/2)*V141*Y141*VLOOKUP('Données projet'!$B$9,Paramètres!$A$1:$I$89,3,0)*0.475*44/12</f>
        <v>0</v>
      </c>
      <c r="AC141" s="22">
        <f t="shared" si="111"/>
        <v>5.6256160746602308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0</v>
      </c>
      <c r="AJ141" s="13">
        <f>AI141*VLOOKUP('Données projet'!$B$10,Paramètres!$A$1:$I$89,3,0)*VLOOKUP('Données projet'!$B$10,Paramètres!$A$1:$I$89,5,0)</f>
        <v>0</v>
      </c>
      <c r="AK141" s="13" t="e">
        <f t="shared" si="143"/>
        <v>#NUM!</v>
      </c>
      <c r="AL141" s="20" t="e">
        <f t="shared" si="112"/>
        <v>#NUM!</v>
      </c>
      <c r="AM141" s="59" t="e">
        <f t="shared" si="113"/>
        <v>#NUM!</v>
      </c>
      <c r="AN141" s="59">
        <f ca="1">AVERAGE(OFFSET($AM$3,0,0,'Données projet'!$E$10+1,1))-AVERAGE(OFFSET($H$3,0,0,'Données projet'!$E$10+1,1))</f>
        <v>101.15586831191774</v>
      </c>
      <c r="AO141" s="59">
        <f t="shared" si="144"/>
        <v>346.96347336689064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4.7999512738295724</v>
      </c>
      <c r="AV141" s="21">
        <f>EXP(-LN(2)/25)*AV140+(1-EXP(-LN(2)/25))/(LN(2)/25)*Calculateur!AQ141*Calculateur!AS141*VLOOKUP('Données projet'!$B$10,Paramètres!$A$1:$I$89,3,0)*0.475*44/12</f>
        <v>0.82566480083065796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5.6256160746602308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3.9</v>
      </c>
      <c r="BD141" s="12">
        <f>IF('Données projet'!$A$88&gt;35,BD140+BC141-BL140,IF(A141&lt;'Données projet'!$A$88,$BA$205^A141,IF(A141='Données projet'!$A$88,'Données projet'!$B$88,BD140+BC141-BL140)))</f>
        <v>333.2000000000001</v>
      </c>
      <c r="BE141" s="13">
        <f>BD141*VLOOKUP('Données projet'!$B$11,Paramètres!$A$1:$I$89,3,0)*VLOOKUP('Données projet'!$B$11,Paramètres!$A$1:$I$89,5,0)</f>
        <v>301.4793600000001</v>
      </c>
      <c r="BF141" s="13">
        <f t="shared" si="145"/>
        <v>71.486505311225272</v>
      </c>
      <c r="BG141" s="20">
        <f t="shared" si="115"/>
        <v>649.58221541705086</v>
      </c>
      <c r="BH141" s="59">
        <f t="shared" si="116"/>
        <v>942.91554875038423</v>
      </c>
      <c r="BI141" s="59">
        <f ca="1">AVERAGE(OFFSET($BH$3,0,0,'Données projet'!$E$11+1,1))-AVERAGE(OFFSET($H$3,0,0,'Données projet'!$E$11+1,1))</f>
        <v>352.62747127358324</v>
      </c>
      <c r="BJ141" s="59">
        <f t="shared" si="146"/>
        <v>283.16932763435011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62.755057594261281</v>
      </c>
      <c r="BQ141" s="21">
        <f>EXP(-LN(2)/25)*BQ140+(1-EXP(-LN(2)/25))/(LN(2)/25)*Calculateur!BL141*Calculateur!BN141*VLOOKUP('Données projet'!$B$11,Paramètres!$A$1:$I$89,3,0)*0.475*44/12</f>
        <v>0</v>
      </c>
      <c r="BR141" s="21">
        <f>EXP(-LN(2)/2)*BR140+(1-EXP(-LN(2)/2))/(LN(2)/2)*BL141*BO141*VLOOKUP('Données projet'!$B$11,Paramètres!$A$1:$I$89,3,0)*0.475*44/12</f>
        <v>0</v>
      </c>
      <c r="BS141" s="22">
        <f t="shared" si="117"/>
        <v>62.755057594261281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3.9</v>
      </c>
      <c r="BY141" s="12">
        <f>IF('Données projet'!$A$114&gt;35,BY140+BX141-CG140,IF(A141&lt;'Données projet'!$A$114,$BV$205^A141,IF(A141='Données projet'!$A$114,'Données projet'!$B$114,BY140+BX141-CG140)))</f>
        <v>333.2000000000001</v>
      </c>
      <c r="BZ141" s="13">
        <f>BY141*VLOOKUP('Données projet'!$B$12,Paramètres!$A$1:$I$89,3,0)*VLOOKUP('Données projet'!$B$12,Paramètres!$A$1:$I$89,5,0)</f>
        <v>348.26064000000014</v>
      </c>
      <c r="CA141" s="13">
        <f t="shared" si="147"/>
        <v>81.2042551691856</v>
      </c>
      <c r="CB141" s="20">
        <f t="shared" si="118"/>
        <v>747.98469241966507</v>
      </c>
      <c r="CC141" s="59">
        <f t="shared" si="119"/>
        <v>1041.3180257529984</v>
      </c>
      <c r="CD141" s="59">
        <f ca="1">AVERAGE(OFFSET($CC$3,0,0,'Données projet'!$E$12+1,1))-AVERAGE(OFFSET($H$3,0,0,'Données projet'!$E$12+1,1))</f>
        <v>423.49657671419374</v>
      </c>
      <c r="CE141" s="59">
        <f t="shared" si="148"/>
        <v>329.6783569381081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72.492911358888065</v>
      </c>
      <c r="CL141" s="21">
        <f>EXP(-LN(2)/25)*CL140+(1-EXP(-LN(2)/25))/(LN(2)/25)*Calculateur!CG141*Calculateur!CI141*VLOOKUP('Données projet'!$B$12,Paramètres!$A$1:$I$89,3,0)*0.475*44/12</f>
        <v>0</v>
      </c>
      <c r="CM141" s="21">
        <f>EXP(-LN(2)/2)*CM140+(1-EXP(-LN(2)/2))/(LN(2)/2)*CG141*CJ141*VLOOKUP('Données projet'!$B$12,Paramètres!$A$1:$I$89,3,0)*0.475*44/12</f>
        <v>0</v>
      </c>
      <c r="CN141" s="22">
        <f t="shared" si="120"/>
        <v>72.492911358888065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3.9</v>
      </c>
      <c r="CT141" s="12">
        <f>IF('Données projet'!$A$140&gt;35,CT140+CS141-DB140,IF(A141&lt;'Données projet'!$A$140,$CQ$205^A141,IF(A141='Données projet'!$A$140,'Données projet'!$B$140,CT140+CS141-DB140)))</f>
        <v>333.2000000000001</v>
      </c>
      <c r="CU141" s="17">
        <f>CT141*VLOOKUP('Données projet'!$B$13,Paramètres!$A$1:$I$89,3,0)*VLOOKUP('Données projet'!$B$13,Paramètres!$A$1:$I$89,5,0)</f>
        <v>337.86480000000012</v>
      </c>
      <c r="CV141" s="13">
        <f t="shared" si="149"/>
        <v>79.058638967994398</v>
      </c>
      <c r="CW141" s="20">
        <f t="shared" si="121"/>
        <v>726.14165620259053</v>
      </c>
      <c r="CX141" s="59">
        <f t="shared" si="122"/>
        <v>1019.4749895359239</v>
      </c>
      <c r="CY141" s="59">
        <f ca="1">AVERAGE(OFFSET($CX$3,0,0,'Données projet'!$E$13+1,1))-AVERAGE(OFFSET($H$3,0,0,'Données projet'!$E$13+1,1))</f>
        <v>407.76560346703042</v>
      </c>
      <c r="CZ141" s="59">
        <f t="shared" si="150"/>
        <v>319.35531375725202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70.328943855637633</v>
      </c>
      <c r="DG141" s="21">
        <f>EXP(-LN(2)/25)*DG140+(1-EXP(-LN(2)/25))/(LN(2)/25)*Calculateur!DB141*Calculateur!DD141*VLOOKUP('Données projet'!$B$13,Paramètres!$A$1:$I$89,3,0)*0.475*44/12</f>
        <v>0</v>
      </c>
      <c r="DH141" s="21">
        <f>EXP(-LN(2)/2)*DH140+(1-EXP(-LN(2)/2))/(LN(2)/2)*DB141*DE141*VLOOKUP('Données projet'!$B$13,Paramètres!$A$1:$I$89,3,0)*0.475*44/12</f>
        <v>0</v>
      </c>
      <c r="DI141" s="22">
        <f t="shared" si="123"/>
        <v>70.328943855637633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2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123.59880000000024</v>
      </c>
      <c r="D142" s="11">
        <f t="shared" si="140"/>
        <v>32.512911354837613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1205.0728595812045</v>
      </c>
      <c r="H142" s="67">
        <f t="shared" si="110"/>
        <v>528.56123060967593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0</v>
      </c>
      <c r="O142" s="13">
        <f>N142*VLOOKUP('Données projet'!$B$9,Paramètres!$A$1:$I$89,3,0)*VLOOKUP('Données projet'!$B$9,Paramètres!$A$1:$I$89,5,0)</f>
        <v>0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101.15586831191774</v>
      </c>
      <c r="T142" s="59">
        <f t="shared" si="142"/>
        <v>346.96347336689064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4.7058271570309671</v>
      </c>
      <c r="AA142" s="21">
        <f>EXP(-LN(2)/25)*AA141+(1-EXP(-LN(2)/25))/(LN(2)/25)*Calculateur!V142*Calculateur!X142*VLOOKUP('Données projet'!$B$9,Paramètres!$A$1:$I$89,3,0)*0.475*44/12</f>
        <v>0.80308695343211878</v>
      </c>
      <c r="AB142" s="21">
        <f>EXP(-LN(2)/2)*AB141+(1-EXP(-LN(2)/2))/(LN(2)/2)*V142*Y142*VLOOKUP('Données projet'!$B$9,Paramètres!$A$1:$I$89,3,0)*0.475*44/12</f>
        <v>0</v>
      </c>
      <c r="AC142" s="22">
        <f t="shared" si="111"/>
        <v>5.5089141104630857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0</v>
      </c>
      <c r="AJ142" s="13">
        <f>AI142*VLOOKUP('Données projet'!$B$10,Paramètres!$A$1:$I$89,3,0)*VLOOKUP('Données projet'!$B$10,Paramètres!$A$1:$I$89,5,0)</f>
        <v>0</v>
      </c>
      <c r="AK142" s="13" t="e">
        <f t="shared" si="143"/>
        <v>#NUM!</v>
      </c>
      <c r="AL142" s="20" t="e">
        <f t="shared" si="112"/>
        <v>#NUM!</v>
      </c>
      <c r="AM142" s="59" t="e">
        <f t="shared" si="113"/>
        <v>#NUM!</v>
      </c>
      <c r="AN142" s="59">
        <f ca="1">AVERAGE(OFFSET($AM$3,0,0,'Données projet'!$E$10+1,1))-AVERAGE(OFFSET($H$3,0,0,'Données projet'!$E$10+1,1))</f>
        <v>101.15586831191774</v>
      </c>
      <c r="AO142" s="59">
        <f t="shared" si="144"/>
        <v>346.96347336689064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4.7058271570309671</v>
      </c>
      <c r="AV142" s="21">
        <f>EXP(-LN(2)/25)*AV141+(1-EXP(-LN(2)/25))/(LN(2)/25)*Calculateur!AQ142*Calculateur!AS142*VLOOKUP('Données projet'!$B$10,Paramètres!$A$1:$I$89,3,0)*0.475*44/12</f>
        <v>0.80308695343211878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5.5089141104630857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3.9</v>
      </c>
      <c r="BD142" s="12">
        <f>IF('Données projet'!$A$88&gt;35,BD141+BC142-BL141,IF(A142&lt;'Données projet'!$A$88,$BA$205^A142,IF(A142='Données projet'!$A$88,'Données projet'!$B$88,BD141+BC142-BL141)))</f>
        <v>337.10000000000008</v>
      </c>
      <c r="BE142" s="13">
        <f>BD142*VLOOKUP('Données projet'!$B$11,Paramètres!$A$1:$I$89,3,0)*VLOOKUP('Données projet'!$B$11,Paramètres!$A$1:$I$89,5,0)</f>
        <v>305.00808000000006</v>
      </c>
      <c r="BF142" s="13">
        <f t="shared" si="145"/>
        <v>72.225335652407395</v>
      </c>
      <c r="BG142" s="20">
        <f t="shared" si="115"/>
        <v>657.01486559460966</v>
      </c>
      <c r="BH142" s="59">
        <f t="shared" si="116"/>
        <v>950.34819892794303</v>
      </c>
      <c r="BI142" s="59">
        <f ca="1">AVERAGE(OFFSET($BH$3,0,0,'Données projet'!$E$11+1,1))-AVERAGE(OFFSET($H$3,0,0,'Données projet'!$E$11+1,1))</f>
        <v>352.62747127358324</v>
      </c>
      <c r="BJ142" s="59">
        <f t="shared" si="146"/>
        <v>283.16932763435011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61.524469191643426</v>
      </c>
      <c r="BQ142" s="21">
        <f>EXP(-LN(2)/25)*BQ141+(1-EXP(-LN(2)/25))/(LN(2)/25)*Calculateur!BL142*Calculateur!BN142*VLOOKUP('Données projet'!$B$11,Paramètres!$A$1:$I$89,3,0)*0.475*44/12</f>
        <v>0</v>
      </c>
      <c r="BR142" s="21">
        <f>EXP(-LN(2)/2)*BR141+(1-EXP(-LN(2)/2))/(LN(2)/2)*BL142*BO142*VLOOKUP('Données projet'!$B$11,Paramètres!$A$1:$I$89,3,0)*0.475*44/12</f>
        <v>0</v>
      </c>
      <c r="BS142" s="22">
        <f t="shared" si="117"/>
        <v>61.524469191643426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3.9</v>
      </c>
      <c r="BY142" s="12">
        <f>IF('Données projet'!$A$114&gt;35,BY141+BX142-CG141,IF(A142&lt;'Données projet'!$A$114,$BV$205^A142,IF(A142='Données projet'!$A$114,'Données projet'!$B$114,BY141+BX142-CG141)))</f>
        <v>337.10000000000008</v>
      </c>
      <c r="BZ142" s="13">
        <f>BY142*VLOOKUP('Données projet'!$B$12,Paramètres!$A$1:$I$89,3,0)*VLOOKUP('Données projet'!$B$12,Paramètres!$A$1:$I$89,5,0)</f>
        <v>352.33692000000008</v>
      </c>
      <c r="CA142" s="13">
        <f t="shared" si="147"/>
        <v>82.04352080807638</v>
      </c>
      <c r="CB142" s="20">
        <f t="shared" si="118"/>
        <v>756.54593440739973</v>
      </c>
      <c r="CC142" s="59">
        <f t="shared" si="119"/>
        <v>1049.879267740733</v>
      </c>
      <c r="CD142" s="59">
        <f ca="1">AVERAGE(OFFSET($CC$3,0,0,'Données projet'!$E$12+1,1))-AVERAGE(OFFSET($H$3,0,0,'Données projet'!$E$12+1,1))</f>
        <v>423.49657671419374</v>
      </c>
      <c r="CE142" s="59">
        <f t="shared" si="148"/>
        <v>329.6783569381081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71.071369583450206</v>
      </c>
      <c r="CL142" s="21">
        <f>EXP(-LN(2)/25)*CL141+(1-EXP(-LN(2)/25))/(LN(2)/25)*Calculateur!CG142*Calculateur!CI142*VLOOKUP('Données projet'!$B$12,Paramètres!$A$1:$I$89,3,0)*0.475*44/12</f>
        <v>0</v>
      </c>
      <c r="CM142" s="21">
        <f>EXP(-LN(2)/2)*CM141+(1-EXP(-LN(2)/2))/(LN(2)/2)*CG142*CJ142*VLOOKUP('Données projet'!$B$12,Paramètres!$A$1:$I$89,3,0)*0.475*44/12</f>
        <v>0</v>
      </c>
      <c r="CN142" s="22">
        <f t="shared" si="120"/>
        <v>71.071369583450206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3.9</v>
      </c>
      <c r="CT142" s="12">
        <f>IF('Données projet'!$A$140&gt;35,CT141+CS142-DB141,IF(A142&lt;'Données projet'!$A$140,$CQ$205^A142,IF(A142='Données projet'!$A$140,'Données projet'!$B$140,CT141+CS142-DB141)))</f>
        <v>337.10000000000008</v>
      </c>
      <c r="CU142" s="17">
        <f>CT142*VLOOKUP('Données projet'!$B$13,Paramètres!$A$1:$I$89,3,0)*VLOOKUP('Données projet'!$B$13,Paramètres!$A$1:$I$89,5,0)</f>
        <v>341.81940000000009</v>
      </c>
      <c r="CV142" s="13">
        <f t="shared" si="149"/>
        <v>79.875729143934848</v>
      </c>
      <c r="CW142" s="20">
        <f t="shared" si="121"/>
        <v>734.45234992568658</v>
      </c>
      <c r="CX142" s="59">
        <f t="shared" si="122"/>
        <v>1027.7856832590198</v>
      </c>
      <c r="CY142" s="59">
        <f ca="1">AVERAGE(OFFSET($CX$3,0,0,'Données projet'!$E$13+1,1))-AVERAGE(OFFSET($H$3,0,0,'Données projet'!$E$13+1,1))</f>
        <v>407.76560346703042</v>
      </c>
      <c r="CZ142" s="59">
        <f t="shared" si="150"/>
        <v>319.35531375725202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68.949836163048658</v>
      </c>
      <c r="DG142" s="21">
        <f>EXP(-LN(2)/25)*DG141+(1-EXP(-LN(2)/25))/(LN(2)/25)*Calculateur!DB142*Calculateur!DD142*VLOOKUP('Données projet'!$B$13,Paramètres!$A$1:$I$89,3,0)*0.475*44/12</f>
        <v>0</v>
      </c>
      <c r="DH142" s="21">
        <f>EXP(-LN(2)/2)*DH141+(1-EXP(-LN(2)/2))/(LN(2)/2)*DB142*DE142*VLOOKUP('Données projet'!$B$13,Paramètres!$A$1:$I$89,3,0)*0.475*44/12</f>
        <v>0</v>
      </c>
      <c r="DI142" s="22">
        <f t="shared" si="123"/>
        <v>68.949836163048658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2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124.48800000000024</v>
      </c>
      <c r="D143" s="11">
        <f t="shared" si="140"/>
        <v>32.719504245667331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1213.5316117209427</v>
      </c>
      <c r="H143" s="67">
        <f t="shared" si="110"/>
        <v>530.4697365612044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0</v>
      </c>
      <c r="O143" s="13">
        <f>N143*VLOOKUP('Données projet'!$B$9,Paramètres!$A$1:$I$89,3,0)*VLOOKUP('Données projet'!$B$9,Paramètres!$A$1:$I$89,5,0)</f>
        <v>0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101.15586831191774</v>
      </c>
      <c r="T143" s="59">
        <f t="shared" si="142"/>
        <v>346.96347336689064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4.6135487567527402</v>
      </c>
      <c r="AA143" s="21">
        <f>EXP(-LN(2)/25)*AA142+(1-EXP(-LN(2)/25))/(LN(2)/25)*Calculateur!V143*Calculateur!X143*VLOOKUP('Données projet'!$B$9,Paramètres!$A$1:$I$89,3,0)*0.475*44/12</f>
        <v>0.78112649845801008</v>
      </c>
      <c r="AB143" s="21">
        <f>EXP(-LN(2)/2)*AB142+(1-EXP(-LN(2)/2))/(LN(2)/2)*V143*Y143*VLOOKUP('Données projet'!$B$9,Paramètres!$A$1:$I$89,3,0)*0.475*44/12</f>
        <v>0</v>
      </c>
      <c r="AC143" s="22">
        <f t="shared" si="111"/>
        <v>5.3946752552107506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0</v>
      </c>
      <c r="AJ143" s="13">
        <f>AI143*VLOOKUP('Données projet'!$B$10,Paramètres!$A$1:$I$89,3,0)*VLOOKUP('Données projet'!$B$10,Paramètres!$A$1:$I$89,5,0)</f>
        <v>0</v>
      </c>
      <c r="AK143" s="13" t="e">
        <f t="shared" si="143"/>
        <v>#NUM!</v>
      </c>
      <c r="AL143" s="20" t="e">
        <f t="shared" si="112"/>
        <v>#NUM!</v>
      </c>
      <c r="AM143" s="59" t="e">
        <f t="shared" si="113"/>
        <v>#NUM!</v>
      </c>
      <c r="AN143" s="59">
        <f ca="1">AVERAGE(OFFSET($AM$3,0,0,'Données projet'!$E$10+1,1))-AVERAGE(OFFSET($H$3,0,0,'Données projet'!$E$10+1,1))</f>
        <v>101.15586831191774</v>
      </c>
      <c r="AO143" s="59">
        <f t="shared" si="144"/>
        <v>346.96347336689064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4.6135487567527402</v>
      </c>
      <c r="AV143" s="21">
        <f>EXP(-LN(2)/25)*AV142+(1-EXP(-LN(2)/25))/(LN(2)/25)*Calculateur!AQ143*Calculateur!AS143*VLOOKUP('Données projet'!$B$10,Paramètres!$A$1:$I$89,3,0)*0.475*44/12</f>
        <v>0.78112649845801008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5.3946752552107506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>
        <f>VLOOKUP(A143,'Données projet'!$A$87:$I$107,2,0)</f>
        <v>341</v>
      </c>
      <c r="BB143" s="12">
        <f>VLOOKUP(A143,'Données projet'!$A$87:$I$107,9,0)</f>
        <v>3.9</v>
      </c>
      <c r="BC143" s="12">
        <f t="array" ref="BC143">INDEX(BB:BB,MIN(IF(ISNUMBER(BB143:BB339),ROW(BB143:BB339),"")))</f>
        <v>3.9</v>
      </c>
      <c r="BD143" s="12">
        <f>IF('Données projet'!$A$88&gt;35,BD142+BC143-BL142,IF(A143&lt;'Données projet'!$A$88,$BA$205^A143,IF(A143='Données projet'!$A$88,'Données projet'!$B$88,BD142+BC143-BL142)))</f>
        <v>341.00000000000006</v>
      </c>
      <c r="BE143" s="13">
        <f>BD143*VLOOKUP('Données projet'!$B$11,Paramètres!$A$1:$I$89,3,0)*VLOOKUP('Données projet'!$B$11,Paramètres!$A$1:$I$89,5,0)</f>
        <v>308.53680000000008</v>
      </c>
      <c r="BF143" s="13">
        <f t="shared" si="145"/>
        <v>72.963171684496103</v>
      </c>
      <c r="BG143" s="20">
        <f t="shared" si="115"/>
        <v>664.4457840171641</v>
      </c>
      <c r="BH143" s="59">
        <f t="shared" si="116"/>
        <v>957.77911735049747</v>
      </c>
      <c r="BI143" s="59">
        <f ca="1">AVERAGE(OFFSET($BH$3,0,0,'Données projet'!$E$11+1,1))-AVERAGE(OFFSET($H$3,0,0,'Données projet'!$E$11+1,1))</f>
        <v>352.62747127358324</v>
      </c>
      <c r="BJ143" s="59">
        <f t="shared" si="146"/>
        <v>283.16932763435011</v>
      </c>
      <c r="BK143" s="15">
        <f>IF(ISNA(VLOOKUP(A143,'Données projet'!$A$87:$I$107,3,0)),0,VLOOKUP(A143,'Données projet'!$A$87:$I$107,3,0))</f>
        <v>25</v>
      </c>
      <c r="BL143" s="15">
        <f>IF(ISNA(VLOOKUP(A143,'Données projet'!$A$87:$I$107,4,0)),0,VLOOKUP(A143,'Données projet'!$A$87:$I$107,4,0))</f>
        <v>41</v>
      </c>
      <c r="BM143" s="16">
        <f>IF(ISNA(VLOOKUP(A143,'Données projet'!$A$87:$I$107,5,0)),0%,VLOOKUP(A143,'Données projet'!$A$87:$I$107,5,0)*VLOOKUP('Données projet'!$B$11,Paramètres!$A$1:$I$89,7,0))</f>
        <v>0.38700000000000001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76.188654930718329</v>
      </c>
      <c r="BQ143" s="21">
        <f>EXP(-LN(2)/25)*BQ142+(1-EXP(-LN(2)/25))/(LN(2)/25)*Calculateur!BL143*Calculateur!BN143*VLOOKUP('Données projet'!$B$11,Paramètres!$A$1:$I$89,3,0)*0.475*44/12</f>
        <v>0</v>
      </c>
      <c r="BR143" s="21">
        <f>EXP(-LN(2)/2)*BR142+(1-EXP(-LN(2)/2))/(LN(2)/2)*BL143*BO143*VLOOKUP('Données projet'!$B$11,Paramètres!$A$1:$I$89,3,0)*0.475*44/12</f>
        <v>0</v>
      </c>
      <c r="BS143" s="22">
        <f t="shared" si="117"/>
        <v>76.188654930718329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>
        <f>VLOOKUP(A143,'Données projet'!$A$113:$I$133,2,0)</f>
        <v>341</v>
      </c>
      <c r="BW143" s="12">
        <f>VLOOKUP(A143,'Données projet'!$A$113:$I$133,9,0)</f>
        <v>3.9</v>
      </c>
      <c r="BX143" s="12">
        <f t="array" ref="BX143">INDEX(BW:BW,MIN(IF(ISNUMBER(BW143:BW339),ROW(BW143:BW339),"")))</f>
        <v>3.9</v>
      </c>
      <c r="BY143" s="12">
        <f>IF('Données projet'!$A$114&gt;35,BY142+BX143-CG142,IF(A143&lt;'Données projet'!$A$114,$BV$205^A143,IF(A143='Données projet'!$A$114,'Données projet'!$B$114,BY142+BX143-CG142)))</f>
        <v>341.00000000000006</v>
      </c>
      <c r="BZ143" s="13">
        <f>BY143*VLOOKUP('Données projet'!$B$12,Paramètres!$A$1:$I$89,3,0)*VLOOKUP('Données projet'!$B$12,Paramètres!$A$1:$I$89,5,0)</f>
        <v>356.41320000000007</v>
      </c>
      <c r="CA143" s="13">
        <f t="shared" si="147"/>
        <v>82.881656973243366</v>
      </c>
      <c r="CB143" s="20">
        <f t="shared" si="118"/>
        <v>765.10520922839896</v>
      </c>
      <c r="CC143" s="59">
        <f t="shared" si="119"/>
        <v>1058.4385425617322</v>
      </c>
      <c r="CD143" s="59">
        <f ca="1">AVERAGE(OFFSET($CC$3,0,0,'Données projet'!$E$12+1,1))-AVERAGE(OFFSET($H$3,0,0,'Données projet'!$E$12+1,1))</f>
        <v>423.49657671419374</v>
      </c>
      <c r="CE143" s="59">
        <f t="shared" si="148"/>
        <v>329.6783569381081</v>
      </c>
      <c r="CF143" s="15">
        <f>IF(ISNA(VLOOKUP(A143,'Données projet'!$A$113:$I$133,3,0)),0,VLOOKUP(A143,'Données projet'!$A$113:$I$133,3,0))</f>
        <v>25</v>
      </c>
      <c r="CG143" s="15">
        <f>IF(ISNA(VLOOKUP(A143,'Données projet'!$A$113:$I$133,4,0)),0,VLOOKUP(A143,'Données projet'!$A$113:$I$133,4,0))</f>
        <v>41</v>
      </c>
      <c r="CH143" s="16">
        <f>IF(ISNA(VLOOKUP(A143,'Données projet'!$A$113:$I$133,5,0)),0%,VLOOKUP(A143,'Données projet'!$A$113:$I$133,5,0)*VLOOKUP('Données projet'!$B$12,Paramètres!$A$1:$I$89,7,0))</f>
        <v>0.38700000000000001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88.011032419967762</v>
      </c>
      <c r="CL143" s="21">
        <f>EXP(-LN(2)/25)*CL142+(1-EXP(-LN(2)/25))/(LN(2)/25)*Calculateur!CG143*Calculateur!CI143*VLOOKUP('Données projet'!$B$12,Paramètres!$A$1:$I$89,3,0)*0.475*44/12</f>
        <v>0</v>
      </c>
      <c r="CM143" s="21">
        <f>EXP(-LN(2)/2)*CM142+(1-EXP(-LN(2)/2))/(LN(2)/2)*CG143*CJ143*VLOOKUP('Données projet'!$B$12,Paramètres!$A$1:$I$89,3,0)*0.475*44/12</f>
        <v>0</v>
      </c>
      <c r="CN143" s="22">
        <f t="shared" si="120"/>
        <v>88.011032419967762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>
        <f>VLOOKUP(A143,'Données projet'!$A$139:$I$159,2,0)</f>
        <v>341</v>
      </c>
      <c r="CR143" s="12">
        <f>VLOOKUP(A143,'Données projet'!$A$139:$I$159,9,0)</f>
        <v>3.9</v>
      </c>
      <c r="CS143" s="12">
        <f t="array" ref="CS143">INDEX(CR:CR,MIN(IF(ISNUMBER(CR143:CR339),ROW(CR143:CR339),"")))</f>
        <v>3.9</v>
      </c>
      <c r="CT143" s="12">
        <f>IF('Données projet'!$A$140&gt;35,CT142+CS143-DB142,IF(A143&lt;'Données projet'!$A$140,$CQ$205^A143,IF(A143='Données projet'!$A$140,'Données projet'!$B$140,CT142+CS143-DB142)))</f>
        <v>341.00000000000006</v>
      </c>
      <c r="CU143" s="17">
        <f>CT143*VLOOKUP('Données projet'!$B$13,Paramètres!$A$1:$I$89,3,0)*VLOOKUP('Données projet'!$B$13,Paramètres!$A$1:$I$89,5,0)</f>
        <v>345.77400000000006</v>
      </c>
      <c r="CV143" s="13">
        <f t="shared" si="149"/>
        <v>80.691719689626183</v>
      </c>
      <c r="CW143" s="20">
        <f t="shared" si="121"/>
        <v>742.76112845943226</v>
      </c>
      <c r="CX143" s="59">
        <f t="shared" si="122"/>
        <v>1036.0944617927655</v>
      </c>
      <c r="CY143" s="59">
        <f ca="1">AVERAGE(OFFSET($CX$3,0,0,'Données projet'!$E$13+1,1))-AVERAGE(OFFSET($H$3,0,0,'Données projet'!$E$13+1,1))</f>
        <v>407.76560346703042</v>
      </c>
      <c r="CZ143" s="59">
        <f t="shared" si="150"/>
        <v>319.35531375725202</v>
      </c>
      <c r="DA143" s="15">
        <f>IF(ISNA(VLOOKUP(A143,'Données projet'!$A$139:$I$159,3,0)),0,VLOOKUP(A143,'Données projet'!$A$139:$I$159,3,0))</f>
        <v>25</v>
      </c>
      <c r="DB143" s="15">
        <f>IF(ISNA(VLOOKUP(A143,'Données projet'!$A$139:$I$159,4,0)),0,VLOOKUP(A143,'Données projet'!$A$139:$I$159,4,0))</f>
        <v>41</v>
      </c>
      <c r="DC143" s="16">
        <f>IF(ISNA(VLOOKUP(A143,'Données projet'!$A$139:$I$159,5,0)),0%,VLOOKUP(A143,'Données projet'!$A$139:$I$159,5,0)*VLOOKUP('Données projet'!$B$13,Paramètres!$A$1:$I$89,7,0))</f>
        <v>0.38700000000000001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85.383837422356734</v>
      </c>
      <c r="DG143" s="21">
        <f>EXP(-LN(2)/25)*DG142+(1-EXP(-LN(2)/25))/(LN(2)/25)*Calculateur!DB143*Calculateur!DD143*VLOOKUP('Données projet'!$B$13,Paramètres!$A$1:$I$89,3,0)*0.475*44/12</f>
        <v>0</v>
      </c>
      <c r="DH143" s="21">
        <f>EXP(-LN(2)/2)*DH142+(1-EXP(-LN(2)/2))/(LN(2)/2)*DB143*DE143*VLOOKUP('Données projet'!$B$13,Paramètres!$A$1:$I$89,3,0)*0.475*44/12</f>
        <v>0</v>
      </c>
      <c r="DI143" s="22">
        <f t="shared" si="123"/>
        <v>85.383837422356734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2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125.37720000000024</v>
      </c>
      <c r="D144" s="11">
        <f t="shared" si="140"/>
        <v>32.925925439106905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1221.9890384773182</v>
      </c>
      <c r="H144" s="67">
        <f t="shared" si="110"/>
        <v>532.3779434731116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0</v>
      </c>
      <c r="O144" s="13">
        <f>N144*VLOOKUP('Données projet'!$B$9,Paramètres!$A$1:$I$89,3,0)*VLOOKUP('Données projet'!$B$9,Paramètres!$A$1:$I$89,5,0)</f>
        <v>0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101.15586831191774</v>
      </c>
      <c r="T144" s="59">
        <f t="shared" si="142"/>
        <v>346.96347336689064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4.5230798796197025</v>
      </c>
      <c r="AA144" s="21">
        <f>EXP(-LN(2)/25)*AA143+(1-EXP(-LN(2)/25))/(LN(2)/25)*Calculateur!V144*Calculateur!X144*VLOOKUP('Données projet'!$B$9,Paramètres!$A$1:$I$89,3,0)*0.475*44/12</f>
        <v>0.75976655328001852</v>
      </c>
      <c r="AB144" s="21">
        <f>EXP(-LN(2)/2)*AB143+(1-EXP(-LN(2)/2))/(LN(2)/2)*V144*Y144*VLOOKUP('Données projet'!$B$9,Paramètres!$A$1:$I$89,3,0)*0.475*44/12</f>
        <v>0</v>
      </c>
      <c r="AC144" s="22">
        <f t="shared" si="111"/>
        <v>5.2828464328997207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0</v>
      </c>
      <c r="AJ144" s="13">
        <f>AI144*VLOOKUP('Données projet'!$B$10,Paramètres!$A$1:$I$89,3,0)*VLOOKUP('Données projet'!$B$10,Paramètres!$A$1:$I$89,5,0)</f>
        <v>0</v>
      </c>
      <c r="AK144" s="13" t="e">
        <f t="shared" si="143"/>
        <v>#NUM!</v>
      </c>
      <c r="AL144" s="20" t="e">
        <f t="shared" si="112"/>
        <v>#NUM!</v>
      </c>
      <c r="AM144" s="59" t="e">
        <f t="shared" si="113"/>
        <v>#NUM!</v>
      </c>
      <c r="AN144" s="59">
        <f ca="1">AVERAGE(OFFSET($AM$3,0,0,'Données projet'!$E$10+1,1))-AVERAGE(OFFSET($H$3,0,0,'Données projet'!$E$10+1,1))</f>
        <v>101.15586831191774</v>
      </c>
      <c r="AO144" s="59">
        <f t="shared" si="144"/>
        <v>346.96347336689064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4.5230798796197025</v>
      </c>
      <c r="AV144" s="21">
        <f>EXP(-LN(2)/25)*AV143+(1-EXP(-LN(2)/25))/(LN(2)/25)*Calculateur!AQ144*Calculateur!AS144*VLOOKUP('Données projet'!$B$10,Paramètres!$A$1:$I$89,3,0)*0.475*44/12</f>
        <v>0.75976655328001852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5.2828464328997207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3.5</v>
      </c>
      <c r="BD144" s="12">
        <f>IF('Données projet'!$A$88&gt;35,BD143+BC144-BL143,IF(A144&lt;'Données projet'!$A$88,$BA$205^A144,IF(A144='Données projet'!$A$88,'Données projet'!$B$88,BD143+BC144-BL143)))</f>
        <v>303.50000000000006</v>
      </c>
      <c r="BE144" s="13">
        <f>BD144*VLOOKUP('Données projet'!$B$11,Paramètres!$A$1:$I$89,3,0)*VLOOKUP('Données projet'!$B$11,Paramètres!$A$1:$I$89,5,0)</f>
        <v>274.60680000000008</v>
      </c>
      <c r="BF144" s="13">
        <f t="shared" si="145"/>
        <v>65.825983768649905</v>
      </c>
      <c r="BG144" s="20">
        <f t="shared" si="115"/>
        <v>592.92043173039872</v>
      </c>
      <c r="BH144" s="59">
        <f t="shared" si="116"/>
        <v>886.25376506373209</v>
      </c>
      <c r="BI144" s="59">
        <f ca="1">AVERAGE(OFFSET($BH$3,0,0,'Données projet'!$E$11+1,1))-AVERAGE(OFFSET($H$3,0,0,'Données projet'!$E$11+1,1))</f>
        <v>352.62747127358324</v>
      </c>
      <c r="BJ144" s="59">
        <f t="shared" si="146"/>
        <v>283.16932763435011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74.694641878017876</v>
      </c>
      <c r="BQ144" s="21">
        <f>EXP(-LN(2)/25)*BQ143+(1-EXP(-LN(2)/25))/(LN(2)/25)*Calculateur!BL144*Calculateur!BN144*VLOOKUP('Données projet'!$B$11,Paramètres!$A$1:$I$89,3,0)*0.475*44/12</f>
        <v>0</v>
      </c>
      <c r="BR144" s="21">
        <f>EXP(-LN(2)/2)*BR143+(1-EXP(-LN(2)/2))/(LN(2)/2)*BL144*BO144*VLOOKUP('Données projet'!$B$11,Paramètres!$A$1:$I$89,3,0)*0.475*44/12</f>
        <v>0</v>
      </c>
      <c r="BS144" s="22">
        <f t="shared" si="117"/>
        <v>74.694641878017876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3.5</v>
      </c>
      <c r="BY144" s="12">
        <f>IF('Données projet'!$A$114&gt;35,BY143+BX144-CG143,IF(A144&lt;'Données projet'!$A$114,$BV$205^A144,IF(A144='Données projet'!$A$114,'Données projet'!$B$114,BY143+BX144-CG143)))</f>
        <v>303.50000000000006</v>
      </c>
      <c r="BZ144" s="13">
        <f>BY144*VLOOKUP('Données projet'!$B$12,Paramètres!$A$1:$I$89,3,0)*VLOOKUP('Données projet'!$B$12,Paramètres!$A$1:$I$89,5,0)</f>
        <v>317.21820000000008</v>
      </c>
      <c r="CA144" s="13">
        <f t="shared" si="147"/>
        <v>74.774252279370401</v>
      </c>
      <c r="CB144" s="20">
        <f t="shared" si="118"/>
        <v>682.72018771990349</v>
      </c>
      <c r="CC144" s="59">
        <f t="shared" si="119"/>
        <v>976.05352105323686</v>
      </c>
      <c r="CD144" s="59">
        <f ca="1">AVERAGE(OFFSET($CC$3,0,0,'Données projet'!$E$12+1,1))-AVERAGE(OFFSET($H$3,0,0,'Données projet'!$E$12+1,1))</f>
        <v>423.49657671419374</v>
      </c>
      <c r="CE144" s="59">
        <f t="shared" si="148"/>
        <v>329.6783569381081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86.285189755641369</v>
      </c>
      <c r="CL144" s="21">
        <f>EXP(-LN(2)/25)*CL143+(1-EXP(-LN(2)/25))/(LN(2)/25)*Calculateur!CG144*Calculateur!CI144*VLOOKUP('Données projet'!$B$12,Paramètres!$A$1:$I$89,3,0)*0.475*44/12</f>
        <v>0</v>
      </c>
      <c r="CM144" s="21">
        <f>EXP(-LN(2)/2)*CM143+(1-EXP(-LN(2)/2))/(LN(2)/2)*CG144*CJ144*VLOOKUP('Données projet'!$B$12,Paramètres!$A$1:$I$89,3,0)*0.475*44/12</f>
        <v>0</v>
      </c>
      <c r="CN144" s="22">
        <f t="shared" si="120"/>
        <v>86.285189755641369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3.5</v>
      </c>
      <c r="CT144" s="12">
        <f>IF('Données projet'!$A$140&gt;35,CT143+CS144-DB143,IF(A144&lt;'Données projet'!$A$140,$CQ$205^A144,IF(A144='Données projet'!$A$140,'Données projet'!$B$140,CT143+CS144-DB143)))</f>
        <v>303.50000000000006</v>
      </c>
      <c r="CU144" s="17">
        <f>CT144*VLOOKUP('Données projet'!$B$13,Paramètres!$A$1:$I$89,3,0)*VLOOKUP('Données projet'!$B$13,Paramètres!$A$1:$I$89,5,0)</f>
        <v>307.74900000000008</v>
      </c>
      <c r="CV144" s="13">
        <f t="shared" si="149"/>
        <v>72.798532573693507</v>
      </c>
      <c r="CW144" s="20">
        <f t="shared" si="121"/>
        <v>662.78695256584967</v>
      </c>
      <c r="CX144" s="59">
        <f t="shared" si="122"/>
        <v>956.12028589918305</v>
      </c>
      <c r="CY144" s="59">
        <f ca="1">AVERAGE(OFFSET($CX$3,0,0,'Données projet'!$E$13+1,1))-AVERAGE(OFFSET($H$3,0,0,'Données projet'!$E$13+1,1))</f>
        <v>407.76560346703042</v>
      </c>
      <c r="CZ144" s="59">
        <f t="shared" si="150"/>
        <v>319.35531375725202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83.709512449502768</v>
      </c>
      <c r="DG144" s="21">
        <f>EXP(-LN(2)/25)*DG143+(1-EXP(-LN(2)/25))/(LN(2)/25)*Calculateur!DB144*Calculateur!DD144*VLOOKUP('Données projet'!$B$13,Paramètres!$A$1:$I$89,3,0)*0.475*44/12</f>
        <v>0</v>
      </c>
      <c r="DH144" s="21">
        <f>EXP(-LN(2)/2)*DH143+(1-EXP(-LN(2)/2))/(LN(2)/2)*DB144*DE144*VLOOKUP('Données projet'!$B$13,Paramètres!$A$1:$I$89,3,0)*0.475*44/12</f>
        <v>0</v>
      </c>
      <c r="DI144" s="22">
        <f t="shared" si="123"/>
        <v>83.709512449502768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2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126.26640000000025</v>
      </c>
      <c r="D145" s="11">
        <f t="shared" si="140"/>
        <v>33.132176294071868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1230.4451503402058</v>
      </c>
      <c r="H145" s="67">
        <f t="shared" si="110"/>
        <v>534.28585371217559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0</v>
      </c>
      <c r="O145" s="13">
        <f>N145*VLOOKUP('Données projet'!$B$9,Paramètres!$A$1:$I$89,3,0)*VLOOKUP('Données projet'!$B$9,Paramètres!$A$1:$I$89,5,0)</f>
        <v>0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101.15586831191774</v>
      </c>
      <c r="T145" s="59">
        <f t="shared" si="142"/>
        <v>346.96347336689064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4.434385041986677</v>
      </c>
      <c r="AA145" s="21">
        <f>EXP(-LN(2)/25)*AA144+(1-EXP(-LN(2)/25))/(LN(2)/25)*Calculateur!V145*Calculateur!X145*VLOOKUP('Données projet'!$B$9,Paramètres!$A$1:$I$89,3,0)*0.475*44/12</f>
        <v>0.73899069692618979</v>
      </c>
      <c r="AB145" s="21">
        <f>EXP(-LN(2)/2)*AB144+(1-EXP(-LN(2)/2))/(LN(2)/2)*V145*Y145*VLOOKUP('Données projet'!$B$9,Paramètres!$A$1:$I$89,3,0)*0.475*44/12</f>
        <v>0</v>
      </c>
      <c r="AC145" s="22">
        <f t="shared" si="111"/>
        <v>5.173375738912867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0</v>
      </c>
      <c r="AJ145" s="13">
        <f>AI145*VLOOKUP('Données projet'!$B$10,Paramètres!$A$1:$I$89,3,0)*VLOOKUP('Données projet'!$B$10,Paramètres!$A$1:$I$89,5,0)</f>
        <v>0</v>
      </c>
      <c r="AK145" s="13" t="e">
        <f t="shared" si="143"/>
        <v>#NUM!</v>
      </c>
      <c r="AL145" s="20" t="e">
        <f t="shared" si="112"/>
        <v>#NUM!</v>
      </c>
      <c r="AM145" s="59" t="e">
        <f t="shared" si="113"/>
        <v>#NUM!</v>
      </c>
      <c r="AN145" s="59">
        <f ca="1">AVERAGE(OFFSET($AM$3,0,0,'Données projet'!$E$10+1,1))-AVERAGE(OFFSET($H$3,0,0,'Données projet'!$E$10+1,1))</f>
        <v>101.15586831191774</v>
      </c>
      <c r="AO145" s="59">
        <f t="shared" si="144"/>
        <v>346.96347336689064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4.434385041986677</v>
      </c>
      <c r="AV145" s="21">
        <f>EXP(-LN(2)/25)*AV144+(1-EXP(-LN(2)/25))/(LN(2)/25)*Calculateur!AQ145*Calculateur!AS145*VLOOKUP('Données projet'!$B$10,Paramètres!$A$1:$I$89,3,0)*0.475*44/12</f>
        <v>0.73899069692618979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5.173375738912867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3.5</v>
      </c>
      <c r="BD145" s="12">
        <f>IF('Données projet'!$A$88&gt;35,BD144+BC145-BL144,IF(A145&lt;'Données projet'!$A$88,$BA$205^A145,IF(A145='Données projet'!$A$88,'Données projet'!$B$88,BD144+BC145-BL144)))</f>
        <v>307.00000000000006</v>
      </c>
      <c r="BE145" s="13">
        <f>BD145*VLOOKUP('Données projet'!$B$11,Paramètres!$A$1:$I$89,3,0)*VLOOKUP('Données projet'!$B$11,Paramètres!$A$1:$I$89,5,0)</f>
        <v>277.77360000000004</v>
      </c>
      <c r="BF145" s="13">
        <f t="shared" si="145"/>
        <v>66.496288176842413</v>
      </c>
      <c r="BG145" s="20">
        <f t="shared" si="115"/>
        <v>599.60338857466729</v>
      </c>
      <c r="BH145" s="59">
        <f t="shared" si="116"/>
        <v>892.93672190800066</v>
      </c>
      <c r="BI145" s="59">
        <f ca="1">AVERAGE(OFFSET($BH$3,0,0,'Données projet'!$E$11+1,1))-AVERAGE(OFFSET($H$3,0,0,'Données projet'!$E$11+1,1))</f>
        <v>352.62747127358324</v>
      </c>
      <c r="BJ145" s="59">
        <f t="shared" si="146"/>
        <v>283.16932763435011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73.229925510022895</v>
      </c>
      <c r="BQ145" s="21">
        <f>EXP(-LN(2)/25)*BQ144+(1-EXP(-LN(2)/25))/(LN(2)/25)*Calculateur!BL145*Calculateur!BN145*VLOOKUP('Données projet'!$B$11,Paramètres!$A$1:$I$89,3,0)*0.475*44/12</f>
        <v>0</v>
      </c>
      <c r="BR145" s="21">
        <f>EXP(-LN(2)/2)*BR144+(1-EXP(-LN(2)/2))/(LN(2)/2)*BL145*BO145*VLOOKUP('Données projet'!$B$11,Paramètres!$A$1:$I$89,3,0)*0.475*44/12</f>
        <v>0</v>
      </c>
      <c r="BS145" s="22">
        <f t="shared" si="117"/>
        <v>73.229925510022895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3.5</v>
      </c>
      <c r="BY145" s="12">
        <f>IF('Données projet'!$A$114&gt;35,BY144+BX145-CG144,IF(A145&lt;'Données projet'!$A$114,$BV$205^A145,IF(A145='Données projet'!$A$114,'Données projet'!$B$114,BY144+BX145-CG144)))</f>
        <v>307.00000000000006</v>
      </c>
      <c r="BZ145" s="13">
        <f>BY145*VLOOKUP('Données projet'!$B$12,Paramètres!$A$1:$I$89,3,0)*VLOOKUP('Données projet'!$B$12,Paramètres!$A$1:$I$89,5,0)</f>
        <v>320.8764000000001</v>
      </c>
      <c r="CA145" s="13">
        <f t="shared" si="147"/>
        <v>75.535676690410213</v>
      </c>
      <c r="CB145" s="20">
        <f t="shared" si="118"/>
        <v>690.41770023579795</v>
      </c>
      <c r="CC145" s="59">
        <f t="shared" si="119"/>
        <v>983.75103356913132</v>
      </c>
      <c r="CD145" s="59">
        <f ca="1">AVERAGE(OFFSET($CC$3,0,0,'Données projet'!$E$12+1,1))-AVERAGE(OFFSET($H$3,0,0,'Données projet'!$E$12+1,1))</f>
        <v>423.49657671419374</v>
      </c>
      <c r="CE145" s="59">
        <f t="shared" si="148"/>
        <v>329.6783569381081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84.593189813302331</v>
      </c>
      <c r="CL145" s="21">
        <f>EXP(-LN(2)/25)*CL144+(1-EXP(-LN(2)/25))/(LN(2)/25)*Calculateur!CG145*Calculateur!CI145*VLOOKUP('Données projet'!$B$12,Paramètres!$A$1:$I$89,3,0)*0.475*44/12</f>
        <v>0</v>
      </c>
      <c r="CM145" s="21">
        <f>EXP(-LN(2)/2)*CM144+(1-EXP(-LN(2)/2))/(LN(2)/2)*CG145*CJ145*VLOOKUP('Données projet'!$B$12,Paramètres!$A$1:$I$89,3,0)*0.475*44/12</f>
        <v>0</v>
      </c>
      <c r="CN145" s="22">
        <f t="shared" si="120"/>
        <v>84.593189813302331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3.5</v>
      </c>
      <c r="CT145" s="12">
        <f>IF('Données projet'!$A$140&gt;35,CT144+CS145-DB144,IF(A145&lt;'Données projet'!$A$140,$CQ$205^A145,IF(A145='Données projet'!$A$140,'Données projet'!$B$140,CT144+CS145-DB144)))</f>
        <v>307.00000000000006</v>
      </c>
      <c r="CU145" s="17">
        <f>CT145*VLOOKUP('Données projet'!$B$13,Paramètres!$A$1:$I$89,3,0)*VLOOKUP('Données projet'!$B$13,Paramètres!$A$1:$I$89,5,0)</f>
        <v>311.29800000000006</v>
      </c>
      <c r="CV145" s="13">
        <f t="shared" si="149"/>
        <v>73.539838278528748</v>
      </c>
      <c r="CW145" s="20">
        <f t="shared" si="121"/>
        <v>670.259235001771</v>
      </c>
      <c r="CX145" s="59">
        <f t="shared" si="122"/>
        <v>963.59256833510426</v>
      </c>
      <c r="CY145" s="59">
        <f ca="1">AVERAGE(OFFSET($CX$3,0,0,'Données projet'!$E$13+1,1))-AVERAGE(OFFSET($H$3,0,0,'Données projet'!$E$13+1,1))</f>
        <v>407.76560346703042</v>
      </c>
      <c r="CZ145" s="59">
        <f t="shared" si="150"/>
        <v>319.35531375725202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82.068019968129079</v>
      </c>
      <c r="DG145" s="21">
        <f>EXP(-LN(2)/25)*DG144+(1-EXP(-LN(2)/25))/(LN(2)/25)*Calculateur!DB145*Calculateur!DD145*VLOOKUP('Données projet'!$B$13,Paramètres!$A$1:$I$89,3,0)*0.475*44/12</f>
        <v>0</v>
      </c>
      <c r="DH145" s="21">
        <f>EXP(-LN(2)/2)*DH144+(1-EXP(-LN(2)/2))/(LN(2)/2)*DB145*DE145*VLOOKUP('Données projet'!$B$13,Paramètres!$A$1:$I$89,3,0)*0.475*44/12</f>
        <v>0</v>
      </c>
      <c r="DI145" s="22">
        <f t="shared" si="123"/>
        <v>82.068019968129079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2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127.15560000000025</v>
      </c>
      <c r="D146" s="11">
        <f t="shared" si="140"/>
        <v>33.33825814923194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1238.8999576431959</v>
      </c>
      <c r="H146" s="67">
        <f t="shared" si="110"/>
        <v>536.19346960991265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0</v>
      </c>
      <c r="O146" s="13">
        <f>N146*VLOOKUP('Données projet'!$B$9,Paramètres!$A$1:$I$89,3,0)*VLOOKUP('Données projet'!$B$9,Paramètres!$A$1:$I$89,5,0)</f>
        <v>0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101.15586831191774</v>
      </c>
      <c r="T146" s="59">
        <f t="shared" si="142"/>
        <v>346.96347336689064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4.3474294560211266</v>
      </c>
      <c r="AA146" s="21">
        <f>EXP(-LN(2)/25)*AA145+(1-EXP(-LN(2)/25))/(LN(2)/25)*Calculateur!V146*Calculateur!X146*VLOOKUP('Données projet'!$B$9,Paramètres!$A$1:$I$89,3,0)*0.475*44/12</f>
        <v>0.71878295745691134</v>
      </c>
      <c r="AB146" s="21">
        <f>EXP(-LN(2)/2)*AB145+(1-EXP(-LN(2)/2))/(LN(2)/2)*V146*Y146*VLOOKUP('Données projet'!$B$9,Paramètres!$A$1:$I$89,3,0)*0.475*44/12</f>
        <v>0</v>
      </c>
      <c r="AC146" s="22">
        <f t="shared" si="111"/>
        <v>5.0662124134780377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0</v>
      </c>
      <c r="AJ146" s="13">
        <f>AI146*VLOOKUP('Données projet'!$B$10,Paramètres!$A$1:$I$89,3,0)*VLOOKUP('Données projet'!$B$10,Paramètres!$A$1:$I$89,5,0)</f>
        <v>0</v>
      </c>
      <c r="AK146" s="13" t="e">
        <f t="shared" si="143"/>
        <v>#NUM!</v>
      </c>
      <c r="AL146" s="20" t="e">
        <f t="shared" si="112"/>
        <v>#NUM!</v>
      </c>
      <c r="AM146" s="59" t="e">
        <f t="shared" si="113"/>
        <v>#NUM!</v>
      </c>
      <c r="AN146" s="59">
        <f ca="1">AVERAGE(OFFSET($AM$3,0,0,'Données projet'!$E$10+1,1))-AVERAGE(OFFSET($H$3,0,0,'Données projet'!$E$10+1,1))</f>
        <v>101.15586831191774</v>
      </c>
      <c r="AO146" s="59">
        <f t="shared" si="144"/>
        <v>346.96347336689064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4.3474294560211266</v>
      </c>
      <c r="AV146" s="21">
        <f>EXP(-LN(2)/25)*AV145+(1-EXP(-LN(2)/25))/(LN(2)/25)*Calculateur!AQ146*Calculateur!AS146*VLOOKUP('Données projet'!$B$10,Paramètres!$A$1:$I$89,3,0)*0.475*44/12</f>
        <v>0.71878295745691134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5.0662124134780377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3.5</v>
      </c>
      <c r="BD146" s="12">
        <f>IF('Données projet'!$A$88&gt;35,BD145+BC146-BL145,IF(A146&lt;'Données projet'!$A$88,$BA$205^A146,IF(A146='Données projet'!$A$88,'Données projet'!$B$88,BD145+BC146-BL145)))</f>
        <v>310.50000000000006</v>
      </c>
      <c r="BE146" s="13">
        <f>BD146*VLOOKUP('Données projet'!$B$11,Paramètres!$A$1:$I$89,3,0)*VLOOKUP('Données projet'!$B$11,Paramètres!$A$1:$I$89,5,0)</f>
        <v>280.94040000000007</v>
      </c>
      <c r="BF146" s="13">
        <f t="shared" si="145"/>
        <v>67.165703636653262</v>
      </c>
      <c r="BG146" s="20">
        <f t="shared" si="115"/>
        <v>606.28479716717118</v>
      </c>
      <c r="BH146" s="59">
        <f t="shared" si="116"/>
        <v>899.61813050050455</v>
      </c>
      <c r="BI146" s="59">
        <f ca="1">AVERAGE(OFFSET($BH$3,0,0,'Données projet'!$E$11+1,1))-AVERAGE(OFFSET($H$3,0,0,'Données projet'!$E$11+1,1))</f>
        <v>352.62747127358324</v>
      </c>
      <c r="BJ146" s="59">
        <f t="shared" si="146"/>
        <v>283.16932763435011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71.793931336615515</v>
      </c>
      <c r="BQ146" s="21">
        <f>EXP(-LN(2)/25)*BQ145+(1-EXP(-LN(2)/25))/(LN(2)/25)*Calculateur!BL146*Calculateur!BN146*VLOOKUP('Données projet'!$B$11,Paramètres!$A$1:$I$89,3,0)*0.475*44/12</f>
        <v>0</v>
      </c>
      <c r="BR146" s="21">
        <f>EXP(-LN(2)/2)*BR145+(1-EXP(-LN(2)/2))/(LN(2)/2)*BL146*BO146*VLOOKUP('Données projet'!$B$11,Paramètres!$A$1:$I$89,3,0)*0.475*44/12</f>
        <v>0</v>
      </c>
      <c r="BS146" s="22">
        <f t="shared" si="117"/>
        <v>71.793931336615515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3.5</v>
      </c>
      <c r="BY146" s="12">
        <f>IF('Données projet'!$A$114&gt;35,BY145+BX146-CG145,IF(A146&lt;'Données projet'!$A$114,$BV$205^A146,IF(A146='Données projet'!$A$114,'Données projet'!$B$114,BY145+BX146-CG145)))</f>
        <v>310.50000000000006</v>
      </c>
      <c r="BZ146" s="13">
        <f>BY146*VLOOKUP('Données projet'!$B$12,Paramètres!$A$1:$I$89,3,0)*VLOOKUP('Données projet'!$B$12,Paramètres!$A$1:$I$89,5,0)</f>
        <v>324.53460000000007</v>
      </c>
      <c r="CA146" s="13">
        <f t="shared" si="147"/>
        <v>76.29609131098816</v>
      </c>
      <c r="CB146" s="20">
        <f t="shared" si="118"/>
        <v>698.11345403330449</v>
      </c>
      <c r="CC146" s="59">
        <f t="shared" si="119"/>
        <v>991.44678736663786</v>
      </c>
      <c r="CD146" s="59">
        <f ca="1">AVERAGE(OFFSET($CC$3,0,0,'Données projet'!$E$12+1,1))-AVERAGE(OFFSET($H$3,0,0,'Données projet'!$E$12+1,1))</f>
        <v>423.49657671419374</v>
      </c>
      <c r="CE146" s="59">
        <f t="shared" si="148"/>
        <v>329.6783569381081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82.934368957814499</v>
      </c>
      <c r="CL146" s="21">
        <f>EXP(-LN(2)/25)*CL145+(1-EXP(-LN(2)/25))/(LN(2)/25)*Calculateur!CG146*Calculateur!CI146*VLOOKUP('Données projet'!$B$12,Paramètres!$A$1:$I$89,3,0)*0.475*44/12</f>
        <v>0</v>
      </c>
      <c r="CM146" s="21">
        <f>EXP(-LN(2)/2)*CM145+(1-EXP(-LN(2)/2))/(LN(2)/2)*CG146*CJ146*VLOOKUP('Données projet'!$B$12,Paramètres!$A$1:$I$89,3,0)*0.475*44/12</f>
        <v>0</v>
      </c>
      <c r="CN146" s="22">
        <f t="shared" si="120"/>
        <v>82.934368957814499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3.5</v>
      </c>
      <c r="CT146" s="12">
        <f>IF('Données projet'!$A$140&gt;35,CT145+CS146-DB145,IF(A146&lt;'Données projet'!$A$140,$CQ$205^A146,IF(A146='Données projet'!$A$140,'Données projet'!$B$140,CT145+CS146-DB145)))</f>
        <v>310.50000000000006</v>
      </c>
      <c r="CU146" s="17">
        <f>CT146*VLOOKUP('Données projet'!$B$13,Paramètres!$A$1:$I$89,3,0)*VLOOKUP('Données projet'!$B$13,Paramètres!$A$1:$I$89,5,0)</f>
        <v>314.84700000000009</v>
      </c>
      <c r="CV146" s="13">
        <f t="shared" si="149"/>
        <v>74.280160874050424</v>
      </c>
      <c r="CW146" s="20">
        <f t="shared" si="121"/>
        <v>677.72980518897123</v>
      </c>
      <c r="CX146" s="59">
        <f t="shared" si="122"/>
        <v>971.0631385223046</v>
      </c>
      <c r="CY146" s="59">
        <f ca="1">AVERAGE(OFFSET($CX$3,0,0,'Données projet'!$E$13+1,1))-AVERAGE(OFFSET($H$3,0,0,'Données projet'!$E$13+1,1))</f>
        <v>407.76560346703042</v>
      </c>
      <c r="CZ146" s="59">
        <f t="shared" si="150"/>
        <v>319.35531375725202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80.45871615310358</v>
      </c>
      <c r="DG146" s="21">
        <f>EXP(-LN(2)/25)*DG145+(1-EXP(-LN(2)/25))/(LN(2)/25)*Calculateur!DB146*Calculateur!DD146*VLOOKUP('Données projet'!$B$13,Paramètres!$A$1:$I$89,3,0)*0.475*44/12</f>
        <v>0</v>
      </c>
      <c r="DH146" s="21">
        <f>EXP(-LN(2)/2)*DH145+(1-EXP(-LN(2)/2))/(LN(2)/2)*DB146*DE146*VLOOKUP('Données projet'!$B$13,Paramètres!$A$1:$I$89,3,0)*0.475*44/12</f>
        <v>0</v>
      </c>
      <c r="DI146" s="22">
        <f t="shared" si="123"/>
        <v>80.45871615310358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2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128.04480000000024</v>
      </c>
      <c r="D147" s="11">
        <f t="shared" si="140"/>
        <v>33.544172323452237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1247.3534705670015</v>
      </c>
      <c r="H147" s="67">
        <f t="shared" si="110"/>
        <v>538.10079346334646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0</v>
      </c>
      <c r="O147" s="13">
        <f>N147*VLOOKUP('Données projet'!$B$9,Paramètres!$A$1:$I$89,3,0)*VLOOKUP('Données projet'!$B$9,Paramètres!$A$1:$I$89,5,0)</f>
        <v>0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101.15586831191774</v>
      </c>
      <c r="T147" s="59">
        <f t="shared" si="142"/>
        <v>346.96347336689064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4.2621790160586901</v>
      </c>
      <c r="AA147" s="21">
        <f>EXP(-LN(2)/25)*AA146+(1-EXP(-LN(2)/25))/(LN(2)/25)*Calculateur!V147*Calculateur!X147*VLOOKUP('Données projet'!$B$9,Paramètres!$A$1:$I$89,3,0)*0.475*44/12</f>
        <v>0.69912779968609917</v>
      </c>
      <c r="AB147" s="21">
        <f>EXP(-LN(2)/2)*AB146+(1-EXP(-LN(2)/2))/(LN(2)/2)*V147*Y147*VLOOKUP('Données projet'!$B$9,Paramètres!$A$1:$I$89,3,0)*0.475*44/12</f>
        <v>0</v>
      </c>
      <c r="AC147" s="22">
        <f t="shared" si="111"/>
        <v>4.9613068157447895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0</v>
      </c>
      <c r="AJ147" s="13">
        <f>AI147*VLOOKUP('Données projet'!$B$10,Paramètres!$A$1:$I$89,3,0)*VLOOKUP('Données projet'!$B$10,Paramètres!$A$1:$I$89,5,0)</f>
        <v>0</v>
      </c>
      <c r="AK147" s="13" t="e">
        <f t="shared" si="143"/>
        <v>#NUM!</v>
      </c>
      <c r="AL147" s="20" t="e">
        <f t="shared" si="112"/>
        <v>#NUM!</v>
      </c>
      <c r="AM147" s="59" t="e">
        <f t="shared" si="113"/>
        <v>#NUM!</v>
      </c>
      <c r="AN147" s="59">
        <f ca="1">AVERAGE(OFFSET($AM$3,0,0,'Données projet'!$E$10+1,1))-AVERAGE(OFFSET($H$3,0,0,'Données projet'!$E$10+1,1))</f>
        <v>101.15586831191774</v>
      </c>
      <c r="AO147" s="59">
        <f t="shared" si="144"/>
        <v>346.96347336689064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4.2621790160586901</v>
      </c>
      <c r="AV147" s="21">
        <f>EXP(-LN(2)/25)*AV146+(1-EXP(-LN(2)/25))/(LN(2)/25)*Calculateur!AQ147*Calculateur!AS147*VLOOKUP('Données projet'!$B$10,Paramètres!$A$1:$I$89,3,0)*0.475*44/12</f>
        <v>0.69912779968609917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4.9613068157447895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3.5</v>
      </c>
      <c r="BD147" s="12">
        <f>IF('Données projet'!$A$88&gt;35,BD146+BC147-BL146,IF(A147&lt;'Données projet'!$A$88,$BA$205^A147,IF(A147='Données projet'!$A$88,'Données projet'!$B$88,BD146+BC147-BL146)))</f>
        <v>314.00000000000006</v>
      </c>
      <c r="BE147" s="13">
        <f>BD147*VLOOKUP('Données projet'!$B$11,Paramètres!$A$1:$I$89,3,0)*VLOOKUP('Données projet'!$B$11,Paramètres!$A$1:$I$89,5,0)</f>
        <v>284.10720000000003</v>
      </c>
      <c r="BF147" s="13">
        <f t="shared" si="145"/>
        <v>67.834241327943772</v>
      </c>
      <c r="BG147" s="20">
        <f t="shared" si="115"/>
        <v>612.96467697950209</v>
      </c>
      <c r="BH147" s="59">
        <f t="shared" si="116"/>
        <v>906.29801031283546</v>
      </c>
      <c r="BI147" s="59">
        <f ca="1">AVERAGE(OFFSET($BH$3,0,0,'Données projet'!$E$11+1,1))-AVERAGE(OFFSET($H$3,0,0,'Données projet'!$E$11+1,1))</f>
        <v>352.62747127358324</v>
      </c>
      <c r="BJ147" s="59">
        <f t="shared" si="146"/>
        <v>283.16932763435011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70.386096133078695</v>
      </c>
      <c r="BQ147" s="21">
        <f>EXP(-LN(2)/25)*BQ146+(1-EXP(-LN(2)/25))/(LN(2)/25)*Calculateur!BL147*Calculateur!BN147*VLOOKUP('Données projet'!$B$11,Paramètres!$A$1:$I$89,3,0)*0.475*44/12</f>
        <v>0</v>
      </c>
      <c r="BR147" s="21">
        <f>EXP(-LN(2)/2)*BR146+(1-EXP(-LN(2)/2))/(LN(2)/2)*BL147*BO147*VLOOKUP('Données projet'!$B$11,Paramètres!$A$1:$I$89,3,0)*0.475*44/12</f>
        <v>0</v>
      </c>
      <c r="BS147" s="22">
        <f t="shared" si="117"/>
        <v>70.386096133078695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3.5</v>
      </c>
      <c r="BY147" s="12">
        <f>IF('Données projet'!$A$114&gt;35,BY146+BX147-CG146,IF(A147&lt;'Données projet'!$A$114,$BV$205^A147,IF(A147='Données projet'!$A$114,'Données projet'!$B$114,BY146+BX147-CG146)))</f>
        <v>314.00000000000006</v>
      </c>
      <c r="BZ147" s="13">
        <f>BY147*VLOOKUP('Données projet'!$B$12,Paramètres!$A$1:$I$89,3,0)*VLOOKUP('Données projet'!$B$12,Paramètres!$A$1:$I$89,5,0)</f>
        <v>328.19280000000009</v>
      </c>
      <c r="CA147" s="13">
        <f t="shared" si="147"/>
        <v>77.055508840736223</v>
      </c>
      <c r="CB147" s="20">
        <f t="shared" si="118"/>
        <v>705.80747123094898</v>
      </c>
      <c r="CC147" s="59">
        <f t="shared" si="119"/>
        <v>999.14080456428223</v>
      </c>
      <c r="CD147" s="59">
        <f ca="1">AVERAGE(OFFSET($CC$3,0,0,'Données projet'!$E$12+1,1))-AVERAGE(OFFSET($H$3,0,0,'Données projet'!$E$12+1,1))</f>
        <v>423.49657671419374</v>
      </c>
      <c r="CE147" s="59">
        <f t="shared" si="148"/>
        <v>329.6783569381081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81.308076567521965</v>
      </c>
      <c r="CL147" s="21">
        <f>EXP(-LN(2)/25)*CL146+(1-EXP(-LN(2)/25))/(LN(2)/25)*Calculateur!CG147*Calculateur!CI147*VLOOKUP('Données projet'!$B$12,Paramètres!$A$1:$I$89,3,0)*0.475*44/12</f>
        <v>0</v>
      </c>
      <c r="CM147" s="21">
        <f>EXP(-LN(2)/2)*CM146+(1-EXP(-LN(2)/2))/(LN(2)/2)*CG147*CJ147*VLOOKUP('Données projet'!$B$12,Paramètres!$A$1:$I$89,3,0)*0.475*44/12</f>
        <v>0</v>
      </c>
      <c r="CN147" s="22">
        <f t="shared" si="120"/>
        <v>81.308076567521965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3.5</v>
      </c>
      <c r="CT147" s="12">
        <f>IF('Données projet'!$A$140&gt;35,CT146+CS147-DB146,IF(A147&lt;'Données projet'!$A$140,$CQ$205^A147,IF(A147='Données projet'!$A$140,'Données projet'!$B$140,CT146+CS147-DB146)))</f>
        <v>314.00000000000006</v>
      </c>
      <c r="CU147" s="17">
        <f>CT147*VLOOKUP('Données projet'!$B$13,Paramètres!$A$1:$I$89,3,0)*VLOOKUP('Données projet'!$B$13,Paramètres!$A$1:$I$89,5,0)</f>
        <v>318.39600000000007</v>
      </c>
      <c r="CV147" s="13">
        <f t="shared" si="149"/>
        <v>75.019512724335002</v>
      </c>
      <c r="CW147" s="20">
        <f t="shared" si="121"/>
        <v>685.19868466155015</v>
      </c>
      <c r="CX147" s="59">
        <f t="shared" si="122"/>
        <v>978.53201799488352</v>
      </c>
      <c r="CY147" s="59">
        <f ca="1">AVERAGE(OFFSET($CX$3,0,0,'Données projet'!$E$13+1,1))-AVERAGE(OFFSET($H$3,0,0,'Données projet'!$E$13+1,1))</f>
        <v>407.76560346703042</v>
      </c>
      <c r="CZ147" s="59">
        <f t="shared" si="150"/>
        <v>319.35531375725202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projet'!$B$13,Paramètres!$A$1:$I$89,3,0)*0.475*44/12</f>
        <v>78.880969804312315</v>
      </c>
      <c r="DG147" s="21">
        <f>EXP(-LN(2)/25)*DG146+(1-EXP(-LN(2)/25))/(LN(2)/25)*Calculateur!DB147*Calculateur!DD147*VLOOKUP('Données projet'!$B$13,Paramètres!$A$1:$I$89,3,0)*0.475*44/12</f>
        <v>0</v>
      </c>
      <c r="DH147" s="21">
        <f>EXP(-LN(2)/2)*DH146+(1-EXP(-LN(2)/2))/(LN(2)/2)*DB147*DE147*VLOOKUP('Données projet'!$B$13,Paramètres!$A$1:$I$89,3,0)*0.475*44/12</f>
        <v>0</v>
      </c>
      <c r="DI147" s="22">
        <f t="shared" si="123"/>
        <v>78.880969804312315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2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128.93400000000022</v>
      </c>
      <c r="D148" s="11">
        <f t="shared" si="140"/>
        <v>33.749920116221446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1255.8056991427636</v>
      </c>
      <c r="H148" s="67">
        <f t="shared" si="110"/>
        <v>540.00782753575277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0</v>
      </c>
      <c r="O148" s="13">
        <f>N148*VLOOKUP('Données projet'!$B$9,Paramètres!$A$1:$I$89,3,0)*VLOOKUP('Données projet'!$B$9,Paramètres!$A$1:$I$89,5,0)</f>
        <v>0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101.15586831191774</v>
      </c>
      <c r="T148" s="59">
        <f t="shared" si="142"/>
        <v>346.96347336689064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4.1786002852262829</v>
      </c>
      <c r="AA148" s="21">
        <f>EXP(-LN(2)/25)*AA147+(1-EXP(-LN(2)/25))/(LN(2)/25)*Calculateur!V148*Calculateur!X148*VLOOKUP('Données projet'!$B$9,Paramètres!$A$1:$I$89,3,0)*0.475*44/12</f>
        <v>0.68001011323814964</v>
      </c>
      <c r="AB148" s="21">
        <f>EXP(-LN(2)/2)*AB147+(1-EXP(-LN(2)/2))/(LN(2)/2)*V148*Y148*VLOOKUP('Données projet'!$B$9,Paramètres!$A$1:$I$89,3,0)*0.475*44/12</f>
        <v>0</v>
      </c>
      <c r="AC148" s="22">
        <f t="shared" si="111"/>
        <v>4.8586103984644327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0</v>
      </c>
      <c r="AJ148" s="13">
        <f>AI148*VLOOKUP('Données projet'!$B$10,Paramètres!$A$1:$I$89,3,0)*VLOOKUP('Données projet'!$B$10,Paramètres!$A$1:$I$89,5,0)</f>
        <v>0</v>
      </c>
      <c r="AK148" s="13" t="e">
        <f t="shared" si="143"/>
        <v>#NUM!</v>
      </c>
      <c r="AL148" s="20" t="e">
        <f t="shared" si="112"/>
        <v>#NUM!</v>
      </c>
      <c r="AM148" s="59" t="e">
        <f t="shared" si="113"/>
        <v>#NUM!</v>
      </c>
      <c r="AN148" s="59">
        <f ca="1">AVERAGE(OFFSET($AM$3,0,0,'Données projet'!$E$10+1,1))-AVERAGE(OFFSET($H$3,0,0,'Données projet'!$E$10+1,1))</f>
        <v>101.15586831191774</v>
      </c>
      <c r="AO148" s="59">
        <f t="shared" si="144"/>
        <v>346.96347336689064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4.1786002852262829</v>
      </c>
      <c r="AV148" s="21">
        <f>EXP(-LN(2)/25)*AV147+(1-EXP(-LN(2)/25))/(LN(2)/25)*Calculateur!AQ148*Calculateur!AS148*VLOOKUP('Données projet'!$B$10,Paramètres!$A$1:$I$89,3,0)*0.475*44/12</f>
        <v>0.68001011323814964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4.8586103984644327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3.5</v>
      </c>
      <c r="BD148" s="12">
        <f>IF('Données projet'!$A$88&gt;35,BD147+BC148-BL147,IF(A148&lt;'Données projet'!$A$88,$BA$205^A148,IF(A148='Données projet'!$A$88,'Données projet'!$B$88,BD147+BC148-BL147)))</f>
        <v>317.50000000000006</v>
      </c>
      <c r="BE148" s="13">
        <f>BD148*VLOOKUP('Données projet'!$B$11,Paramètres!$A$1:$I$89,3,0)*VLOOKUP('Données projet'!$B$11,Paramètres!$A$1:$I$89,5,0)</f>
        <v>287.27400000000006</v>
      </c>
      <c r="BF148" s="13">
        <f t="shared" si="145"/>
        <v>68.501912166992028</v>
      </c>
      <c r="BG148" s="20">
        <f t="shared" si="115"/>
        <v>619.64304702417792</v>
      </c>
      <c r="BH148" s="59">
        <f t="shared" si="116"/>
        <v>912.97638035751129</v>
      </c>
      <c r="BI148" s="59">
        <f ca="1">AVERAGE(OFFSET($BH$3,0,0,'Données projet'!$E$11+1,1))-AVERAGE(OFFSET($H$3,0,0,'Données projet'!$E$11+1,1))</f>
        <v>352.62747127358324</v>
      </c>
      <c r="BJ148" s="59">
        <f t="shared" si="146"/>
        <v>283.16932763435011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69.005867719188558</v>
      </c>
      <c r="BQ148" s="21">
        <f>EXP(-LN(2)/25)*BQ147+(1-EXP(-LN(2)/25))/(LN(2)/25)*Calculateur!BL148*Calculateur!BN148*VLOOKUP('Données projet'!$B$11,Paramètres!$A$1:$I$89,3,0)*0.475*44/12</f>
        <v>0</v>
      </c>
      <c r="BR148" s="21">
        <f>EXP(-LN(2)/2)*BR147+(1-EXP(-LN(2)/2))/(LN(2)/2)*BL148*BO148*VLOOKUP('Données projet'!$B$11,Paramètres!$A$1:$I$89,3,0)*0.475*44/12</f>
        <v>0</v>
      </c>
      <c r="BS148" s="22">
        <f t="shared" si="117"/>
        <v>69.005867719188558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3.5</v>
      </c>
      <c r="BY148" s="12">
        <f>IF('Données projet'!$A$114&gt;35,BY147+BX148-CG147,IF(A148&lt;'Données projet'!$A$114,$BV$205^A148,IF(A148='Données projet'!$A$114,'Données projet'!$B$114,BY147+BX148-CG147)))</f>
        <v>317.50000000000006</v>
      </c>
      <c r="BZ148" s="13">
        <f>BY148*VLOOKUP('Données projet'!$B$12,Paramètres!$A$1:$I$89,3,0)*VLOOKUP('Données projet'!$B$12,Paramètres!$A$1:$I$89,5,0)</f>
        <v>331.85100000000011</v>
      </c>
      <c r="CA148" s="13">
        <f t="shared" si="147"/>
        <v>77.813941679872229</v>
      </c>
      <c r="CB148" s="20">
        <f t="shared" si="118"/>
        <v>713.49977342577768</v>
      </c>
      <c r="CC148" s="59">
        <f t="shared" si="119"/>
        <v>1006.8331067591109</v>
      </c>
      <c r="CD148" s="59">
        <f ca="1">AVERAGE(OFFSET($CC$3,0,0,'Données projet'!$E$12+1,1))-AVERAGE(OFFSET($H$3,0,0,'Données projet'!$E$12+1,1))</f>
        <v>423.49657671419374</v>
      </c>
      <c r="CE148" s="59">
        <f t="shared" si="148"/>
        <v>329.6783569381081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79.713674779062657</v>
      </c>
      <c r="CL148" s="21">
        <f>EXP(-LN(2)/25)*CL147+(1-EXP(-LN(2)/25))/(LN(2)/25)*Calculateur!CG148*Calculateur!CI148*VLOOKUP('Données projet'!$B$12,Paramètres!$A$1:$I$89,3,0)*0.475*44/12</f>
        <v>0</v>
      </c>
      <c r="CM148" s="21">
        <f>EXP(-LN(2)/2)*CM147+(1-EXP(-LN(2)/2))/(LN(2)/2)*CG148*CJ148*VLOOKUP('Données projet'!$B$12,Paramètres!$A$1:$I$89,3,0)*0.475*44/12</f>
        <v>0</v>
      </c>
      <c r="CN148" s="22">
        <f t="shared" si="120"/>
        <v>79.713674779062657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3.5</v>
      </c>
      <c r="CT148" s="12">
        <f>IF('Données projet'!$A$140&gt;35,CT147+CS148-DB147,IF(A148&lt;'Données projet'!$A$140,$CQ$205^A148,IF(A148='Données projet'!$A$140,'Données projet'!$B$140,CT147+CS148-DB147)))</f>
        <v>317.50000000000006</v>
      </c>
      <c r="CU148" s="17">
        <f>CT148*VLOOKUP('Données projet'!$B$13,Paramètres!$A$1:$I$89,3,0)*VLOOKUP('Données projet'!$B$13,Paramètres!$A$1:$I$89,5,0)</f>
        <v>321.94500000000011</v>
      </c>
      <c r="CV148" s="13">
        <f t="shared" si="149"/>
        <v>75.757905901956036</v>
      </c>
      <c r="CW148" s="20">
        <f t="shared" si="121"/>
        <v>692.66589444590693</v>
      </c>
      <c r="CX148" s="59">
        <f t="shared" si="122"/>
        <v>985.9992277792403</v>
      </c>
      <c r="CY148" s="59">
        <f ca="1">AVERAGE(OFFSET($CX$3,0,0,'Données projet'!$E$13+1,1))-AVERAGE(OFFSET($H$3,0,0,'Données projet'!$E$13+1,1))</f>
        <v>407.76560346703042</v>
      </c>
      <c r="CZ148" s="59">
        <f t="shared" si="150"/>
        <v>319.35531375725202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77.334162099090605</v>
      </c>
      <c r="DG148" s="21">
        <f>EXP(-LN(2)/25)*DG147+(1-EXP(-LN(2)/25))/(LN(2)/25)*Calculateur!DB148*Calculateur!DD148*VLOOKUP('Données projet'!$B$13,Paramètres!$A$1:$I$89,3,0)*0.475*44/12</f>
        <v>0</v>
      </c>
      <c r="DH148" s="21">
        <f>EXP(-LN(2)/2)*DH147+(1-EXP(-LN(2)/2))/(LN(2)/2)*DB148*DE148*VLOOKUP('Données projet'!$B$13,Paramètres!$A$1:$I$89,3,0)*0.475*44/12</f>
        <v>0</v>
      </c>
      <c r="DI148" s="22">
        <f t="shared" si="123"/>
        <v>77.334162099090605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2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129.82320000000021</v>
      </c>
      <c r="D149" s="11">
        <f t="shared" si="140"/>
        <v>33.955502808068339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1264.256653255266</v>
      </c>
      <c r="H149" s="67">
        <f t="shared" si="110"/>
        <v>541.91457405738606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0</v>
      </c>
      <c r="O149" s="13">
        <f>N149*VLOOKUP('Données projet'!$B$9,Paramètres!$A$1:$I$89,3,0)*VLOOKUP('Données projet'!$B$9,Paramètres!$A$1:$I$89,5,0)</f>
        <v>0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101.15586831191774</v>
      </c>
      <c r="T149" s="59">
        <f t="shared" si="142"/>
        <v>346.96347336689064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4.0966604823275068</v>
      </c>
      <c r="AA149" s="21">
        <f>EXP(-LN(2)/25)*AA148+(1-EXP(-LN(2)/25))/(LN(2)/25)*Calculateur!V149*Calculateur!X149*VLOOKUP('Données projet'!$B$9,Paramètres!$A$1:$I$89,3,0)*0.475*44/12</f>
        <v>0.66141520093147477</v>
      </c>
      <c r="AB149" s="21">
        <f>EXP(-LN(2)/2)*AB148+(1-EXP(-LN(2)/2))/(LN(2)/2)*V149*Y149*VLOOKUP('Données projet'!$B$9,Paramètres!$A$1:$I$89,3,0)*0.475*44/12</f>
        <v>0</v>
      </c>
      <c r="AC149" s="22">
        <f t="shared" si="111"/>
        <v>4.7580756832589817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0</v>
      </c>
      <c r="AJ149" s="13">
        <f>AI149*VLOOKUP('Données projet'!$B$10,Paramètres!$A$1:$I$89,3,0)*VLOOKUP('Données projet'!$B$10,Paramètres!$A$1:$I$89,5,0)</f>
        <v>0</v>
      </c>
      <c r="AK149" s="13" t="e">
        <f t="shared" si="143"/>
        <v>#NUM!</v>
      </c>
      <c r="AL149" s="20" t="e">
        <f t="shared" si="112"/>
        <v>#NUM!</v>
      </c>
      <c r="AM149" s="59" t="e">
        <f t="shared" si="113"/>
        <v>#NUM!</v>
      </c>
      <c r="AN149" s="59">
        <f ca="1">AVERAGE(OFFSET($AM$3,0,0,'Données projet'!$E$10+1,1))-AVERAGE(OFFSET($H$3,0,0,'Données projet'!$E$10+1,1))</f>
        <v>101.15586831191774</v>
      </c>
      <c r="AO149" s="59">
        <f t="shared" si="144"/>
        <v>346.96347336689064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4.0966604823275068</v>
      </c>
      <c r="AV149" s="21">
        <f>EXP(-LN(2)/25)*AV148+(1-EXP(-LN(2)/25))/(LN(2)/25)*Calculateur!AQ149*Calculateur!AS149*VLOOKUP('Données projet'!$B$10,Paramètres!$A$1:$I$89,3,0)*0.475*44/12</f>
        <v>0.66141520093147477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4.7580756832589817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3.5</v>
      </c>
      <c r="BD149" s="12">
        <f>IF('Données projet'!$A$88&gt;35,BD148+BC149-BL148,IF(A149&lt;'Données projet'!$A$88,$BA$205^A149,IF(A149='Données projet'!$A$88,'Données projet'!$B$88,BD148+BC149-BL148)))</f>
        <v>321.00000000000006</v>
      </c>
      <c r="BE149" s="13">
        <f>BD149*VLOOKUP('Données projet'!$B$11,Paramètres!$A$1:$I$89,3,0)*VLOOKUP('Données projet'!$B$11,Paramètres!$A$1:$I$89,5,0)</f>
        <v>290.44080000000002</v>
      </c>
      <c r="BF149" s="13">
        <f t="shared" si="145"/>
        <v>69.168726815543309</v>
      </c>
      <c r="BG149" s="20">
        <f t="shared" si="115"/>
        <v>626.31992587040475</v>
      </c>
      <c r="BH149" s="59">
        <f t="shared" si="116"/>
        <v>919.65325920373812</v>
      </c>
      <c r="BI149" s="59">
        <f ca="1">AVERAGE(OFFSET($BH$3,0,0,'Données projet'!$E$11+1,1))-AVERAGE(OFFSET($H$3,0,0,'Données projet'!$E$11+1,1))</f>
        <v>352.62747127358324</v>
      </c>
      <c r="BJ149" s="59">
        <f t="shared" si="146"/>
        <v>283.16932763435011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67.652704742638591</v>
      </c>
      <c r="BQ149" s="21">
        <f>EXP(-LN(2)/25)*BQ148+(1-EXP(-LN(2)/25))/(LN(2)/25)*Calculateur!BL149*Calculateur!BN149*VLOOKUP('Données projet'!$B$11,Paramètres!$A$1:$I$89,3,0)*0.475*44/12</f>
        <v>0</v>
      </c>
      <c r="BR149" s="21">
        <f>EXP(-LN(2)/2)*BR148+(1-EXP(-LN(2)/2))/(LN(2)/2)*BL149*BO149*VLOOKUP('Données projet'!$B$11,Paramètres!$A$1:$I$89,3,0)*0.475*44/12</f>
        <v>0</v>
      </c>
      <c r="BS149" s="22">
        <f t="shared" si="117"/>
        <v>67.652704742638591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3.5</v>
      </c>
      <c r="BY149" s="12">
        <f>IF('Données projet'!$A$114&gt;35,BY148+BX149-CG148,IF(A149&lt;'Données projet'!$A$114,$BV$205^A149,IF(A149='Données projet'!$A$114,'Données projet'!$B$114,BY148+BX149-CG148)))</f>
        <v>321.00000000000006</v>
      </c>
      <c r="BZ149" s="13">
        <f>BY149*VLOOKUP('Données projet'!$B$12,Paramètres!$A$1:$I$89,3,0)*VLOOKUP('Données projet'!$B$12,Paramètres!$A$1:$I$89,5,0)</f>
        <v>335.50920000000008</v>
      </c>
      <c r="CA149" s="13">
        <f t="shared" si="147"/>
        <v>78.571401939480225</v>
      </c>
      <c r="CB149" s="20">
        <f t="shared" si="118"/>
        <v>721.19038171126158</v>
      </c>
      <c r="CC149" s="59">
        <f t="shared" si="119"/>
        <v>1014.5237150445948</v>
      </c>
      <c r="CD149" s="59">
        <f ca="1">AVERAGE(OFFSET($CC$3,0,0,'Données projet'!$E$12+1,1))-AVERAGE(OFFSET($H$3,0,0,'Données projet'!$E$12+1,1))</f>
        <v>423.49657671419374</v>
      </c>
      <c r="CE149" s="59">
        <f t="shared" si="148"/>
        <v>329.6783569381081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78.15053823718597</v>
      </c>
      <c r="CL149" s="21">
        <f>EXP(-LN(2)/25)*CL148+(1-EXP(-LN(2)/25))/(LN(2)/25)*Calculateur!CG149*Calculateur!CI149*VLOOKUP('Données projet'!$B$12,Paramètres!$A$1:$I$89,3,0)*0.475*44/12</f>
        <v>0</v>
      </c>
      <c r="CM149" s="21">
        <f>EXP(-LN(2)/2)*CM148+(1-EXP(-LN(2)/2))/(LN(2)/2)*CG149*CJ149*VLOOKUP('Données projet'!$B$12,Paramètres!$A$1:$I$89,3,0)*0.475*44/12</f>
        <v>0</v>
      </c>
      <c r="CN149" s="22">
        <f t="shared" si="120"/>
        <v>78.15053823718597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3.5</v>
      </c>
      <c r="CT149" s="12">
        <f>IF('Données projet'!$A$140&gt;35,CT148+CS149-DB148,IF(A149&lt;'Données projet'!$A$140,$CQ$205^A149,IF(A149='Données projet'!$A$140,'Données projet'!$B$140,CT148+CS149-DB148)))</f>
        <v>321.00000000000006</v>
      </c>
      <c r="CU149" s="17">
        <f>CT149*VLOOKUP('Données projet'!$B$13,Paramètres!$A$1:$I$89,3,0)*VLOOKUP('Données projet'!$B$13,Paramètres!$A$1:$I$89,5,0)</f>
        <v>325.49400000000009</v>
      </c>
      <c r="CV149" s="13">
        <f t="shared" si="149"/>
        <v>76.495352197992943</v>
      </c>
      <c r="CW149" s="20">
        <f t="shared" si="121"/>
        <v>700.13145507817114</v>
      </c>
      <c r="CX149" s="59">
        <f t="shared" si="122"/>
        <v>993.46478841150451</v>
      </c>
      <c r="CY149" s="59">
        <f ca="1">AVERAGE(OFFSET($CX$3,0,0,'Données projet'!$E$13+1,1))-AVERAGE(OFFSET($H$3,0,0,'Données projet'!$E$13+1,1))</f>
        <v>407.76560346703042</v>
      </c>
      <c r="CZ149" s="59">
        <f t="shared" si="150"/>
        <v>319.35531375725202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75.817686349508747</v>
      </c>
      <c r="DG149" s="21">
        <f>EXP(-LN(2)/25)*DG148+(1-EXP(-LN(2)/25))/(LN(2)/25)*Calculateur!DB149*Calculateur!DD149*VLOOKUP('Données projet'!$B$13,Paramètres!$A$1:$I$89,3,0)*0.475*44/12</f>
        <v>0</v>
      </c>
      <c r="DH149" s="21">
        <f>EXP(-LN(2)/2)*DH148+(1-EXP(-LN(2)/2))/(LN(2)/2)*DB149*DE149*VLOOKUP('Données projet'!$B$13,Paramètres!$A$1:$I$89,3,0)*0.475*44/12</f>
        <v>0</v>
      </c>
      <c r="DI149" s="22">
        <f t="shared" si="123"/>
        <v>75.817686349508747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2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130.7124000000002</v>
      </c>
      <c r="D150" s="11">
        <f t="shared" si="140"/>
        <v>34.160921660966174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1272.7063426460566</v>
      </c>
      <c r="H150" s="67">
        <f t="shared" si="110"/>
        <v>543.82103522618308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0</v>
      </c>
      <c r="O150" s="13">
        <f>N150*VLOOKUP('Données projet'!$B$9,Paramètres!$A$1:$I$89,3,0)*VLOOKUP('Données projet'!$B$9,Paramètres!$A$1:$I$89,5,0)</f>
        <v>0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101.15586831191774</v>
      </c>
      <c r="T150" s="59">
        <f t="shared" si="142"/>
        <v>346.96347336689064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4.0163274689852306</v>
      </c>
      <c r="AA150" s="21">
        <f>EXP(-LN(2)/25)*AA149+(1-EXP(-LN(2)/25))/(LN(2)/25)*Calculateur!V150*Calculateur!X150*VLOOKUP('Données projet'!$B$9,Paramètres!$A$1:$I$89,3,0)*0.475*44/12</f>
        <v>0.64332876747968981</v>
      </c>
      <c r="AB150" s="21">
        <f>EXP(-LN(2)/2)*AB149+(1-EXP(-LN(2)/2))/(LN(2)/2)*V150*Y150*VLOOKUP('Données projet'!$B$9,Paramètres!$A$1:$I$89,3,0)*0.475*44/12</f>
        <v>0</v>
      </c>
      <c r="AC150" s="22">
        <f t="shared" si="111"/>
        <v>4.6596562364649206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0</v>
      </c>
      <c r="AJ150" s="13">
        <f>AI150*VLOOKUP('Données projet'!$B$10,Paramètres!$A$1:$I$89,3,0)*VLOOKUP('Données projet'!$B$10,Paramètres!$A$1:$I$89,5,0)</f>
        <v>0</v>
      </c>
      <c r="AK150" s="13" t="e">
        <f t="shared" si="143"/>
        <v>#NUM!</v>
      </c>
      <c r="AL150" s="20" t="e">
        <f t="shared" si="112"/>
        <v>#NUM!</v>
      </c>
      <c r="AM150" s="59" t="e">
        <f t="shared" si="113"/>
        <v>#NUM!</v>
      </c>
      <c r="AN150" s="59">
        <f ca="1">AVERAGE(OFFSET($AM$3,0,0,'Données projet'!$E$10+1,1))-AVERAGE(OFFSET($H$3,0,0,'Données projet'!$E$10+1,1))</f>
        <v>101.15586831191774</v>
      </c>
      <c r="AO150" s="59">
        <f t="shared" si="144"/>
        <v>346.96347336689064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4.0163274689852306</v>
      </c>
      <c r="AV150" s="21">
        <f>EXP(-LN(2)/25)*AV149+(1-EXP(-LN(2)/25))/(LN(2)/25)*Calculateur!AQ150*Calculateur!AS150*VLOOKUP('Données projet'!$B$10,Paramètres!$A$1:$I$89,3,0)*0.475*44/12</f>
        <v>0.64332876747968981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4.6596562364649206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3.5</v>
      </c>
      <c r="BD150" s="12">
        <f>IF('Données projet'!$A$88&gt;35,BD149+BC150-BL149,IF(A150&lt;'Données projet'!$A$88,$BA$205^A150,IF(A150='Données projet'!$A$88,'Données projet'!$B$88,BD149+BC150-BL149)))</f>
        <v>324.50000000000006</v>
      </c>
      <c r="BE150" s="13">
        <f>BD150*VLOOKUP('Données projet'!$B$11,Paramètres!$A$1:$I$89,3,0)*VLOOKUP('Données projet'!$B$11,Paramètres!$A$1:$I$89,5,0)</f>
        <v>293.60760000000005</v>
      </c>
      <c r="BF150" s="13">
        <f t="shared" si="145"/>
        <v>69.834695689453682</v>
      </c>
      <c r="BG150" s="20">
        <f t="shared" si="115"/>
        <v>632.99533165913192</v>
      </c>
      <c r="BH150" s="59">
        <f t="shared" si="116"/>
        <v>926.32866499246529</v>
      </c>
      <c r="BI150" s="59">
        <f ca="1">AVERAGE(OFFSET($BH$3,0,0,'Données projet'!$E$11+1,1))-AVERAGE(OFFSET($H$3,0,0,'Données projet'!$E$11+1,1))</f>
        <v>352.62747127358324</v>
      </c>
      <c r="BJ150" s="59">
        <f t="shared" si="146"/>
        <v>283.16932763435011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66.326076466710859</v>
      </c>
      <c r="BQ150" s="21">
        <f>EXP(-LN(2)/25)*BQ149+(1-EXP(-LN(2)/25))/(LN(2)/25)*Calculateur!BL150*Calculateur!BN150*VLOOKUP('Données projet'!$B$11,Paramètres!$A$1:$I$89,3,0)*0.475*44/12</f>
        <v>0</v>
      </c>
      <c r="BR150" s="21">
        <f>EXP(-LN(2)/2)*BR149+(1-EXP(-LN(2)/2))/(LN(2)/2)*BL150*BO150*VLOOKUP('Données projet'!$B$11,Paramètres!$A$1:$I$89,3,0)*0.475*44/12</f>
        <v>0</v>
      </c>
      <c r="BS150" s="22">
        <f t="shared" si="117"/>
        <v>66.326076466710859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3.5</v>
      </c>
      <c r="BY150" s="12">
        <f>IF('Données projet'!$A$114&gt;35,BY149+BX150-CG149,IF(A150&lt;'Données projet'!$A$114,$BV$205^A150,IF(A150='Données projet'!$A$114,'Données projet'!$B$114,BY149+BX150-CG149)))</f>
        <v>324.50000000000006</v>
      </c>
      <c r="BZ150" s="13">
        <f>BY150*VLOOKUP('Données projet'!$B$12,Paramètres!$A$1:$I$89,3,0)*VLOOKUP('Données projet'!$B$12,Paramètres!$A$1:$I$89,5,0)</f>
        <v>339.1674000000001</v>
      </c>
      <c r="CA150" s="13">
        <f t="shared" si="147"/>
        <v>79.327901451329424</v>
      </c>
      <c r="CB150" s="20">
        <f t="shared" si="118"/>
        <v>728.87931669439877</v>
      </c>
      <c r="CC150" s="59">
        <f t="shared" si="119"/>
        <v>1022.212650027732</v>
      </c>
      <c r="CD150" s="59">
        <f ca="1">AVERAGE(OFFSET($CC$3,0,0,'Données projet'!$E$12+1,1))-AVERAGE(OFFSET($H$3,0,0,'Données projet'!$E$12+1,1))</f>
        <v>423.49657671419374</v>
      </c>
      <c r="CE150" s="59">
        <f t="shared" si="148"/>
        <v>329.6783569381081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76.61805384947634</v>
      </c>
      <c r="CL150" s="21">
        <f>EXP(-LN(2)/25)*CL149+(1-EXP(-LN(2)/25))/(LN(2)/25)*Calculateur!CG150*Calculateur!CI150*VLOOKUP('Données projet'!$B$12,Paramètres!$A$1:$I$89,3,0)*0.475*44/12</f>
        <v>0</v>
      </c>
      <c r="CM150" s="21">
        <f>EXP(-LN(2)/2)*CM149+(1-EXP(-LN(2)/2))/(LN(2)/2)*CG150*CJ150*VLOOKUP('Données projet'!$B$12,Paramètres!$A$1:$I$89,3,0)*0.475*44/12</f>
        <v>0</v>
      </c>
      <c r="CN150" s="22">
        <f t="shared" si="120"/>
        <v>76.61805384947634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3.5</v>
      </c>
      <c r="CT150" s="12">
        <f>IF('Données projet'!$A$140&gt;35,CT149+CS150-DB149,IF(A150&lt;'Données projet'!$A$140,$CQ$205^A150,IF(A150='Données projet'!$A$140,'Données projet'!$B$140,CT149+CS150-DB149)))</f>
        <v>324.50000000000006</v>
      </c>
      <c r="CU150" s="17">
        <f>CT150*VLOOKUP('Données projet'!$B$13,Paramètres!$A$1:$I$89,3,0)*VLOOKUP('Données projet'!$B$13,Paramètres!$A$1:$I$89,5,0)</f>
        <v>329.04300000000006</v>
      </c>
      <c r="CV150" s="13">
        <f t="shared" si="149"/>
        <v>77.231863131590501</v>
      </c>
      <c r="CW150" s="20">
        <f t="shared" si="121"/>
        <v>707.59538662085345</v>
      </c>
      <c r="CX150" s="59">
        <f t="shared" si="122"/>
        <v>1000.9287199541868</v>
      </c>
      <c r="CY150" s="59">
        <f ca="1">AVERAGE(OFFSET($CX$3,0,0,'Données projet'!$E$13+1,1))-AVERAGE(OFFSET($H$3,0,0,'Données projet'!$E$13+1,1))</f>
        <v>407.76560346703042</v>
      </c>
      <c r="CZ150" s="59">
        <f t="shared" si="150"/>
        <v>319.35531375725202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74.330947764417317</v>
      </c>
      <c r="DG150" s="21">
        <f>EXP(-LN(2)/25)*DG149+(1-EXP(-LN(2)/25))/(LN(2)/25)*Calculateur!DB150*Calculateur!DD150*VLOOKUP('Données projet'!$B$13,Paramètres!$A$1:$I$89,3,0)*0.475*44/12</f>
        <v>0</v>
      </c>
      <c r="DH150" s="21">
        <f>EXP(-LN(2)/2)*DH149+(1-EXP(-LN(2)/2))/(LN(2)/2)*DB150*DE150*VLOOKUP('Données projet'!$B$13,Paramètres!$A$1:$I$89,3,0)*0.475*44/12</f>
        <v>0</v>
      </c>
      <c r="DI150" s="22">
        <f t="shared" si="123"/>
        <v>74.330947764417317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2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131.60160000000019</v>
      </c>
      <c r="D151" s="11">
        <f t="shared" si="140"/>
        <v>34.366177918726152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1281.1547769164843</v>
      </c>
      <c r="H151" s="67">
        <f t="shared" si="110"/>
        <v>545.72721320844835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0</v>
      </c>
      <c r="O151" s="13">
        <f>N151*VLOOKUP('Données projet'!$B$9,Paramètres!$A$1:$I$89,3,0)*VLOOKUP('Données projet'!$B$9,Paramètres!$A$1:$I$89,5,0)</f>
        <v>0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101.15586831191774</v>
      </c>
      <c r="T151" s="59">
        <f t="shared" si="142"/>
        <v>346.96347336689064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3.9375697370362968</v>
      </c>
      <c r="AA151" s="21">
        <f>EXP(-LN(2)/25)*AA150+(1-EXP(-LN(2)/25))/(LN(2)/25)*Calculateur!V151*Calculateur!X151*VLOOKUP('Données projet'!$B$9,Paramètres!$A$1:$I$89,3,0)*0.475*44/12</f>
        <v>0.62573690850176811</v>
      </c>
      <c r="AB151" s="21">
        <f>EXP(-LN(2)/2)*AB150+(1-EXP(-LN(2)/2))/(LN(2)/2)*V151*Y151*VLOOKUP('Données projet'!$B$9,Paramètres!$A$1:$I$89,3,0)*0.475*44/12</f>
        <v>0</v>
      </c>
      <c r="AC151" s="22">
        <f t="shared" si="111"/>
        <v>4.5633066455380646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0</v>
      </c>
      <c r="AJ151" s="13">
        <f>AI151*VLOOKUP('Données projet'!$B$10,Paramètres!$A$1:$I$89,3,0)*VLOOKUP('Données projet'!$B$10,Paramètres!$A$1:$I$89,5,0)</f>
        <v>0</v>
      </c>
      <c r="AK151" s="13" t="e">
        <f t="shared" si="143"/>
        <v>#NUM!</v>
      </c>
      <c r="AL151" s="20" t="e">
        <f t="shared" si="112"/>
        <v>#NUM!</v>
      </c>
      <c r="AM151" s="59" t="e">
        <f t="shared" si="113"/>
        <v>#NUM!</v>
      </c>
      <c r="AN151" s="59">
        <f ca="1">AVERAGE(OFFSET($AM$3,0,0,'Données projet'!$E$10+1,1))-AVERAGE(OFFSET($H$3,0,0,'Données projet'!$E$10+1,1))</f>
        <v>101.15586831191774</v>
      </c>
      <c r="AO151" s="59">
        <f t="shared" si="144"/>
        <v>346.96347336689064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3.9375697370362968</v>
      </c>
      <c r="AV151" s="21">
        <f>EXP(-LN(2)/25)*AV150+(1-EXP(-LN(2)/25))/(LN(2)/25)*Calculateur!AQ151*Calculateur!AS151*VLOOKUP('Données projet'!$B$10,Paramètres!$A$1:$I$89,3,0)*0.475*44/12</f>
        <v>0.62573690850176811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4.5633066455380646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3.5</v>
      </c>
      <c r="BD151" s="12">
        <f>IF('Données projet'!$A$88&gt;35,BD150+BC151-BL150,IF(A151&lt;'Données projet'!$A$88,$BA$205^A151,IF(A151='Données projet'!$A$88,'Données projet'!$B$88,BD150+BC151-BL150)))</f>
        <v>328.00000000000006</v>
      </c>
      <c r="BE151" s="13">
        <f>BD151*VLOOKUP('Données projet'!$B$11,Paramètres!$A$1:$I$89,3,0)*VLOOKUP('Données projet'!$B$11,Paramètres!$A$1:$I$89,5,0)</f>
        <v>296.77440000000001</v>
      </c>
      <c r="BF151" s="13">
        <f t="shared" si="145"/>
        <v>70.499828966950744</v>
      </c>
      <c r="BG151" s="20">
        <f t="shared" si="115"/>
        <v>639.66928211743925</v>
      </c>
      <c r="BH151" s="59">
        <f t="shared" si="116"/>
        <v>933.00261545077251</v>
      </c>
      <c r="BI151" s="59">
        <f ca="1">AVERAGE(OFFSET($BH$3,0,0,'Données projet'!$E$11+1,1))-AVERAGE(OFFSET($H$3,0,0,'Données projet'!$E$11+1,1))</f>
        <v>352.62747127358324</v>
      </c>
      <c r="BJ151" s="59">
        <f t="shared" si="146"/>
        <v>283.16932763435011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65.025462562110718</v>
      </c>
      <c r="BQ151" s="21">
        <f>EXP(-LN(2)/25)*BQ150+(1-EXP(-LN(2)/25))/(LN(2)/25)*Calculateur!BL151*Calculateur!BN151*VLOOKUP('Données projet'!$B$11,Paramètres!$A$1:$I$89,3,0)*0.475*44/12</f>
        <v>0</v>
      </c>
      <c r="BR151" s="21">
        <f>EXP(-LN(2)/2)*BR150+(1-EXP(-LN(2)/2))/(LN(2)/2)*BL151*BO151*VLOOKUP('Données projet'!$B$11,Paramètres!$A$1:$I$89,3,0)*0.475*44/12</f>
        <v>0</v>
      </c>
      <c r="BS151" s="22">
        <f t="shared" si="117"/>
        <v>65.025462562110718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3.5</v>
      </c>
      <c r="BY151" s="12">
        <f>IF('Données projet'!$A$114&gt;35,BY150+BX151-CG150,IF(A151&lt;'Données projet'!$A$114,$BV$205^A151,IF(A151='Données projet'!$A$114,'Données projet'!$B$114,BY150+BX151-CG150)))</f>
        <v>328.00000000000006</v>
      </c>
      <c r="BZ151" s="13">
        <f>BY151*VLOOKUP('Données projet'!$B$12,Paramètres!$A$1:$I$89,3,0)*VLOOKUP('Données projet'!$B$12,Paramètres!$A$1:$I$89,5,0)</f>
        <v>342.82560000000007</v>
      </c>
      <c r="CA151" s="13">
        <f t="shared" si="147"/>
        <v>80.083451777258034</v>
      </c>
      <c r="CB151" s="20">
        <f t="shared" si="118"/>
        <v>736.56659851205779</v>
      </c>
      <c r="CC151" s="59">
        <f t="shared" si="119"/>
        <v>1029.8999318453912</v>
      </c>
      <c r="CD151" s="59">
        <f ca="1">AVERAGE(OFFSET($CC$3,0,0,'Données projet'!$E$12+1,1))-AVERAGE(OFFSET($H$3,0,0,'Données projet'!$E$12+1,1))</f>
        <v>423.49657671419374</v>
      </c>
      <c r="CE151" s="59">
        <f t="shared" si="148"/>
        <v>329.6783569381081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75.115620545886514</v>
      </c>
      <c r="CL151" s="21">
        <f>EXP(-LN(2)/25)*CL150+(1-EXP(-LN(2)/25))/(LN(2)/25)*Calculateur!CG151*Calculateur!CI151*VLOOKUP('Données projet'!$B$12,Paramètres!$A$1:$I$89,3,0)*0.475*44/12</f>
        <v>0</v>
      </c>
      <c r="CM151" s="21">
        <f>EXP(-LN(2)/2)*CM150+(1-EXP(-LN(2)/2))/(LN(2)/2)*CG151*CJ151*VLOOKUP('Données projet'!$B$12,Paramètres!$A$1:$I$89,3,0)*0.475*44/12</f>
        <v>0</v>
      </c>
      <c r="CN151" s="22">
        <f t="shared" si="120"/>
        <v>75.115620545886514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3.5</v>
      </c>
      <c r="CT151" s="12">
        <f>IF('Données projet'!$A$140&gt;35,CT150+CS151-DB150,IF(A151&lt;'Données projet'!$A$140,$CQ$205^A151,IF(A151='Données projet'!$A$140,'Données projet'!$B$140,CT150+CS151-DB150)))</f>
        <v>328.00000000000006</v>
      </c>
      <c r="CU151" s="17">
        <f>CT151*VLOOKUP('Données projet'!$B$13,Paramètres!$A$1:$I$89,3,0)*VLOOKUP('Données projet'!$B$13,Paramètres!$A$1:$I$89,5,0)</f>
        <v>332.5920000000001</v>
      </c>
      <c r="CV151" s="13">
        <f t="shared" si="149"/>
        <v>77.967449959094594</v>
      </c>
      <c r="CW151" s="20">
        <f t="shared" si="121"/>
        <v>715.05770867875663</v>
      </c>
      <c r="CX151" s="59">
        <f t="shared" si="122"/>
        <v>1008.3910420120899</v>
      </c>
      <c r="CY151" s="59">
        <f ca="1">AVERAGE(OFFSET($CX$3,0,0,'Données projet'!$E$13+1,1))-AVERAGE(OFFSET($H$3,0,0,'Données projet'!$E$13+1,1))</f>
        <v>407.76560346703042</v>
      </c>
      <c r="CZ151" s="59">
        <f t="shared" si="150"/>
        <v>319.35531375725202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72.873363216158538</v>
      </c>
      <c r="DG151" s="21">
        <f>EXP(-LN(2)/25)*DG150+(1-EXP(-LN(2)/25))/(LN(2)/25)*Calculateur!DB151*Calculateur!DD151*VLOOKUP('Données projet'!$B$13,Paramètres!$A$1:$I$89,3,0)*0.475*44/12</f>
        <v>0</v>
      </c>
      <c r="DH151" s="21">
        <f>EXP(-LN(2)/2)*DH150+(1-EXP(-LN(2)/2))/(LN(2)/2)*DB151*DE151*VLOOKUP('Données projet'!$B$13,Paramètres!$A$1:$I$89,3,0)*0.475*44/12</f>
        <v>0</v>
      </c>
      <c r="DI151" s="22">
        <f t="shared" si="123"/>
        <v>72.873363216158538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2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132.49080000000018</v>
      </c>
      <c r="D152" s="11">
        <f t="shared" si="140"/>
        <v>34.571272807379401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1289.6019655306493</v>
      </c>
      <c r="H152" s="67">
        <f t="shared" si="110"/>
        <v>547.63311013951943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0</v>
      </c>
      <c r="O152" s="13">
        <f>N152*VLOOKUP('Données projet'!$B$9,Paramètres!$A$1:$I$89,3,0)*VLOOKUP('Données projet'!$B$9,Paramètres!$A$1:$I$89,5,0)</f>
        <v>0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101.15586831191774</v>
      </c>
      <c r="T152" s="59">
        <f t="shared" si="142"/>
        <v>346.96347336689064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3.8603563961734082</v>
      </c>
      <c r="AA152" s="21">
        <f>EXP(-LN(2)/25)*AA151+(1-EXP(-LN(2)/25))/(LN(2)/25)*Calculateur!V152*Calculateur!X152*VLOOKUP('Données projet'!$B$9,Paramètres!$A$1:$I$89,3,0)*0.475*44/12</f>
        <v>0.60862609983271343</v>
      </c>
      <c r="AB152" s="21">
        <f>EXP(-LN(2)/2)*AB151+(1-EXP(-LN(2)/2))/(LN(2)/2)*V152*Y152*VLOOKUP('Données projet'!$B$9,Paramètres!$A$1:$I$89,3,0)*0.475*44/12</f>
        <v>0</v>
      </c>
      <c r="AC152" s="22">
        <f t="shared" si="111"/>
        <v>4.468982496006122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0</v>
      </c>
      <c r="AJ152" s="13">
        <f>AI152*VLOOKUP('Données projet'!$B$10,Paramètres!$A$1:$I$89,3,0)*VLOOKUP('Données projet'!$B$10,Paramètres!$A$1:$I$89,5,0)</f>
        <v>0</v>
      </c>
      <c r="AK152" s="13" t="e">
        <f t="shared" si="143"/>
        <v>#NUM!</v>
      </c>
      <c r="AL152" s="20" t="e">
        <f t="shared" si="112"/>
        <v>#NUM!</v>
      </c>
      <c r="AM152" s="59" t="e">
        <f t="shared" si="113"/>
        <v>#NUM!</v>
      </c>
      <c r="AN152" s="59">
        <f ca="1">AVERAGE(OFFSET($AM$3,0,0,'Données projet'!$E$10+1,1))-AVERAGE(OFFSET($H$3,0,0,'Données projet'!$E$10+1,1))</f>
        <v>101.15586831191774</v>
      </c>
      <c r="AO152" s="59">
        <f t="shared" si="144"/>
        <v>346.96347336689064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3.8603563961734082</v>
      </c>
      <c r="AV152" s="21">
        <f>EXP(-LN(2)/25)*AV151+(1-EXP(-LN(2)/25))/(LN(2)/25)*Calculateur!AQ152*Calculateur!AS152*VLOOKUP('Données projet'!$B$10,Paramètres!$A$1:$I$89,3,0)*0.475*44/12</f>
        <v>0.60862609983271343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4.468982496006122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3.5</v>
      </c>
      <c r="BD152" s="12">
        <f>IF('Données projet'!$A$88&gt;35,BD151+BC152-BL151,IF(A152&lt;'Données projet'!$A$88,$BA$205^A152,IF(A152='Données projet'!$A$88,'Données projet'!$B$88,BD151+BC152-BL151)))</f>
        <v>331.50000000000006</v>
      </c>
      <c r="BE152" s="13">
        <f>BD152*VLOOKUP('Données projet'!$B$11,Paramètres!$A$1:$I$89,3,0)*VLOOKUP('Données projet'!$B$11,Paramètres!$A$1:$I$89,5,0)</f>
        <v>299.94120000000004</v>
      </c>
      <c r="BF152" s="13">
        <f t="shared" si="145"/>
        <v>71.164136596531506</v>
      </c>
      <c r="BG152" s="20">
        <f t="shared" si="115"/>
        <v>646.34179457229243</v>
      </c>
      <c r="BH152" s="59">
        <f t="shared" si="116"/>
        <v>939.67512790562569</v>
      </c>
      <c r="BI152" s="59">
        <f ca="1">AVERAGE(OFFSET($BH$3,0,0,'Données projet'!$E$11+1,1))-AVERAGE(OFFSET($H$3,0,0,'Données projet'!$E$11+1,1))</f>
        <v>352.62747127358324</v>
      </c>
      <c r="BJ152" s="59">
        <f t="shared" si="146"/>
        <v>283.16932763435011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63.750352902883634</v>
      </c>
      <c r="BQ152" s="21">
        <f>EXP(-LN(2)/25)*BQ151+(1-EXP(-LN(2)/25))/(LN(2)/25)*Calculateur!BL152*Calculateur!BN152*VLOOKUP('Données projet'!$B$11,Paramètres!$A$1:$I$89,3,0)*0.475*44/12</f>
        <v>0</v>
      </c>
      <c r="BR152" s="21">
        <f>EXP(-LN(2)/2)*BR151+(1-EXP(-LN(2)/2))/(LN(2)/2)*BL152*BO152*VLOOKUP('Données projet'!$B$11,Paramètres!$A$1:$I$89,3,0)*0.475*44/12</f>
        <v>0</v>
      </c>
      <c r="BS152" s="22">
        <f t="shared" si="117"/>
        <v>63.750352902883634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3.5</v>
      </c>
      <c r="BY152" s="12">
        <f>IF('Données projet'!$A$114&gt;35,BY151+BX152-CG151,IF(A152&lt;'Données projet'!$A$114,$BV$205^A152,IF(A152='Données projet'!$A$114,'Données projet'!$B$114,BY151+BX152-CG151)))</f>
        <v>331.50000000000006</v>
      </c>
      <c r="BZ152" s="13">
        <f>BY152*VLOOKUP('Données projet'!$B$12,Paramètres!$A$1:$I$89,3,0)*VLOOKUP('Données projet'!$B$12,Paramètres!$A$1:$I$89,5,0)</f>
        <v>346.48380000000009</v>
      </c>
      <c r="CA152" s="13">
        <f t="shared" si="147"/>
        <v>80.838064218144112</v>
      </c>
      <c r="CB152" s="20">
        <f t="shared" si="118"/>
        <v>744.252246846601</v>
      </c>
      <c r="CC152" s="59">
        <f t="shared" si="119"/>
        <v>1037.5855801799344</v>
      </c>
      <c r="CD152" s="59">
        <f ca="1">AVERAGE(OFFSET($CC$3,0,0,'Données projet'!$E$12+1,1))-AVERAGE(OFFSET($H$3,0,0,'Données projet'!$E$12+1,1))</f>
        <v>423.49657671419374</v>
      </c>
      <c r="CE152" s="59">
        <f t="shared" si="148"/>
        <v>329.6783569381081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73.642649042986264</v>
      </c>
      <c r="CL152" s="21">
        <f>EXP(-LN(2)/25)*CL151+(1-EXP(-LN(2)/25))/(LN(2)/25)*Calculateur!CG152*Calculateur!CI152*VLOOKUP('Données projet'!$B$12,Paramètres!$A$1:$I$89,3,0)*0.475*44/12</f>
        <v>0</v>
      </c>
      <c r="CM152" s="21">
        <f>EXP(-LN(2)/2)*CM151+(1-EXP(-LN(2)/2))/(LN(2)/2)*CG152*CJ152*VLOOKUP('Données projet'!$B$12,Paramètres!$A$1:$I$89,3,0)*0.475*44/12</f>
        <v>0</v>
      </c>
      <c r="CN152" s="22">
        <f t="shared" si="120"/>
        <v>73.642649042986264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3.5</v>
      </c>
      <c r="CT152" s="12">
        <f>IF('Données projet'!$A$140&gt;35,CT151+CS152-DB151,IF(A152&lt;'Données projet'!$A$140,$CQ$205^A152,IF(A152='Données projet'!$A$140,'Données projet'!$B$140,CT151+CS152-DB151)))</f>
        <v>331.50000000000006</v>
      </c>
      <c r="CU152" s="17">
        <f>CT152*VLOOKUP('Données projet'!$B$13,Paramètres!$A$1:$I$89,3,0)*VLOOKUP('Données projet'!$B$13,Paramètres!$A$1:$I$89,5,0)</f>
        <v>336.14100000000008</v>
      </c>
      <c r="CV152" s="13">
        <f t="shared" si="149"/>
        <v>78.70212368278645</v>
      </c>
      <c r="CW152" s="20">
        <f t="shared" si="121"/>
        <v>722.51844041418656</v>
      </c>
      <c r="CX152" s="59">
        <f t="shared" si="122"/>
        <v>1015.8517737475199</v>
      </c>
      <c r="CY152" s="59">
        <f ca="1">AVERAGE(OFFSET($CX$3,0,0,'Données projet'!$E$13+1,1))-AVERAGE(OFFSET($H$3,0,0,'Données projet'!$E$13+1,1))</f>
        <v>407.76560346703042</v>
      </c>
      <c r="CZ152" s="59">
        <f t="shared" si="150"/>
        <v>319.35531375725202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71.444361011852322</v>
      </c>
      <c r="DG152" s="21">
        <f>EXP(-LN(2)/25)*DG151+(1-EXP(-LN(2)/25))/(LN(2)/25)*Calculateur!DB152*Calculateur!DD152*VLOOKUP('Données projet'!$B$13,Paramètres!$A$1:$I$89,3,0)*0.475*44/12</f>
        <v>0</v>
      </c>
      <c r="DH152" s="21">
        <f>EXP(-LN(2)/2)*DH151+(1-EXP(-LN(2)/2))/(LN(2)/2)*DB152*DE152*VLOOKUP('Données projet'!$B$13,Paramètres!$A$1:$I$89,3,0)*0.475*44/12</f>
        <v>0</v>
      </c>
      <c r="DI152" s="22">
        <f t="shared" si="123"/>
        <v>71.444361011852322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2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133.38000000000017</v>
      </c>
      <c r="D153" s="11">
        <f t="shared" si="140"/>
        <v>34.776207535549027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1298.0479178182745</v>
      </c>
      <c r="H153" s="67">
        <f t="shared" si="110"/>
        <v>549.53872812441477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0</v>
      </c>
      <c r="O153" s="13">
        <f>N153*VLOOKUP('Données projet'!$B$9,Paramètres!$A$1:$I$89,3,0)*VLOOKUP('Données projet'!$B$9,Paramètres!$A$1:$I$89,5,0)</f>
        <v>0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101.15586831191774</v>
      </c>
      <c r="T153" s="59">
        <f t="shared" si="142"/>
        <v>346.96347336689064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3.7846571618293532</v>
      </c>
      <c r="AA153" s="21">
        <f>EXP(-LN(2)/25)*AA152+(1-EXP(-LN(2)/25))/(LN(2)/25)*Calculateur!V153*Calculateur!X153*VLOOKUP('Données projet'!$B$9,Paramètres!$A$1:$I$89,3,0)*0.475*44/12</f>
        <v>0.59198318712653231</v>
      </c>
      <c r="AB153" s="21">
        <f>EXP(-LN(2)/2)*AB152+(1-EXP(-LN(2)/2))/(LN(2)/2)*V153*Y153*VLOOKUP('Données projet'!$B$9,Paramètres!$A$1:$I$89,3,0)*0.475*44/12</f>
        <v>0</v>
      </c>
      <c r="AC153" s="22">
        <f t="shared" si="111"/>
        <v>4.3766403489558856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0</v>
      </c>
      <c r="AJ153" s="13">
        <f>AI153*VLOOKUP('Données projet'!$B$10,Paramètres!$A$1:$I$89,3,0)*VLOOKUP('Données projet'!$B$10,Paramètres!$A$1:$I$89,5,0)</f>
        <v>0</v>
      </c>
      <c r="AK153" s="13" t="e">
        <f t="shared" si="143"/>
        <v>#NUM!</v>
      </c>
      <c r="AL153" s="20" t="e">
        <f t="shared" si="112"/>
        <v>#NUM!</v>
      </c>
      <c r="AM153" s="59" t="e">
        <f t="shared" si="113"/>
        <v>#NUM!</v>
      </c>
      <c r="AN153" s="59">
        <f ca="1">AVERAGE(OFFSET($AM$3,0,0,'Données projet'!$E$10+1,1))-AVERAGE(OFFSET($H$3,0,0,'Données projet'!$E$10+1,1))</f>
        <v>101.15586831191774</v>
      </c>
      <c r="AO153" s="59">
        <f t="shared" si="144"/>
        <v>346.96347336689064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3.7846571618293532</v>
      </c>
      <c r="AV153" s="21">
        <f>EXP(-LN(2)/25)*AV152+(1-EXP(-LN(2)/25))/(LN(2)/25)*Calculateur!AQ153*Calculateur!AS153*VLOOKUP('Données projet'!$B$10,Paramètres!$A$1:$I$89,3,0)*0.475*44/12</f>
        <v>0.59198318712653231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4.3766403489558856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>
        <f>VLOOKUP(A153,'Données projet'!$A$87:$I$107,2,0)</f>
        <v>335</v>
      </c>
      <c r="BB153" s="12">
        <f>VLOOKUP(A153,'Données projet'!$A$87:$I$107,9,0)</f>
        <v>3.5</v>
      </c>
      <c r="BC153" s="12">
        <f t="array" ref="BC153">INDEX(BB:BB,MIN(IF(ISNUMBER(BB153:BB349),ROW(BB153:BB349),"")))</f>
        <v>3.5</v>
      </c>
      <c r="BD153" s="12">
        <f>IF('Données projet'!$A$88&gt;35,BD152+BC153-BL152,IF(A153&lt;'Données projet'!$A$88,$BA$205^A153,IF(A153='Données projet'!$A$88,'Données projet'!$B$88,BD152+BC153-BL152)))</f>
        <v>335.00000000000006</v>
      </c>
      <c r="BE153" s="13">
        <f>BD153*VLOOKUP('Données projet'!$B$11,Paramètres!$A$1:$I$89,3,0)*VLOOKUP('Données projet'!$B$11,Paramètres!$A$1:$I$89,5,0)</f>
        <v>303.108</v>
      </c>
      <c r="BF153" s="13">
        <f t="shared" si="145"/>
        <v>71.827628304517233</v>
      </c>
      <c r="BG153" s="20">
        <f t="shared" si="115"/>
        <v>653.0128859637008</v>
      </c>
      <c r="BH153" s="59">
        <f t="shared" si="116"/>
        <v>946.34621929703417</v>
      </c>
      <c r="BI153" s="59">
        <f ca="1">AVERAGE(OFFSET($BH$3,0,0,'Données projet'!$E$11+1,1))-AVERAGE(OFFSET($H$3,0,0,'Données projet'!$E$11+1,1))</f>
        <v>352.62747127358324</v>
      </c>
      <c r="BJ153" s="59">
        <f t="shared" si="146"/>
        <v>283.16932763435011</v>
      </c>
      <c r="BK153" s="15">
        <f>IF(ISNA(VLOOKUP(A153,'Données projet'!$A$87:$I$107,3,0)),0,VLOOKUP(A153,'Données projet'!$A$87:$I$107,3,0))</f>
        <v>27</v>
      </c>
      <c r="BL153" s="15">
        <f>IF(ISNA(VLOOKUP(A153,'Données projet'!$A$87:$I$107,4,0)),0,VLOOKUP(A153,'Données projet'!$A$87:$I$107,4,0))</f>
        <v>335</v>
      </c>
      <c r="BM153" s="16">
        <f>IF(ISNA(VLOOKUP(A153,'Données projet'!$A$87:$I$107,5,0)),0%,VLOOKUP(A153,'Données projet'!$A$87:$I$107,5,0)*VLOOKUP('Données projet'!$B$11,Paramètres!$A$1:$I$89,7,0))</f>
        <v>0.38700000000000001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192.1750137807301</v>
      </c>
      <c r="BQ153" s="21">
        <f>EXP(-LN(2)/25)*BQ152+(1-EXP(-LN(2)/25))/(LN(2)/25)*Calculateur!BL153*Calculateur!BN153*VLOOKUP('Données projet'!$B$11,Paramètres!$A$1:$I$89,3,0)*0.475*44/12</f>
        <v>0</v>
      </c>
      <c r="BR153" s="21">
        <f>EXP(-LN(2)/2)*BR152+(1-EXP(-LN(2)/2))/(LN(2)/2)*BL153*BO153*VLOOKUP('Données projet'!$B$11,Paramètres!$A$1:$I$89,3,0)*0.475*44/12</f>
        <v>0</v>
      </c>
      <c r="BS153" s="22">
        <f t="shared" si="117"/>
        <v>192.1750137807301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>
        <f>VLOOKUP(A153,'Données projet'!$A$113:$I$133,2,0)</f>
        <v>335</v>
      </c>
      <c r="BW153" s="12">
        <f>VLOOKUP(A153,'Données projet'!$A$113:$I$133,9,0)</f>
        <v>3.5</v>
      </c>
      <c r="BX153" s="12">
        <f t="array" ref="BX153">INDEX(BW:BW,MIN(IF(ISNUMBER(BW153:BW349),ROW(BW153:BW349),"")))</f>
        <v>3.5</v>
      </c>
      <c r="BY153" s="12">
        <f>IF('Données projet'!$A$114&gt;35,BY152+BX153-CG152,IF(A153&lt;'Données projet'!$A$114,$BV$205^A153,IF(A153='Données projet'!$A$114,'Données projet'!$B$114,BY152+BX153-CG152)))</f>
        <v>335.00000000000006</v>
      </c>
      <c r="BZ153" s="13">
        <f>BY153*VLOOKUP('Données projet'!$B$12,Paramètres!$A$1:$I$89,3,0)*VLOOKUP('Données projet'!$B$12,Paramètres!$A$1:$I$89,5,0)</f>
        <v>350.14200000000011</v>
      </c>
      <c r="CA153" s="13">
        <f t="shared" si="147"/>
        <v>81.591749822487756</v>
      </c>
      <c r="CB153" s="20">
        <f t="shared" si="118"/>
        <v>751.93628094083306</v>
      </c>
      <c r="CC153" s="59">
        <f t="shared" si="119"/>
        <v>1045.2696142741663</v>
      </c>
      <c r="CD153" s="59">
        <f ca="1">AVERAGE(OFFSET($CC$3,0,0,'Données projet'!$E$12+1,1))-AVERAGE(OFFSET($H$3,0,0,'Données projet'!$E$12+1,1))</f>
        <v>423.49657671419374</v>
      </c>
      <c r="CE153" s="59">
        <f t="shared" si="148"/>
        <v>329.6783569381081</v>
      </c>
      <c r="CF153" s="15">
        <f>IF(ISNA(VLOOKUP(A153,'Données projet'!$A$113:$I$133,3,0)),0,VLOOKUP(A153,'Données projet'!$A$113:$I$133,3,0))</f>
        <v>27</v>
      </c>
      <c r="CG153" s="15">
        <f>IF(ISNA(VLOOKUP(A153,'Données projet'!$A$113:$I$133,4,0)),0,VLOOKUP(A153,'Données projet'!$A$113:$I$133,4,0))</f>
        <v>335</v>
      </c>
      <c r="CH153" s="16">
        <f>IF(ISNA(VLOOKUP(A153,'Données projet'!$A$113:$I$133,5,0)),0%,VLOOKUP(A153,'Données projet'!$A$113:$I$133,5,0)*VLOOKUP('Données projet'!$B$12,Paramètres!$A$1:$I$89,7,0))</f>
        <v>0.38700000000000001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221.99527453980892</v>
      </c>
      <c r="CL153" s="21">
        <f>EXP(-LN(2)/25)*CL152+(1-EXP(-LN(2)/25))/(LN(2)/25)*Calculateur!CG153*Calculateur!CI153*VLOOKUP('Données projet'!$B$12,Paramètres!$A$1:$I$89,3,0)*0.475*44/12</f>
        <v>0</v>
      </c>
      <c r="CM153" s="21">
        <f>EXP(-LN(2)/2)*CM152+(1-EXP(-LN(2)/2))/(LN(2)/2)*CG153*CJ153*VLOOKUP('Données projet'!$B$12,Paramètres!$A$1:$I$89,3,0)*0.475*44/12</f>
        <v>0</v>
      </c>
      <c r="CN153" s="22">
        <f t="shared" si="120"/>
        <v>221.99527453980892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>
        <f>VLOOKUP(A153,'Données projet'!$A$139:$I$159,2,0)</f>
        <v>335</v>
      </c>
      <c r="CR153" s="12">
        <f>VLOOKUP(A153,'Données projet'!$A$139:$I$159,9,0)</f>
        <v>3.5</v>
      </c>
      <c r="CS153" s="12">
        <f t="array" ref="CS153">INDEX(CR:CR,MIN(IF(ISNUMBER(CR153:CR349),ROW(CR153:CR349),"")))</f>
        <v>3.5</v>
      </c>
      <c r="CT153" s="12">
        <f>IF('Données projet'!$A$140&gt;35,CT152+CS153-DB152,IF(A153&lt;'Données projet'!$A$140,$CQ$205^A153,IF(A153='Données projet'!$A$140,'Données projet'!$B$140,CT152+CS153-DB152)))</f>
        <v>335.00000000000006</v>
      </c>
      <c r="CU153" s="17">
        <f>CT153*VLOOKUP('Données projet'!$B$13,Paramètres!$A$1:$I$89,3,0)*VLOOKUP('Données projet'!$B$13,Paramètres!$A$1:$I$89,5,0)</f>
        <v>339.69000000000011</v>
      </c>
      <c r="CV153" s="13">
        <f t="shared" si="149"/>
        <v>79.435895059237609</v>
      </c>
      <c r="CW153" s="20">
        <f t="shared" si="121"/>
        <v>729.97760056150571</v>
      </c>
      <c r="CX153" s="59">
        <f t="shared" si="122"/>
        <v>1023.3109338948391</v>
      </c>
      <c r="CY153" s="59">
        <f ca="1">AVERAGE(OFFSET($CX$3,0,0,'Données projet'!$E$13+1,1))-AVERAGE(OFFSET($H$3,0,0,'Données projet'!$E$13+1,1))</f>
        <v>407.76560346703042</v>
      </c>
      <c r="CZ153" s="59">
        <f t="shared" si="150"/>
        <v>319.35531375725202</v>
      </c>
      <c r="DA153" s="15">
        <f>IF(ISNA(VLOOKUP(A153,'Données projet'!$A$139:$I$159,3,0)),0,VLOOKUP(A153,'Données projet'!$A$139:$I$159,3,0))</f>
        <v>27</v>
      </c>
      <c r="DB153" s="15">
        <f>IF(ISNA(VLOOKUP(A153,'Données projet'!$A$139:$I$159,4,0)),0,VLOOKUP(A153,'Données projet'!$A$139:$I$159,4,0))</f>
        <v>335</v>
      </c>
      <c r="DC153" s="16">
        <f>IF(ISNA(VLOOKUP(A153,'Données projet'!$A$139:$I$159,5,0)),0%,VLOOKUP(A153,'Données projet'!$A$139:$I$159,5,0)*VLOOKUP('Données projet'!$B$13,Paramètres!$A$1:$I$89,7,0))</f>
        <v>0.38700000000000001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projet'!$B$13,Paramètres!$A$1:$I$89,3,0)*0.475*44/12</f>
        <v>215.36854992668026</v>
      </c>
      <c r="DG153" s="21">
        <f>EXP(-LN(2)/25)*DG152+(1-EXP(-LN(2)/25))/(LN(2)/25)*Calculateur!DB153*Calculateur!DD153*VLOOKUP('Données projet'!$B$13,Paramètres!$A$1:$I$89,3,0)*0.475*44/12</f>
        <v>0</v>
      </c>
      <c r="DH153" s="21">
        <f>EXP(-LN(2)/2)*DH152+(1-EXP(-LN(2)/2))/(LN(2)/2)*DB153*DE153*VLOOKUP('Données projet'!$B$13,Paramètres!$A$1:$I$89,3,0)*0.475*44/12</f>
        <v>0</v>
      </c>
      <c r="DI153" s="22">
        <f t="shared" si="123"/>
        <v>215.36854992668026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2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134.26920000000015</v>
      </c>
      <c r="D154" s="11">
        <f t="shared" si="140"/>
        <v>34.980983294811438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1306.492642977493</v>
      </c>
      <c r="H154" s="67">
        <f t="shared" si="110"/>
        <v>551.4440692384635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0</v>
      </c>
      <c r="O154" s="13">
        <f>N154*VLOOKUP('Données projet'!$B$9,Paramètres!$A$1:$I$89,3,0)*VLOOKUP('Données projet'!$B$9,Paramètres!$A$1:$I$89,5,0)</f>
        <v>0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101.15586831191774</v>
      </c>
      <c r="T154" s="59">
        <f t="shared" si="142"/>
        <v>346.96347336689064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3.7104423432988116</v>
      </c>
      <c r="AA154" s="21">
        <f>EXP(-LN(2)/25)*AA153+(1-EXP(-LN(2)/25))/(LN(2)/25)*Calculateur!V154*Calculateur!X154*VLOOKUP('Données projet'!$B$9,Paramètres!$A$1:$I$89,3,0)*0.475*44/12</f>
        <v>0.57579537574351447</v>
      </c>
      <c r="AB154" s="21">
        <f>EXP(-LN(2)/2)*AB153+(1-EXP(-LN(2)/2))/(LN(2)/2)*V154*Y154*VLOOKUP('Données projet'!$B$9,Paramètres!$A$1:$I$89,3,0)*0.475*44/12</f>
        <v>0</v>
      </c>
      <c r="AC154" s="22">
        <f t="shared" ref="AC154:AC203" si="163">SUM(Z154:AB154)</f>
        <v>4.286237719042326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0</v>
      </c>
      <c r="AJ154" s="13">
        <f>AI154*VLOOKUP('Données projet'!$B$10,Paramètres!$A$1:$I$89,3,0)*VLOOKUP('Données projet'!$B$10,Paramètres!$A$1:$I$89,5,0)</f>
        <v>0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101.15586831191774</v>
      </c>
      <c r="AO154" s="59">
        <f t="shared" si="144"/>
        <v>346.96347336689064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3.7104423432988116</v>
      </c>
      <c r="AV154" s="21">
        <f>EXP(-LN(2)/25)*AV153+(1-EXP(-LN(2)/25))/(LN(2)/25)*Calculateur!AQ154*Calculateur!AS154*VLOOKUP('Données projet'!$B$10,Paramètres!$A$1:$I$89,3,0)*0.475*44/12</f>
        <v>0.57579537574351447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4.286237719042326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5.6843418860808015E-14</v>
      </c>
      <c r="BE154" s="13">
        <f>BD154*VLOOKUP('Données projet'!$B$11,Paramètres!$A$1:$I$89,3,0)*VLOOKUP('Données projet'!$B$11,Paramètres!$A$1:$I$89,5,0)</f>
        <v>5.1431925385259088E-14</v>
      </c>
      <c r="BF154" s="13">
        <f t="shared" ref="BF154:BF203" si="167">EXP(-1.0587+0.8836*LN(BE154)+0.284)</f>
        <v>8.3482866290946129E-13</v>
      </c>
      <c r="BG154" s="20">
        <f t="shared" ref="BG154:BG203" si="168">(BE154+BF154)*0.475*44/12</f>
        <v>1.5435705246133045E-12</v>
      </c>
      <c r="BH154" s="59">
        <f t="shared" si="116"/>
        <v>293.33333333333485</v>
      </c>
      <c r="BI154" s="59">
        <f ca="1">AVERAGE(OFFSET($BH$3,0,0,'Données projet'!$E$11+1,1))-AVERAGE(OFFSET($H$3,0,0,'Données projet'!$E$11+1,1))</f>
        <v>352.62747127358324</v>
      </c>
      <c r="BJ154" s="59">
        <f t="shared" si="146"/>
        <v>283.16932763435011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188.40657897567434</v>
      </c>
      <c r="BQ154" s="21">
        <f>EXP(-LN(2)/25)*BQ153+(1-EXP(-LN(2)/25))/(LN(2)/25)*Calculateur!BL154*Calculateur!BN154*VLOOKUP('Données projet'!$B$11,Paramètres!$A$1:$I$89,3,0)*0.475*44/12</f>
        <v>0</v>
      </c>
      <c r="BR154" s="21">
        <f>EXP(-LN(2)/2)*BR153+(1-EXP(-LN(2)/2))/(LN(2)/2)*BL154*BO154*VLOOKUP('Données projet'!$B$11,Paramètres!$A$1:$I$89,3,0)*0.475*44/12</f>
        <v>0</v>
      </c>
      <c r="BS154" s="22">
        <f t="shared" ref="BS154:BS203" si="169">SUM(BP154:BR154)</f>
        <v>188.40657897567434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5.6843418860808015E-14</v>
      </c>
      <c r="BZ154" s="13">
        <f>BY154*VLOOKUP('Données projet'!$B$12,Paramètres!$A$1:$I$89,3,0)*VLOOKUP('Données projet'!$B$12,Paramètres!$A$1:$I$89,5,0)</f>
        <v>5.9412741393316544E-14</v>
      </c>
      <c r="CA154" s="13">
        <f t="shared" ref="CA154:CA203" si="170">EXP(-1.0587+0.8836*LN(BZ154)+0.284)</f>
        <v>9.483138037075784E-13</v>
      </c>
      <c r="CB154" s="20">
        <f t="shared" ref="CB154:CB203" si="171">(BZ154+CA154)*0.475*44/12</f>
        <v>1.7551237327173918E-12</v>
      </c>
      <c r="CC154" s="59">
        <f t="shared" si="119"/>
        <v>293.33333333333508</v>
      </c>
      <c r="CD154" s="59">
        <f ca="1">AVERAGE(OFFSET($CC$3,0,0,'Données projet'!$E$12+1,1))-AVERAGE(OFFSET($H$3,0,0,'Données projet'!$E$12+1,1))</f>
        <v>423.49657671419374</v>
      </c>
      <c r="CE154" s="59">
        <f t="shared" si="148"/>
        <v>329.6783569381081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217.64208260983074</v>
      </c>
      <c r="CL154" s="21">
        <f>EXP(-LN(2)/25)*CL153+(1-EXP(-LN(2)/25))/(LN(2)/25)*Calculateur!CG154*Calculateur!CI154*VLOOKUP('Données projet'!$B$12,Paramètres!$A$1:$I$89,3,0)*0.475*44/12</f>
        <v>0</v>
      </c>
      <c r="CM154" s="21">
        <f>EXP(-LN(2)/2)*CM153+(1-EXP(-LN(2)/2))/(LN(2)/2)*CG154*CJ154*VLOOKUP('Données projet'!$B$12,Paramètres!$A$1:$I$89,3,0)*0.475*44/12</f>
        <v>0</v>
      </c>
      <c r="CN154" s="22">
        <f t="shared" ref="CN154:CN203" si="172">SUM(CK154:CM154)</f>
        <v>217.64208260983074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5.6843418860808015E-14</v>
      </c>
      <c r="CU154" s="17">
        <f>CT154*VLOOKUP('Données projet'!$B$13,Paramètres!$A$1:$I$89,3,0)*VLOOKUP('Données projet'!$B$13,Paramètres!$A$1:$I$89,5,0)</f>
        <v>5.7639226724859328E-14</v>
      </c>
      <c r="CV154" s="13">
        <f t="shared" ref="CV154:CV203" si="173">EXP(-1.0587+0.8836*LN(CU154)+0.284)</f>
        <v>9.2325701996134334E-13</v>
      </c>
      <c r="CW154" s="20">
        <f t="shared" ref="CW154:CW203" si="174">(CU154+CV154)*0.475*44/12</f>
        <v>1.708394296311803E-12</v>
      </c>
      <c r="CX154" s="59">
        <f t="shared" si="122"/>
        <v>293.33333333333502</v>
      </c>
      <c r="CY154" s="59">
        <f ca="1">AVERAGE(OFFSET($CX$3,0,0,'Données projet'!$E$13+1,1))-AVERAGE(OFFSET($H$3,0,0,'Données projet'!$E$13+1,1))</f>
        <v>407.76560346703042</v>
      </c>
      <c r="CZ154" s="59">
        <f t="shared" si="150"/>
        <v>319.35531375725202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211.1453040244626</v>
      </c>
      <c r="DG154" s="21">
        <f>EXP(-LN(2)/25)*DG153+(1-EXP(-LN(2)/25))/(LN(2)/25)*Calculateur!DB154*Calculateur!DD154*VLOOKUP('Données projet'!$B$13,Paramètres!$A$1:$I$89,3,0)*0.475*44/12</f>
        <v>0</v>
      </c>
      <c r="DH154" s="21">
        <f>EXP(-LN(2)/2)*DH153+(1-EXP(-LN(2)/2))/(LN(2)/2)*DB154*DE154*VLOOKUP('Données projet'!$B$13,Paramètres!$A$1:$I$89,3,0)*0.475*44/12</f>
        <v>0</v>
      </c>
      <c r="DI154" s="22">
        <f t="shared" ref="DI154:DI203" si="175">SUM(DF154:DH154)</f>
        <v>211.1453040244626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2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135.15840000000014</v>
      </c>
      <c r="D155" s="11">
        <f t="shared" si="140"/>
        <v>35.185601260048031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1314.9361500775651</v>
      </c>
      <c r="H155" s="67">
        <f t="shared" si="110"/>
        <v>553.34913552791727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0</v>
      </c>
      <c r="O155" s="13">
        <f>N155*VLOOKUP('Données projet'!$B$9,Paramètres!$A$1:$I$89,3,0)*VLOOKUP('Données projet'!$B$9,Paramètres!$A$1:$I$89,5,0)</f>
        <v>0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101.15586831191774</v>
      </c>
      <c r="T155" s="59">
        <f t="shared" si="142"/>
        <v>346.96347336689064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3.6376828320930841</v>
      </c>
      <c r="AA155" s="21">
        <f>EXP(-LN(2)/25)*AA154+(1-EXP(-LN(2)/25))/(LN(2)/25)*Calculateur!V155*Calculateur!X155*VLOOKUP('Données projet'!$B$9,Paramètres!$A$1:$I$89,3,0)*0.475*44/12</f>
        <v>0.56005022091404522</v>
      </c>
      <c r="AB155" s="21">
        <f>EXP(-LN(2)/2)*AB154+(1-EXP(-LN(2)/2))/(LN(2)/2)*V155*Y155*VLOOKUP('Données projet'!$B$9,Paramètres!$A$1:$I$89,3,0)*0.475*44/12</f>
        <v>0</v>
      </c>
      <c r="AC155" s="22">
        <f t="shared" si="163"/>
        <v>4.1977330530071288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0</v>
      </c>
      <c r="AJ155" s="13">
        <f>AI155*VLOOKUP('Données projet'!$B$10,Paramètres!$A$1:$I$89,3,0)*VLOOKUP('Données projet'!$B$10,Paramètres!$A$1:$I$89,5,0)</f>
        <v>0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101.15586831191774</v>
      </c>
      <c r="AO155" s="59">
        <f t="shared" si="144"/>
        <v>346.96347336689064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3.6376828320930841</v>
      </c>
      <c r="AV155" s="21">
        <f>EXP(-LN(2)/25)*AV154+(1-EXP(-LN(2)/25))/(LN(2)/25)*Calculateur!AQ155*Calculateur!AS155*VLOOKUP('Données projet'!$B$10,Paramètres!$A$1:$I$89,3,0)*0.475*44/12</f>
        <v>0.56005022091404522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4.1977330530071288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5.6843418860808015E-14</v>
      </c>
      <c r="BE155" s="13">
        <f>BD155*VLOOKUP('Données projet'!$B$11,Paramètres!$A$1:$I$89,3,0)*VLOOKUP('Données projet'!$B$11,Paramètres!$A$1:$I$89,5,0)</f>
        <v>5.1431925385259088E-14</v>
      </c>
      <c r="BF155" s="13">
        <f t="shared" si="167"/>
        <v>8.3482866290946129E-13</v>
      </c>
      <c r="BG155" s="20">
        <f t="shared" si="168"/>
        <v>1.5435705246133045E-12</v>
      </c>
      <c r="BH155" s="59">
        <f t="shared" si="116"/>
        <v>293.33333333333485</v>
      </c>
      <c r="BI155" s="59">
        <f ca="1">AVERAGE(OFFSET($BH$3,0,0,'Données projet'!$E$11+1,1))-AVERAGE(OFFSET($H$3,0,0,'Données projet'!$E$11+1,1))</f>
        <v>352.62747127358324</v>
      </c>
      <c r="BJ155" s="59">
        <f t="shared" si="146"/>
        <v>283.16932763435011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184.71204087862745</v>
      </c>
      <c r="BQ155" s="21">
        <f>EXP(-LN(2)/25)*BQ154+(1-EXP(-LN(2)/25))/(LN(2)/25)*Calculateur!BL155*Calculateur!BN155*VLOOKUP('Données projet'!$B$11,Paramètres!$A$1:$I$89,3,0)*0.475*44/12</f>
        <v>0</v>
      </c>
      <c r="BR155" s="21">
        <f>EXP(-LN(2)/2)*BR154+(1-EXP(-LN(2)/2))/(LN(2)/2)*BL155*BO155*VLOOKUP('Données projet'!$B$11,Paramètres!$A$1:$I$89,3,0)*0.475*44/12</f>
        <v>0</v>
      </c>
      <c r="BS155" s="22">
        <f t="shared" si="169"/>
        <v>184.71204087862745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5.6843418860808015E-14</v>
      </c>
      <c r="BZ155" s="13">
        <f>BY155*VLOOKUP('Données projet'!$B$12,Paramètres!$A$1:$I$89,3,0)*VLOOKUP('Données projet'!$B$12,Paramètres!$A$1:$I$89,5,0)</f>
        <v>5.9412741393316544E-14</v>
      </c>
      <c r="CA155" s="13">
        <f t="shared" si="170"/>
        <v>9.483138037075784E-13</v>
      </c>
      <c r="CB155" s="20">
        <f t="shared" si="171"/>
        <v>1.7551237327173918E-12</v>
      </c>
      <c r="CC155" s="59">
        <f t="shared" si="119"/>
        <v>293.33333333333508</v>
      </c>
      <c r="CD155" s="59">
        <f ca="1">AVERAGE(OFFSET($CC$3,0,0,'Données projet'!$E$12+1,1))-AVERAGE(OFFSET($H$3,0,0,'Données projet'!$E$12+1,1))</f>
        <v>423.49657671419374</v>
      </c>
      <c r="CE155" s="59">
        <f t="shared" si="148"/>
        <v>329.6783569381081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213.37425411841451</v>
      </c>
      <c r="CL155" s="21">
        <f>EXP(-LN(2)/25)*CL154+(1-EXP(-LN(2)/25))/(LN(2)/25)*Calculateur!CG155*Calculateur!CI155*VLOOKUP('Données projet'!$B$12,Paramètres!$A$1:$I$89,3,0)*0.475*44/12</f>
        <v>0</v>
      </c>
      <c r="CM155" s="21">
        <f>EXP(-LN(2)/2)*CM154+(1-EXP(-LN(2)/2))/(LN(2)/2)*CG155*CJ155*VLOOKUP('Données projet'!$B$12,Paramètres!$A$1:$I$89,3,0)*0.475*44/12</f>
        <v>0</v>
      </c>
      <c r="CN155" s="22">
        <f t="shared" si="172"/>
        <v>213.37425411841451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5.6843418860808015E-14</v>
      </c>
      <c r="CU155" s="17">
        <f>CT155*VLOOKUP('Données projet'!$B$13,Paramètres!$A$1:$I$89,3,0)*VLOOKUP('Données projet'!$B$13,Paramètres!$A$1:$I$89,5,0)</f>
        <v>5.7639226724859328E-14</v>
      </c>
      <c r="CV155" s="13">
        <f t="shared" si="173"/>
        <v>9.2325701996134334E-13</v>
      </c>
      <c r="CW155" s="20">
        <f t="shared" si="174"/>
        <v>1.708394296311803E-12</v>
      </c>
      <c r="CX155" s="59">
        <f t="shared" si="122"/>
        <v>293.33333333333502</v>
      </c>
      <c r="CY155" s="59">
        <f ca="1">AVERAGE(OFFSET($CX$3,0,0,'Données projet'!$E$13+1,1))-AVERAGE(OFFSET($H$3,0,0,'Données projet'!$E$13+1,1))</f>
        <v>407.76560346703042</v>
      </c>
      <c r="CZ155" s="59">
        <f t="shared" si="150"/>
        <v>319.35531375725202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207.0048733984618</v>
      </c>
      <c r="DG155" s="21">
        <f>EXP(-LN(2)/25)*DG154+(1-EXP(-LN(2)/25))/(LN(2)/25)*Calculateur!DB155*Calculateur!DD155*VLOOKUP('Données projet'!$B$13,Paramètres!$A$1:$I$89,3,0)*0.475*44/12</f>
        <v>0</v>
      </c>
      <c r="DH155" s="21">
        <f>EXP(-LN(2)/2)*DH154+(1-EXP(-LN(2)/2))/(LN(2)/2)*DB155*DE155*VLOOKUP('Données projet'!$B$13,Paramètres!$A$1:$I$89,3,0)*0.475*44/12</f>
        <v>0</v>
      </c>
      <c r="DI155" s="22">
        <f t="shared" si="175"/>
        <v>207.0048733984618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2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136.04760000000013</v>
      </c>
      <c r="D156" s="11">
        <f t="shared" si="140"/>
        <v>35.390062589787611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1323.3784480615195</v>
      </c>
      <c r="H156" s="67">
        <f t="shared" si="110"/>
        <v>555.25392901054693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0</v>
      </c>
      <c r="O156" s="13">
        <f>N156*VLOOKUP('Données projet'!$B$9,Paramètres!$A$1:$I$89,3,0)*VLOOKUP('Données projet'!$B$9,Paramètres!$A$1:$I$89,5,0)</f>
        <v>0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101.15586831191774</v>
      </c>
      <c r="T156" s="59">
        <f t="shared" si="142"/>
        <v>346.96347336689064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3.5663500905231813</v>
      </c>
      <c r="AA156" s="21">
        <f>EXP(-LN(2)/25)*AA155+(1-EXP(-LN(2)/25))/(LN(2)/25)*Calculateur!V156*Calculateur!X156*VLOOKUP('Données projet'!$B$9,Paramètres!$A$1:$I$89,3,0)*0.475*44/12</f>
        <v>0.54473561817138949</v>
      </c>
      <c r="AB156" s="21">
        <f>EXP(-LN(2)/2)*AB155+(1-EXP(-LN(2)/2))/(LN(2)/2)*V156*Y156*VLOOKUP('Données projet'!$B$9,Paramètres!$A$1:$I$89,3,0)*0.475*44/12</f>
        <v>0</v>
      </c>
      <c r="AC156" s="22">
        <f t="shared" si="163"/>
        <v>4.1110857086945707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0</v>
      </c>
      <c r="AJ156" s="13">
        <f>AI156*VLOOKUP('Données projet'!$B$10,Paramètres!$A$1:$I$89,3,0)*VLOOKUP('Données projet'!$B$10,Paramètres!$A$1:$I$89,5,0)</f>
        <v>0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101.15586831191774</v>
      </c>
      <c r="AO156" s="59">
        <f t="shared" si="144"/>
        <v>346.96347336689064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3.5663500905231813</v>
      </c>
      <c r="AV156" s="21">
        <f>EXP(-LN(2)/25)*AV155+(1-EXP(-LN(2)/25))/(LN(2)/25)*Calculateur!AQ156*Calculateur!AS156*VLOOKUP('Données projet'!$B$10,Paramètres!$A$1:$I$89,3,0)*0.475*44/12</f>
        <v>0.54473561817138949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4.1110857086945707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5.6843418860808015E-14</v>
      </c>
      <c r="BE156" s="13">
        <f>BD156*VLOOKUP('Données projet'!$B$11,Paramètres!$A$1:$I$89,3,0)*VLOOKUP('Données projet'!$B$11,Paramètres!$A$1:$I$89,5,0)</f>
        <v>5.1431925385259088E-14</v>
      </c>
      <c r="BF156" s="13">
        <f t="shared" si="167"/>
        <v>8.3482866290946129E-13</v>
      </c>
      <c r="BG156" s="20">
        <f t="shared" si="168"/>
        <v>1.5435705246133045E-12</v>
      </c>
      <c r="BH156" s="59">
        <f t="shared" si="116"/>
        <v>293.33333333333485</v>
      </c>
      <c r="BI156" s="59">
        <f ca="1">AVERAGE(OFFSET($BH$3,0,0,'Données projet'!$E$11+1,1))-AVERAGE(OFFSET($H$3,0,0,'Données projet'!$E$11+1,1))</f>
        <v>352.62747127358324</v>
      </c>
      <c r="BJ156" s="59">
        <f t="shared" si="146"/>
        <v>283.16932763435011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181.08995042021792</v>
      </c>
      <c r="BQ156" s="21">
        <f>EXP(-LN(2)/25)*BQ155+(1-EXP(-LN(2)/25))/(LN(2)/25)*Calculateur!BL156*Calculateur!BN156*VLOOKUP('Données projet'!$B$11,Paramètres!$A$1:$I$89,3,0)*0.475*44/12</f>
        <v>0</v>
      </c>
      <c r="BR156" s="21">
        <f>EXP(-LN(2)/2)*BR155+(1-EXP(-LN(2)/2))/(LN(2)/2)*BL156*BO156*VLOOKUP('Données projet'!$B$11,Paramètres!$A$1:$I$89,3,0)*0.475*44/12</f>
        <v>0</v>
      </c>
      <c r="BS156" s="22">
        <f t="shared" si="169"/>
        <v>181.08995042021792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5.6843418860808015E-14</v>
      </c>
      <c r="BZ156" s="13">
        <f>BY156*VLOOKUP('Données projet'!$B$12,Paramètres!$A$1:$I$89,3,0)*VLOOKUP('Données projet'!$B$12,Paramètres!$A$1:$I$89,5,0)</f>
        <v>5.9412741393316544E-14</v>
      </c>
      <c r="CA156" s="13">
        <f t="shared" si="170"/>
        <v>9.483138037075784E-13</v>
      </c>
      <c r="CB156" s="20">
        <f t="shared" si="171"/>
        <v>1.7551237327173918E-12</v>
      </c>
      <c r="CC156" s="59">
        <f t="shared" si="119"/>
        <v>293.33333333333508</v>
      </c>
      <c r="CD156" s="59">
        <f ca="1">AVERAGE(OFFSET($CC$3,0,0,'Données projet'!$E$12+1,1))-AVERAGE(OFFSET($H$3,0,0,'Données projet'!$E$12+1,1))</f>
        <v>423.49657671419374</v>
      </c>
      <c r="CE156" s="59">
        <f t="shared" si="148"/>
        <v>329.6783569381081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209.19011514059662</v>
      </c>
      <c r="CL156" s="21">
        <f>EXP(-LN(2)/25)*CL155+(1-EXP(-LN(2)/25))/(LN(2)/25)*Calculateur!CG156*Calculateur!CI156*VLOOKUP('Données projet'!$B$12,Paramètres!$A$1:$I$89,3,0)*0.475*44/12</f>
        <v>0</v>
      </c>
      <c r="CM156" s="21">
        <f>EXP(-LN(2)/2)*CM155+(1-EXP(-LN(2)/2))/(LN(2)/2)*CG156*CJ156*VLOOKUP('Données projet'!$B$12,Paramètres!$A$1:$I$89,3,0)*0.475*44/12</f>
        <v>0</v>
      </c>
      <c r="CN156" s="22">
        <f t="shared" si="172"/>
        <v>209.19011514059662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5.6843418860808015E-14</v>
      </c>
      <c r="CU156" s="17">
        <f>CT156*VLOOKUP('Données projet'!$B$13,Paramètres!$A$1:$I$89,3,0)*VLOOKUP('Données projet'!$B$13,Paramètres!$A$1:$I$89,5,0)</f>
        <v>5.7639226724859328E-14</v>
      </c>
      <c r="CV156" s="13">
        <f t="shared" si="173"/>
        <v>9.2325701996134334E-13</v>
      </c>
      <c r="CW156" s="20">
        <f t="shared" si="174"/>
        <v>1.708394296311803E-12</v>
      </c>
      <c r="CX156" s="59">
        <f t="shared" si="122"/>
        <v>293.33333333333502</v>
      </c>
      <c r="CY156" s="59">
        <f ca="1">AVERAGE(OFFSET($CX$3,0,0,'Données projet'!$E$13+1,1))-AVERAGE(OFFSET($H$3,0,0,'Données projet'!$E$13+1,1))</f>
        <v>407.76560346703042</v>
      </c>
      <c r="CZ156" s="59">
        <f t="shared" si="150"/>
        <v>319.35531375725202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202.94563409162353</v>
      </c>
      <c r="DG156" s="21">
        <f>EXP(-LN(2)/25)*DG155+(1-EXP(-LN(2)/25))/(LN(2)/25)*Calculateur!DB156*Calculateur!DD156*VLOOKUP('Données projet'!$B$13,Paramètres!$A$1:$I$89,3,0)*0.475*44/12</f>
        <v>0</v>
      </c>
      <c r="DH156" s="21">
        <f>EXP(-LN(2)/2)*DH155+(1-EXP(-LN(2)/2))/(LN(2)/2)*DB156*DE156*VLOOKUP('Données projet'!$B$13,Paramètres!$A$1:$I$89,3,0)*0.475*44/12</f>
        <v>0</v>
      </c>
      <c r="DI156" s="22">
        <f t="shared" si="175"/>
        <v>202.94563409162353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2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136.93680000000012</v>
      </c>
      <c r="D157" s="11">
        <f t="shared" si="140"/>
        <v>35.594368426539035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1331.8195457487234</v>
      </c>
      <c r="H157" s="67">
        <f t="shared" si="110"/>
        <v>557.1584516762224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0</v>
      </c>
      <c r="O157" s="13">
        <f>N157*VLOOKUP('Données projet'!$B$9,Paramètres!$A$1:$I$89,3,0)*VLOOKUP('Données projet'!$B$9,Paramètres!$A$1:$I$89,5,0)</f>
        <v>0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101.15586831191774</v>
      </c>
      <c r="T157" s="59">
        <f t="shared" si="142"/>
        <v>346.96347336689064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3.496416140506788</v>
      </c>
      <c r="AA157" s="21">
        <f>EXP(-LN(2)/25)*AA156+(1-EXP(-LN(2)/25))/(LN(2)/25)*Calculateur!V157*Calculateur!X157*VLOOKUP('Données projet'!$B$9,Paramètres!$A$1:$I$89,3,0)*0.475*44/12</f>
        <v>0.52983979404609172</v>
      </c>
      <c r="AB157" s="21">
        <f>EXP(-LN(2)/2)*AB156+(1-EXP(-LN(2)/2))/(LN(2)/2)*V157*Y157*VLOOKUP('Données projet'!$B$9,Paramètres!$A$1:$I$89,3,0)*0.475*44/12</f>
        <v>0</v>
      </c>
      <c r="AC157" s="22">
        <f t="shared" si="163"/>
        <v>4.0262559345528794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0</v>
      </c>
      <c r="AJ157" s="13">
        <f>AI157*VLOOKUP('Données projet'!$B$10,Paramètres!$A$1:$I$89,3,0)*VLOOKUP('Données projet'!$B$10,Paramètres!$A$1:$I$89,5,0)</f>
        <v>0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101.15586831191774</v>
      </c>
      <c r="AO157" s="59">
        <f t="shared" si="144"/>
        <v>346.96347336689064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3.496416140506788</v>
      </c>
      <c r="AV157" s="21">
        <f>EXP(-LN(2)/25)*AV156+(1-EXP(-LN(2)/25))/(LN(2)/25)*Calculateur!AQ157*Calculateur!AS157*VLOOKUP('Données projet'!$B$10,Paramètres!$A$1:$I$89,3,0)*0.475*44/12</f>
        <v>0.52983979404609172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4.0262559345528794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5.6843418860808015E-14</v>
      </c>
      <c r="BE157" s="13">
        <f>BD157*VLOOKUP('Données projet'!$B$11,Paramètres!$A$1:$I$89,3,0)*VLOOKUP('Données projet'!$B$11,Paramètres!$A$1:$I$89,5,0)</f>
        <v>5.1431925385259088E-14</v>
      </c>
      <c r="BF157" s="13">
        <f t="shared" si="167"/>
        <v>8.3482866290946129E-13</v>
      </c>
      <c r="BG157" s="20">
        <f t="shared" si="168"/>
        <v>1.5435705246133045E-12</v>
      </c>
      <c r="BH157" s="59">
        <f t="shared" si="116"/>
        <v>293.33333333333485</v>
      </c>
      <c r="BI157" s="59">
        <f ca="1">AVERAGE(OFFSET($BH$3,0,0,'Données projet'!$E$11+1,1))-AVERAGE(OFFSET($H$3,0,0,'Données projet'!$E$11+1,1))</f>
        <v>352.62747127358324</v>
      </c>
      <c r="BJ157" s="59">
        <f t="shared" si="146"/>
        <v>283.16932763435011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177.53888694644078</v>
      </c>
      <c r="BQ157" s="21">
        <f>EXP(-LN(2)/25)*BQ156+(1-EXP(-LN(2)/25))/(LN(2)/25)*Calculateur!BL157*Calculateur!BN157*VLOOKUP('Données projet'!$B$11,Paramètres!$A$1:$I$89,3,0)*0.475*44/12</f>
        <v>0</v>
      </c>
      <c r="BR157" s="21">
        <f>EXP(-LN(2)/2)*BR156+(1-EXP(-LN(2)/2))/(LN(2)/2)*BL157*BO157*VLOOKUP('Données projet'!$B$11,Paramètres!$A$1:$I$89,3,0)*0.475*44/12</f>
        <v>0</v>
      </c>
      <c r="BS157" s="22">
        <f t="shared" si="169"/>
        <v>177.53888694644078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5.6843418860808015E-14</v>
      </c>
      <c r="BZ157" s="13">
        <f>BY157*VLOOKUP('Données projet'!$B$12,Paramètres!$A$1:$I$89,3,0)*VLOOKUP('Données projet'!$B$12,Paramètres!$A$1:$I$89,5,0)</f>
        <v>5.9412741393316544E-14</v>
      </c>
      <c r="CA157" s="13">
        <f t="shared" si="170"/>
        <v>9.483138037075784E-13</v>
      </c>
      <c r="CB157" s="20">
        <f t="shared" si="171"/>
        <v>1.7551237327173918E-12</v>
      </c>
      <c r="CC157" s="59">
        <f t="shared" si="119"/>
        <v>293.33333333333508</v>
      </c>
      <c r="CD157" s="59">
        <f ca="1">AVERAGE(OFFSET($CC$3,0,0,'Données projet'!$E$12+1,1))-AVERAGE(OFFSET($H$3,0,0,'Données projet'!$E$12+1,1))</f>
        <v>423.49657671419374</v>
      </c>
      <c r="CE157" s="59">
        <f t="shared" si="148"/>
        <v>329.6783569381081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205.08802457606095</v>
      </c>
      <c r="CL157" s="21">
        <f>EXP(-LN(2)/25)*CL156+(1-EXP(-LN(2)/25))/(LN(2)/25)*Calculateur!CG157*Calculateur!CI157*VLOOKUP('Données projet'!$B$12,Paramètres!$A$1:$I$89,3,0)*0.475*44/12</f>
        <v>0</v>
      </c>
      <c r="CM157" s="21">
        <f>EXP(-LN(2)/2)*CM156+(1-EXP(-LN(2)/2))/(LN(2)/2)*CG157*CJ157*VLOOKUP('Données projet'!$B$12,Paramètres!$A$1:$I$89,3,0)*0.475*44/12</f>
        <v>0</v>
      </c>
      <c r="CN157" s="22">
        <f t="shared" si="172"/>
        <v>205.08802457606095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5.6843418860808015E-14</v>
      </c>
      <c r="CU157" s="17">
        <f>CT157*VLOOKUP('Données projet'!$B$13,Paramètres!$A$1:$I$89,3,0)*VLOOKUP('Données projet'!$B$13,Paramètres!$A$1:$I$89,5,0)</f>
        <v>5.7639226724859328E-14</v>
      </c>
      <c r="CV157" s="13">
        <f t="shared" si="173"/>
        <v>9.2325701996134334E-13</v>
      </c>
      <c r="CW157" s="20">
        <f t="shared" si="174"/>
        <v>1.708394296311803E-12</v>
      </c>
      <c r="CX157" s="59">
        <f t="shared" si="122"/>
        <v>293.33333333333502</v>
      </c>
      <c r="CY157" s="59">
        <f ca="1">AVERAGE(OFFSET($CX$3,0,0,'Données projet'!$E$13+1,1))-AVERAGE(OFFSET($H$3,0,0,'Données projet'!$E$13+1,1))</f>
        <v>407.76560346703042</v>
      </c>
      <c r="CZ157" s="59">
        <f t="shared" si="150"/>
        <v>319.35531375725202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198.96599399170088</v>
      </c>
      <c r="DG157" s="21">
        <f>EXP(-LN(2)/25)*DG156+(1-EXP(-LN(2)/25))/(LN(2)/25)*Calculateur!DB157*Calculateur!DD157*VLOOKUP('Données projet'!$B$13,Paramètres!$A$1:$I$89,3,0)*0.475*44/12</f>
        <v>0</v>
      </c>
      <c r="DH157" s="21">
        <f>EXP(-LN(2)/2)*DH156+(1-EXP(-LN(2)/2))/(LN(2)/2)*DB157*DE157*VLOOKUP('Données projet'!$B$13,Paramètres!$A$1:$I$89,3,0)*0.475*44/12</f>
        <v>0</v>
      </c>
      <c r="DI157" s="22">
        <f t="shared" si="175"/>
        <v>198.96599399170088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2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137.82600000000011</v>
      </c>
      <c r="D158" s="11">
        <f t="shared" si="140"/>
        <v>35.798519897115533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1340.2594518373839</v>
      </c>
      <c r="H158" s="67">
        <f t="shared" si="110"/>
        <v>559.06270548747648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0</v>
      </c>
      <c r="O158" s="13">
        <f>N158*VLOOKUP('Données projet'!$B$9,Paramètres!$A$1:$I$89,3,0)*VLOOKUP('Données projet'!$B$9,Paramètres!$A$1:$I$89,5,0)</f>
        <v>0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101.15586831191774</v>
      </c>
      <c r="T158" s="59">
        <f t="shared" si="142"/>
        <v>346.96347336689064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3.4278535525947182</v>
      </c>
      <c r="AA158" s="21">
        <f>EXP(-LN(2)/25)*AA157+(1-EXP(-LN(2)/25))/(LN(2)/25)*Calculateur!V158*Calculateur!X158*VLOOKUP('Données projet'!$B$9,Paramètres!$A$1:$I$89,3,0)*0.475*44/12</f>
        <v>0.51535129701483751</v>
      </c>
      <c r="AB158" s="21">
        <f>EXP(-LN(2)/2)*AB157+(1-EXP(-LN(2)/2))/(LN(2)/2)*V158*Y158*VLOOKUP('Données projet'!$B$9,Paramètres!$A$1:$I$89,3,0)*0.475*44/12</f>
        <v>0</v>
      </c>
      <c r="AC158" s="22">
        <f t="shared" si="163"/>
        <v>3.9432048496095558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0</v>
      </c>
      <c r="AJ158" s="13">
        <f>AI158*VLOOKUP('Données projet'!$B$10,Paramètres!$A$1:$I$89,3,0)*VLOOKUP('Données projet'!$B$10,Paramètres!$A$1:$I$89,5,0)</f>
        <v>0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101.15586831191774</v>
      </c>
      <c r="AO158" s="59">
        <f t="shared" si="144"/>
        <v>346.96347336689064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3.4278535525947182</v>
      </c>
      <c r="AV158" s="21">
        <f>EXP(-LN(2)/25)*AV157+(1-EXP(-LN(2)/25))/(LN(2)/25)*Calculateur!AQ158*Calculateur!AS158*VLOOKUP('Données projet'!$B$10,Paramètres!$A$1:$I$89,3,0)*0.475*44/12</f>
        <v>0.51535129701483751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3.9432048496095558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5.6843418860808015E-14</v>
      </c>
      <c r="BE158" s="13">
        <f>BD158*VLOOKUP('Données projet'!$B$11,Paramètres!$A$1:$I$89,3,0)*VLOOKUP('Données projet'!$B$11,Paramètres!$A$1:$I$89,5,0)</f>
        <v>5.1431925385259088E-14</v>
      </c>
      <c r="BF158" s="13">
        <f t="shared" si="167"/>
        <v>8.3482866290946129E-13</v>
      </c>
      <c r="BG158" s="20">
        <f t="shared" si="168"/>
        <v>1.5435705246133045E-12</v>
      </c>
      <c r="BH158" s="59">
        <f t="shared" si="116"/>
        <v>293.33333333333485</v>
      </c>
      <c r="BI158" s="59">
        <f ca="1">AVERAGE(OFFSET($BH$3,0,0,'Données projet'!$E$11+1,1))-AVERAGE(OFFSET($H$3,0,0,'Données projet'!$E$11+1,1))</f>
        <v>352.62747127358324</v>
      </c>
      <c r="BJ158" s="59">
        <f t="shared" si="146"/>
        <v>283.16932763435011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174.05745766144958</v>
      </c>
      <c r="BQ158" s="21">
        <f>EXP(-LN(2)/25)*BQ157+(1-EXP(-LN(2)/25))/(LN(2)/25)*Calculateur!BL158*Calculateur!BN158*VLOOKUP('Données projet'!$B$11,Paramètres!$A$1:$I$89,3,0)*0.475*44/12</f>
        <v>0</v>
      </c>
      <c r="BR158" s="21">
        <f>EXP(-LN(2)/2)*BR157+(1-EXP(-LN(2)/2))/(LN(2)/2)*BL158*BO158*VLOOKUP('Données projet'!$B$11,Paramètres!$A$1:$I$89,3,0)*0.475*44/12</f>
        <v>0</v>
      </c>
      <c r="BS158" s="22">
        <f t="shared" si="169"/>
        <v>174.05745766144958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5.6843418860808015E-14</v>
      </c>
      <c r="BZ158" s="13">
        <f>BY158*VLOOKUP('Données projet'!$B$12,Paramètres!$A$1:$I$89,3,0)*VLOOKUP('Données projet'!$B$12,Paramètres!$A$1:$I$89,5,0)</f>
        <v>5.9412741393316544E-14</v>
      </c>
      <c r="CA158" s="13">
        <f t="shared" si="170"/>
        <v>9.483138037075784E-13</v>
      </c>
      <c r="CB158" s="20">
        <f t="shared" si="171"/>
        <v>1.7551237327173918E-12</v>
      </c>
      <c r="CC158" s="59">
        <f t="shared" si="119"/>
        <v>293.33333333333508</v>
      </c>
      <c r="CD158" s="59">
        <f ca="1">AVERAGE(OFFSET($CC$3,0,0,'Données projet'!$E$12+1,1))-AVERAGE(OFFSET($H$3,0,0,'Données projet'!$E$12+1,1))</f>
        <v>423.49657671419374</v>
      </c>
      <c r="CE158" s="59">
        <f t="shared" si="148"/>
        <v>329.6783569381081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201.06637350546762</v>
      </c>
      <c r="CL158" s="21">
        <f>EXP(-LN(2)/25)*CL157+(1-EXP(-LN(2)/25))/(LN(2)/25)*Calculateur!CG158*Calculateur!CI158*VLOOKUP('Données projet'!$B$12,Paramètres!$A$1:$I$89,3,0)*0.475*44/12</f>
        <v>0</v>
      </c>
      <c r="CM158" s="21">
        <f>EXP(-LN(2)/2)*CM157+(1-EXP(-LN(2)/2))/(LN(2)/2)*CG158*CJ158*VLOOKUP('Données projet'!$B$12,Paramètres!$A$1:$I$89,3,0)*0.475*44/12</f>
        <v>0</v>
      </c>
      <c r="CN158" s="22">
        <f t="shared" si="172"/>
        <v>201.06637350546762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5.6843418860808015E-14</v>
      </c>
      <c r="CU158" s="17">
        <f>CT158*VLOOKUP('Données projet'!$B$13,Paramètres!$A$1:$I$89,3,0)*VLOOKUP('Données projet'!$B$13,Paramètres!$A$1:$I$89,5,0)</f>
        <v>5.7639226724859328E-14</v>
      </c>
      <c r="CV158" s="13">
        <f t="shared" si="173"/>
        <v>9.2325701996134334E-13</v>
      </c>
      <c r="CW158" s="20">
        <f t="shared" si="174"/>
        <v>1.708394296311803E-12</v>
      </c>
      <c r="CX158" s="59">
        <f t="shared" si="122"/>
        <v>293.33333333333502</v>
      </c>
      <c r="CY158" s="59">
        <f ca="1">AVERAGE(OFFSET($CX$3,0,0,'Données projet'!$E$13+1,1))-AVERAGE(OFFSET($H$3,0,0,'Données projet'!$E$13+1,1))</f>
        <v>407.76560346703042</v>
      </c>
      <c r="CZ158" s="59">
        <f t="shared" si="150"/>
        <v>319.35531375725202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195.06439220679692</v>
      </c>
      <c r="DG158" s="21">
        <f>EXP(-LN(2)/25)*DG157+(1-EXP(-LN(2)/25))/(LN(2)/25)*Calculateur!DB158*Calculateur!DD158*VLOOKUP('Données projet'!$B$13,Paramètres!$A$1:$I$89,3,0)*0.475*44/12</f>
        <v>0</v>
      </c>
      <c r="DH158" s="21">
        <f>EXP(-LN(2)/2)*DH157+(1-EXP(-LN(2)/2))/(LN(2)/2)*DB158*DE158*VLOOKUP('Données projet'!$B$13,Paramètres!$A$1:$I$89,3,0)*0.475*44/12</f>
        <v>0</v>
      </c>
      <c r="DI158" s="22">
        <f t="shared" si="175"/>
        <v>195.06439220679692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2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138.7152000000001</v>
      </c>
      <c r="D159" s="11">
        <f t="shared" si="140"/>
        <v>36.002518112950014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1348.6981749069832</v>
      </c>
      <c r="H159" s="67">
        <f t="shared" si="110"/>
        <v>560.96669238005484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0</v>
      </c>
      <c r="O159" s="13">
        <f>N159*VLOOKUP('Données projet'!$B$9,Paramètres!$A$1:$I$89,3,0)*VLOOKUP('Données projet'!$B$9,Paramètres!$A$1:$I$89,5,0)</f>
        <v>0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101.15586831191774</v>
      </c>
      <c r="T159" s="59">
        <f t="shared" si="142"/>
        <v>346.96347336689064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3.3606354352125551</v>
      </c>
      <c r="AA159" s="21">
        <f>EXP(-LN(2)/25)*AA158+(1-EXP(-LN(2)/25))/(LN(2)/25)*Calculateur!V159*Calculateur!X159*VLOOKUP('Données projet'!$B$9,Paramètres!$A$1:$I$89,3,0)*0.475*44/12</f>
        <v>0.50125898869681995</v>
      </c>
      <c r="AB159" s="21">
        <f>EXP(-LN(2)/2)*AB158+(1-EXP(-LN(2)/2))/(LN(2)/2)*V159*Y159*VLOOKUP('Données projet'!$B$9,Paramètres!$A$1:$I$89,3,0)*0.475*44/12</f>
        <v>0</v>
      </c>
      <c r="AC159" s="22">
        <f t="shared" si="163"/>
        <v>3.8618944239093751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0</v>
      </c>
      <c r="AJ159" s="13">
        <f>AI159*VLOOKUP('Données projet'!$B$10,Paramètres!$A$1:$I$89,3,0)*VLOOKUP('Données projet'!$B$10,Paramètres!$A$1:$I$89,5,0)</f>
        <v>0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101.15586831191774</v>
      </c>
      <c r="AO159" s="59">
        <f t="shared" si="144"/>
        <v>346.96347336689064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3.3606354352125551</v>
      </c>
      <c r="AV159" s="21">
        <f>EXP(-LN(2)/25)*AV158+(1-EXP(-LN(2)/25))/(LN(2)/25)*Calculateur!AQ159*Calculateur!AS159*VLOOKUP('Données projet'!$B$10,Paramètres!$A$1:$I$89,3,0)*0.475*44/12</f>
        <v>0.50125898869681995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3.8618944239093751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5.6843418860808015E-14</v>
      </c>
      <c r="BE159" s="13">
        <f>BD159*VLOOKUP('Données projet'!$B$11,Paramètres!$A$1:$I$89,3,0)*VLOOKUP('Données projet'!$B$11,Paramètres!$A$1:$I$89,5,0)</f>
        <v>5.1431925385259088E-14</v>
      </c>
      <c r="BF159" s="13">
        <f t="shared" si="167"/>
        <v>8.3482866290946129E-13</v>
      </c>
      <c r="BG159" s="20">
        <f t="shared" si="168"/>
        <v>1.5435705246133045E-12</v>
      </c>
      <c r="BH159" s="59">
        <f t="shared" si="116"/>
        <v>293.33333333333485</v>
      </c>
      <c r="BI159" s="59">
        <f ca="1">AVERAGE(OFFSET($BH$3,0,0,'Données projet'!$E$11+1,1))-AVERAGE(OFFSET($H$3,0,0,'Données projet'!$E$11+1,1))</f>
        <v>352.62747127358324</v>
      </c>
      <c r="BJ159" s="59">
        <f t="shared" si="146"/>
        <v>283.16932763435011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170.64429708127483</v>
      </c>
      <c r="BQ159" s="21">
        <f>EXP(-LN(2)/25)*BQ158+(1-EXP(-LN(2)/25))/(LN(2)/25)*Calculateur!BL159*Calculateur!BN159*VLOOKUP('Données projet'!$B$11,Paramètres!$A$1:$I$89,3,0)*0.475*44/12</f>
        <v>0</v>
      </c>
      <c r="BR159" s="21">
        <f>EXP(-LN(2)/2)*BR158+(1-EXP(-LN(2)/2))/(LN(2)/2)*BL159*BO159*VLOOKUP('Données projet'!$B$11,Paramètres!$A$1:$I$89,3,0)*0.475*44/12</f>
        <v>0</v>
      </c>
      <c r="BS159" s="22">
        <f t="shared" si="169"/>
        <v>170.64429708127483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5.6843418860808015E-14</v>
      </c>
      <c r="BZ159" s="13">
        <f>BY159*VLOOKUP('Données projet'!$B$12,Paramètres!$A$1:$I$89,3,0)*VLOOKUP('Données projet'!$B$12,Paramètres!$A$1:$I$89,5,0)</f>
        <v>5.9412741393316544E-14</v>
      </c>
      <c r="CA159" s="13">
        <f t="shared" si="170"/>
        <v>9.483138037075784E-13</v>
      </c>
      <c r="CB159" s="20">
        <f t="shared" si="171"/>
        <v>1.7551237327173918E-12</v>
      </c>
      <c r="CC159" s="59">
        <f t="shared" si="119"/>
        <v>293.33333333333508</v>
      </c>
      <c r="CD159" s="59">
        <f ca="1">AVERAGE(OFFSET($CC$3,0,0,'Données projet'!$E$12+1,1))-AVERAGE(OFFSET($H$3,0,0,'Données projet'!$E$12+1,1))</f>
        <v>423.49657671419374</v>
      </c>
      <c r="CE159" s="59">
        <f t="shared" si="148"/>
        <v>329.6783569381081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197.1235845594037</v>
      </c>
      <c r="CL159" s="21">
        <f>EXP(-LN(2)/25)*CL158+(1-EXP(-LN(2)/25))/(LN(2)/25)*Calculateur!CG159*Calculateur!CI159*VLOOKUP('Données projet'!$B$12,Paramètres!$A$1:$I$89,3,0)*0.475*44/12</f>
        <v>0</v>
      </c>
      <c r="CM159" s="21">
        <f>EXP(-LN(2)/2)*CM158+(1-EXP(-LN(2)/2))/(LN(2)/2)*CG159*CJ159*VLOOKUP('Données projet'!$B$12,Paramètres!$A$1:$I$89,3,0)*0.475*44/12</f>
        <v>0</v>
      </c>
      <c r="CN159" s="22">
        <f t="shared" si="172"/>
        <v>197.1235845594037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5.6843418860808015E-14</v>
      </c>
      <c r="CU159" s="17">
        <f>CT159*VLOOKUP('Données projet'!$B$13,Paramètres!$A$1:$I$89,3,0)*VLOOKUP('Données projet'!$B$13,Paramètres!$A$1:$I$89,5,0)</f>
        <v>5.7639226724859328E-14</v>
      </c>
      <c r="CV159" s="13">
        <f t="shared" si="173"/>
        <v>9.2325701996134334E-13</v>
      </c>
      <c r="CW159" s="20">
        <f t="shared" si="174"/>
        <v>1.708394296311803E-12</v>
      </c>
      <c r="CX159" s="59">
        <f t="shared" si="122"/>
        <v>293.33333333333502</v>
      </c>
      <c r="CY159" s="59">
        <f ca="1">AVERAGE(OFFSET($CX$3,0,0,'Données projet'!$E$13+1,1))-AVERAGE(OFFSET($H$3,0,0,'Données projet'!$E$13+1,1))</f>
        <v>407.76560346703042</v>
      </c>
      <c r="CZ159" s="59">
        <f t="shared" si="150"/>
        <v>319.35531375725202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191.23929845315283</v>
      </c>
      <c r="DG159" s="21">
        <f>EXP(-LN(2)/25)*DG158+(1-EXP(-LN(2)/25))/(LN(2)/25)*Calculateur!DB159*Calculateur!DD159*VLOOKUP('Données projet'!$B$13,Paramètres!$A$1:$I$89,3,0)*0.475*44/12</f>
        <v>0</v>
      </c>
      <c r="DH159" s="21">
        <f>EXP(-LN(2)/2)*DH158+(1-EXP(-LN(2)/2))/(LN(2)/2)*DB159*DE159*VLOOKUP('Données projet'!$B$13,Paramètres!$A$1:$I$89,3,0)*0.475*44/12</f>
        <v>0</v>
      </c>
      <c r="DI159" s="22">
        <f t="shared" si="175"/>
        <v>191.23929845315283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2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139.60440000000008</v>
      </c>
      <c r="D160" s="11">
        <f t="shared" si="140"/>
        <v>36.206364170402217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1357.1357234206496</v>
      </c>
      <c r="H160" s="67">
        <f t="shared" si="110"/>
        <v>562.8704142634507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0</v>
      </c>
      <c r="O160" s="13">
        <f>N160*VLOOKUP('Données projet'!$B$9,Paramètres!$A$1:$I$89,3,0)*VLOOKUP('Données projet'!$B$9,Paramètres!$A$1:$I$89,5,0)</f>
        <v>0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101.15586831191774</v>
      </c>
      <c r="T160" s="59">
        <f t="shared" si="142"/>
        <v>346.96347336689064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3.2947354241132532</v>
      </c>
      <c r="AA160" s="21">
        <f>EXP(-LN(2)/25)*AA159+(1-EXP(-LN(2)/25))/(LN(2)/25)*Calculateur!V160*Calculateur!X160*VLOOKUP('Données projet'!$B$9,Paramètres!$A$1:$I$89,3,0)*0.475*44/12</f>
        <v>0.48755203529084085</v>
      </c>
      <c r="AB160" s="21">
        <f>EXP(-LN(2)/2)*AB159+(1-EXP(-LN(2)/2))/(LN(2)/2)*V160*Y160*VLOOKUP('Données projet'!$B$9,Paramètres!$A$1:$I$89,3,0)*0.475*44/12</f>
        <v>0</v>
      </c>
      <c r="AC160" s="22">
        <f t="shared" si="163"/>
        <v>3.7822874594040941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0</v>
      </c>
      <c r="AJ160" s="13">
        <f>AI160*VLOOKUP('Données projet'!$B$10,Paramètres!$A$1:$I$89,3,0)*VLOOKUP('Données projet'!$B$10,Paramètres!$A$1:$I$89,5,0)</f>
        <v>0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101.15586831191774</v>
      </c>
      <c r="AO160" s="59">
        <f t="shared" si="144"/>
        <v>346.96347336689064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3.2947354241132532</v>
      </c>
      <c r="AV160" s="21">
        <f>EXP(-LN(2)/25)*AV159+(1-EXP(-LN(2)/25))/(LN(2)/25)*Calculateur!AQ160*Calculateur!AS160*VLOOKUP('Données projet'!$B$10,Paramètres!$A$1:$I$89,3,0)*0.475*44/12</f>
        <v>0.48755203529084085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3.7822874594040941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5.6843418860808015E-14</v>
      </c>
      <c r="BE160" s="13">
        <f>BD160*VLOOKUP('Données projet'!$B$11,Paramètres!$A$1:$I$89,3,0)*VLOOKUP('Données projet'!$B$11,Paramètres!$A$1:$I$89,5,0)</f>
        <v>5.1431925385259088E-14</v>
      </c>
      <c r="BF160" s="13">
        <f t="shared" si="167"/>
        <v>8.3482866290946129E-13</v>
      </c>
      <c r="BG160" s="20">
        <f t="shared" si="168"/>
        <v>1.5435705246133045E-12</v>
      </c>
      <c r="BH160" s="59">
        <f t="shared" si="116"/>
        <v>293.33333333333485</v>
      </c>
      <c r="BI160" s="59">
        <f ca="1">AVERAGE(OFFSET($BH$3,0,0,'Données projet'!$E$11+1,1))-AVERAGE(OFFSET($H$3,0,0,'Données projet'!$E$11+1,1))</f>
        <v>352.62747127358324</v>
      </c>
      <c r="BJ160" s="59">
        <f t="shared" si="146"/>
        <v>283.16932763435011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167.29806649825494</v>
      </c>
      <c r="BQ160" s="21">
        <f>EXP(-LN(2)/25)*BQ159+(1-EXP(-LN(2)/25))/(LN(2)/25)*Calculateur!BL160*Calculateur!BN160*VLOOKUP('Données projet'!$B$11,Paramètres!$A$1:$I$89,3,0)*0.475*44/12</f>
        <v>0</v>
      </c>
      <c r="BR160" s="21">
        <f>EXP(-LN(2)/2)*BR159+(1-EXP(-LN(2)/2))/(LN(2)/2)*BL160*BO160*VLOOKUP('Données projet'!$B$11,Paramètres!$A$1:$I$89,3,0)*0.475*44/12</f>
        <v>0</v>
      </c>
      <c r="BS160" s="22">
        <f t="shared" si="169"/>
        <v>167.29806649825494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5.6843418860808015E-14</v>
      </c>
      <c r="BZ160" s="13">
        <f>BY160*VLOOKUP('Données projet'!$B$12,Paramètres!$A$1:$I$89,3,0)*VLOOKUP('Données projet'!$B$12,Paramètres!$A$1:$I$89,5,0)</f>
        <v>5.9412741393316544E-14</v>
      </c>
      <c r="CA160" s="13">
        <f t="shared" si="170"/>
        <v>9.483138037075784E-13</v>
      </c>
      <c r="CB160" s="20">
        <f t="shared" si="171"/>
        <v>1.7551237327173918E-12</v>
      </c>
      <c r="CC160" s="59">
        <f t="shared" si="119"/>
        <v>293.33333333333508</v>
      </c>
      <c r="CD160" s="59">
        <f ca="1">AVERAGE(OFFSET($CC$3,0,0,'Données projet'!$E$12+1,1))-AVERAGE(OFFSET($H$3,0,0,'Données projet'!$E$12+1,1))</f>
        <v>423.49657671419374</v>
      </c>
      <c r="CE160" s="59">
        <f t="shared" si="148"/>
        <v>329.6783569381081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193.2581112997083</v>
      </c>
      <c r="CL160" s="21">
        <f>EXP(-LN(2)/25)*CL159+(1-EXP(-LN(2)/25))/(LN(2)/25)*Calculateur!CG160*Calculateur!CI160*VLOOKUP('Données projet'!$B$12,Paramètres!$A$1:$I$89,3,0)*0.475*44/12</f>
        <v>0</v>
      </c>
      <c r="CM160" s="21">
        <f>EXP(-LN(2)/2)*CM159+(1-EXP(-LN(2)/2))/(LN(2)/2)*CG160*CJ160*VLOOKUP('Données projet'!$B$12,Paramètres!$A$1:$I$89,3,0)*0.475*44/12</f>
        <v>0</v>
      </c>
      <c r="CN160" s="22">
        <f t="shared" si="172"/>
        <v>193.2581112997083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5.6843418860808015E-14</v>
      </c>
      <c r="CU160" s="17">
        <f>CT160*VLOOKUP('Données projet'!$B$13,Paramètres!$A$1:$I$89,3,0)*VLOOKUP('Données projet'!$B$13,Paramètres!$A$1:$I$89,5,0)</f>
        <v>5.7639226724859328E-14</v>
      </c>
      <c r="CV160" s="13">
        <f t="shared" si="173"/>
        <v>9.2325701996134334E-13</v>
      </c>
      <c r="CW160" s="20">
        <f t="shared" si="174"/>
        <v>1.708394296311803E-12</v>
      </c>
      <c r="CX160" s="59">
        <f t="shared" si="122"/>
        <v>293.33333333333502</v>
      </c>
      <c r="CY160" s="59">
        <f ca="1">AVERAGE(OFFSET($CX$3,0,0,'Données projet'!$E$13+1,1))-AVERAGE(OFFSET($H$3,0,0,'Données projet'!$E$13+1,1))</f>
        <v>407.76560346703042</v>
      </c>
      <c r="CZ160" s="59">
        <f t="shared" si="150"/>
        <v>319.35531375725202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187.48921245494088</v>
      </c>
      <c r="DG160" s="21">
        <f>EXP(-LN(2)/25)*DG159+(1-EXP(-LN(2)/25))/(LN(2)/25)*Calculateur!DB160*Calculateur!DD160*VLOOKUP('Données projet'!$B$13,Paramètres!$A$1:$I$89,3,0)*0.475*44/12</f>
        <v>0</v>
      </c>
      <c r="DH160" s="21">
        <f>EXP(-LN(2)/2)*DH159+(1-EXP(-LN(2)/2))/(LN(2)/2)*DB160*DE160*VLOOKUP('Données projet'!$B$13,Paramètres!$A$1:$I$89,3,0)*0.475*44/12</f>
        <v>0</v>
      </c>
      <c r="DI160" s="22">
        <f t="shared" si="175"/>
        <v>187.48921245494088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2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140.49360000000007</v>
      </c>
      <c r="D161" s="11">
        <f t="shared" si="140"/>
        <v>36.410059151057943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1365.5721057274657</v>
      </c>
      <c r="H161" s="67">
        <f t="shared" si="110"/>
        <v>564.77387302142597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0</v>
      </c>
      <c r="O161" s="13">
        <f>N161*VLOOKUP('Données projet'!$B$9,Paramètres!$A$1:$I$89,3,0)*VLOOKUP('Données projet'!$B$9,Paramètres!$A$1:$I$89,5,0)</f>
        <v>0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101.15586831191774</v>
      </c>
      <c r="T161" s="59">
        <f t="shared" si="142"/>
        <v>346.96347336689064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3.2301276720365704</v>
      </c>
      <c r="AA161" s="21">
        <f>EXP(-LN(2)/25)*AA160+(1-EXP(-LN(2)/25))/(LN(2)/25)*Calculateur!V161*Calculateur!X161*VLOOKUP('Données projet'!$B$9,Paramètres!$A$1:$I$89,3,0)*0.475*44/12</f>
        <v>0.4742198992465656</v>
      </c>
      <c r="AB161" s="21">
        <f>EXP(-LN(2)/2)*AB160+(1-EXP(-LN(2)/2))/(LN(2)/2)*V161*Y161*VLOOKUP('Données projet'!$B$9,Paramètres!$A$1:$I$89,3,0)*0.475*44/12</f>
        <v>0</v>
      </c>
      <c r="AC161" s="22">
        <f t="shared" si="163"/>
        <v>3.7043475712831357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0</v>
      </c>
      <c r="AJ161" s="13">
        <f>AI161*VLOOKUP('Données projet'!$B$10,Paramètres!$A$1:$I$89,3,0)*VLOOKUP('Données projet'!$B$10,Paramètres!$A$1:$I$89,5,0)</f>
        <v>0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101.15586831191774</v>
      </c>
      <c r="AO161" s="59">
        <f t="shared" si="144"/>
        <v>346.96347336689064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3.2301276720365704</v>
      </c>
      <c r="AV161" s="21">
        <f>EXP(-LN(2)/25)*AV160+(1-EXP(-LN(2)/25))/(LN(2)/25)*Calculateur!AQ161*Calculateur!AS161*VLOOKUP('Données projet'!$B$10,Paramètres!$A$1:$I$89,3,0)*0.475*44/12</f>
        <v>0.4742198992465656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3.7043475712831357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5.6843418860808015E-14</v>
      </c>
      <c r="BE161" s="13">
        <f>BD161*VLOOKUP('Données projet'!$B$11,Paramètres!$A$1:$I$89,3,0)*VLOOKUP('Données projet'!$B$11,Paramètres!$A$1:$I$89,5,0)</f>
        <v>5.1431925385259088E-14</v>
      </c>
      <c r="BF161" s="13">
        <f t="shared" si="167"/>
        <v>8.3482866290946129E-13</v>
      </c>
      <c r="BG161" s="20">
        <f t="shared" si="168"/>
        <v>1.5435705246133045E-12</v>
      </c>
      <c r="BH161" s="59">
        <f t="shared" si="116"/>
        <v>293.33333333333485</v>
      </c>
      <c r="BI161" s="59">
        <f ca="1">AVERAGE(OFFSET($BH$3,0,0,'Données projet'!$E$11+1,1))-AVERAGE(OFFSET($H$3,0,0,'Données projet'!$E$11+1,1))</f>
        <v>352.62747127358324</v>
      </c>
      <c r="BJ161" s="59">
        <f t="shared" si="146"/>
        <v>283.16932763435011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164.01745345596893</v>
      </c>
      <c r="BQ161" s="21">
        <f>EXP(-LN(2)/25)*BQ160+(1-EXP(-LN(2)/25))/(LN(2)/25)*Calculateur!BL161*Calculateur!BN161*VLOOKUP('Données projet'!$B$11,Paramètres!$A$1:$I$89,3,0)*0.475*44/12</f>
        <v>0</v>
      </c>
      <c r="BR161" s="21">
        <f>EXP(-LN(2)/2)*BR160+(1-EXP(-LN(2)/2))/(LN(2)/2)*BL161*BO161*VLOOKUP('Données projet'!$B$11,Paramètres!$A$1:$I$89,3,0)*0.475*44/12</f>
        <v>0</v>
      </c>
      <c r="BS161" s="22">
        <f t="shared" si="169"/>
        <v>164.01745345596893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5.6843418860808015E-14</v>
      </c>
      <c r="BZ161" s="13">
        <f>BY161*VLOOKUP('Données projet'!$B$12,Paramètres!$A$1:$I$89,3,0)*VLOOKUP('Données projet'!$B$12,Paramètres!$A$1:$I$89,5,0)</f>
        <v>5.9412741393316544E-14</v>
      </c>
      <c r="CA161" s="13">
        <f t="shared" si="170"/>
        <v>9.483138037075784E-13</v>
      </c>
      <c r="CB161" s="20">
        <f t="shared" si="171"/>
        <v>1.7551237327173918E-12</v>
      </c>
      <c r="CC161" s="59">
        <f t="shared" si="119"/>
        <v>293.33333333333508</v>
      </c>
      <c r="CD161" s="59">
        <f ca="1">AVERAGE(OFFSET($CC$3,0,0,'Données projet'!$E$12+1,1))-AVERAGE(OFFSET($H$3,0,0,'Données projet'!$E$12+1,1))</f>
        <v>423.49657671419374</v>
      </c>
      <c r="CE161" s="59">
        <f t="shared" si="148"/>
        <v>329.6783569381081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189.46843761292965</v>
      </c>
      <c r="CL161" s="21">
        <f>EXP(-LN(2)/25)*CL160+(1-EXP(-LN(2)/25))/(LN(2)/25)*Calculateur!CG161*Calculateur!CI161*VLOOKUP('Données projet'!$B$12,Paramètres!$A$1:$I$89,3,0)*0.475*44/12</f>
        <v>0</v>
      </c>
      <c r="CM161" s="21">
        <f>EXP(-LN(2)/2)*CM160+(1-EXP(-LN(2)/2))/(LN(2)/2)*CG161*CJ161*VLOOKUP('Données projet'!$B$12,Paramètres!$A$1:$I$89,3,0)*0.475*44/12</f>
        <v>0</v>
      </c>
      <c r="CN161" s="22">
        <f t="shared" si="172"/>
        <v>189.46843761292965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5.6843418860808015E-14</v>
      </c>
      <c r="CU161" s="17">
        <f>CT161*VLOOKUP('Données projet'!$B$13,Paramètres!$A$1:$I$89,3,0)*VLOOKUP('Données projet'!$B$13,Paramètres!$A$1:$I$89,5,0)</f>
        <v>5.7639226724859328E-14</v>
      </c>
      <c r="CV161" s="13">
        <f t="shared" si="173"/>
        <v>9.2325701996134334E-13</v>
      </c>
      <c r="CW161" s="20">
        <f t="shared" si="174"/>
        <v>1.708394296311803E-12</v>
      </c>
      <c r="CX161" s="59">
        <f t="shared" si="122"/>
        <v>293.33333333333502</v>
      </c>
      <c r="CY161" s="59">
        <f ca="1">AVERAGE(OFFSET($CX$3,0,0,'Données projet'!$E$13+1,1))-AVERAGE(OFFSET($H$3,0,0,'Données projet'!$E$13+1,1))</f>
        <v>407.76560346703042</v>
      </c>
      <c r="CZ161" s="59">
        <f t="shared" si="150"/>
        <v>319.35531375725202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183.81266335582725</v>
      </c>
      <c r="DG161" s="21">
        <f>EXP(-LN(2)/25)*DG160+(1-EXP(-LN(2)/25))/(LN(2)/25)*Calculateur!DB161*Calculateur!DD161*VLOOKUP('Données projet'!$B$13,Paramètres!$A$1:$I$89,3,0)*0.475*44/12</f>
        <v>0</v>
      </c>
      <c r="DH161" s="21">
        <f>EXP(-LN(2)/2)*DH160+(1-EXP(-LN(2)/2))/(LN(2)/2)*DB161*DE161*VLOOKUP('Données projet'!$B$13,Paramètres!$A$1:$I$89,3,0)*0.475*44/12</f>
        <v>0</v>
      </c>
      <c r="DI161" s="22">
        <f t="shared" si="175"/>
        <v>183.81266335582725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2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141.38280000000006</v>
      </c>
      <c r="D162" s="11">
        <f t="shared" si="140"/>
        <v>36.613604122020263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1374.0073300647182</v>
      </c>
      <c r="H162" s="67">
        <f t="shared" si="110"/>
        <v>566.67707051251875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0</v>
      </c>
      <c r="O162" s="13">
        <f>N162*VLOOKUP('Données projet'!$B$9,Paramètres!$A$1:$I$89,3,0)*VLOOKUP('Données projet'!$B$9,Paramètres!$A$1:$I$89,5,0)</f>
        <v>0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101.15586831191774</v>
      </c>
      <c r="T162" s="59">
        <f t="shared" si="142"/>
        <v>346.96347336689064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3.1667868385712739</v>
      </c>
      <c r="AA162" s="21">
        <f>EXP(-LN(2)/25)*AA161+(1-EXP(-LN(2)/25))/(LN(2)/25)*Calculateur!V162*Calculateur!X162*VLOOKUP('Données projet'!$B$9,Paramètres!$A$1:$I$89,3,0)*0.475*44/12</f>
        <v>0.4612523311635276</v>
      </c>
      <c r="AB162" s="21">
        <f>EXP(-LN(2)/2)*AB161+(1-EXP(-LN(2)/2))/(LN(2)/2)*V162*Y162*VLOOKUP('Données projet'!$B$9,Paramètres!$A$1:$I$89,3,0)*0.475*44/12</f>
        <v>0</v>
      </c>
      <c r="AC162" s="22">
        <f t="shared" si="163"/>
        <v>3.6280391697348016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0</v>
      </c>
      <c r="AJ162" s="13">
        <f>AI162*VLOOKUP('Données projet'!$B$10,Paramètres!$A$1:$I$89,3,0)*VLOOKUP('Données projet'!$B$10,Paramètres!$A$1:$I$89,5,0)</f>
        <v>0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101.15586831191774</v>
      </c>
      <c r="AO162" s="59">
        <f t="shared" si="144"/>
        <v>346.96347336689064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3.1667868385712739</v>
      </c>
      <c r="AV162" s="21">
        <f>EXP(-LN(2)/25)*AV161+(1-EXP(-LN(2)/25))/(LN(2)/25)*Calculateur!AQ162*Calculateur!AS162*VLOOKUP('Données projet'!$B$10,Paramètres!$A$1:$I$89,3,0)*0.475*44/12</f>
        <v>0.4612523311635276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3.6280391697348016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5.6843418860808015E-14</v>
      </c>
      <c r="BE162" s="13">
        <f>BD162*VLOOKUP('Données projet'!$B$11,Paramètres!$A$1:$I$89,3,0)*VLOOKUP('Données projet'!$B$11,Paramètres!$A$1:$I$89,5,0)</f>
        <v>5.1431925385259088E-14</v>
      </c>
      <c r="BF162" s="13">
        <f t="shared" si="167"/>
        <v>8.3482866290946129E-13</v>
      </c>
      <c r="BG162" s="20">
        <f t="shared" si="168"/>
        <v>1.5435705246133045E-12</v>
      </c>
      <c r="BH162" s="59">
        <f t="shared" si="116"/>
        <v>293.33333333333485</v>
      </c>
      <c r="BI162" s="59">
        <f ca="1">AVERAGE(OFFSET($BH$3,0,0,'Données projet'!$E$11+1,1))-AVERAGE(OFFSET($H$3,0,0,'Données projet'!$E$11+1,1))</f>
        <v>352.62747127358324</v>
      </c>
      <c r="BJ162" s="59">
        <f t="shared" si="146"/>
        <v>283.16932763435011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160.80117123446578</v>
      </c>
      <c r="BQ162" s="21">
        <f>EXP(-LN(2)/25)*BQ161+(1-EXP(-LN(2)/25))/(LN(2)/25)*Calculateur!BL162*Calculateur!BN162*VLOOKUP('Données projet'!$B$11,Paramètres!$A$1:$I$89,3,0)*0.475*44/12</f>
        <v>0</v>
      </c>
      <c r="BR162" s="21">
        <f>EXP(-LN(2)/2)*BR161+(1-EXP(-LN(2)/2))/(LN(2)/2)*BL162*BO162*VLOOKUP('Données projet'!$B$11,Paramètres!$A$1:$I$89,3,0)*0.475*44/12</f>
        <v>0</v>
      </c>
      <c r="BS162" s="22">
        <f t="shared" si="169"/>
        <v>160.80117123446578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5.6843418860808015E-14</v>
      </c>
      <c r="BZ162" s="13">
        <f>BY162*VLOOKUP('Données projet'!$B$12,Paramètres!$A$1:$I$89,3,0)*VLOOKUP('Données projet'!$B$12,Paramètres!$A$1:$I$89,5,0)</f>
        <v>5.9412741393316544E-14</v>
      </c>
      <c r="CA162" s="13">
        <f t="shared" si="170"/>
        <v>9.483138037075784E-13</v>
      </c>
      <c r="CB162" s="20">
        <f t="shared" si="171"/>
        <v>1.7551237327173918E-12</v>
      </c>
      <c r="CC162" s="59">
        <f t="shared" si="119"/>
        <v>293.33333333333508</v>
      </c>
      <c r="CD162" s="59">
        <f ca="1">AVERAGE(OFFSET($CC$3,0,0,'Données projet'!$E$12+1,1))-AVERAGE(OFFSET($H$3,0,0,'Données projet'!$E$12+1,1))</f>
        <v>423.49657671419374</v>
      </c>
      <c r="CE162" s="59">
        <f t="shared" si="148"/>
        <v>329.6783569381081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185.75307711567601</v>
      </c>
      <c r="CL162" s="21">
        <f>EXP(-LN(2)/25)*CL161+(1-EXP(-LN(2)/25))/(LN(2)/25)*Calculateur!CG162*Calculateur!CI162*VLOOKUP('Données projet'!$B$12,Paramètres!$A$1:$I$89,3,0)*0.475*44/12</f>
        <v>0</v>
      </c>
      <c r="CM162" s="21">
        <f>EXP(-LN(2)/2)*CM161+(1-EXP(-LN(2)/2))/(LN(2)/2)*CG162*CJ162*VLOOKUP('Données projet'!$B$12,Paramètres!$A$1:$I$89,3,0)*0.475*44/12</f>
        <v>0</v>
      </c>
      <c r="CN162" s="22">
        <f t="shared" si="172"/>
        <v>185.75307711567601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5.6843418860808015E-14</v>
      </c>
      <c r="CU162" s="17">
        <f>CT162*VLOOKUP('Données projet'!$B$13,Paramètres!$A$1:$I$89,3,0)*VLOOKUP('Données projet'!$B$13,Paramètres!$A$1:$I$89,5,0)</f>
        <v>5.7639226724859328E-14</v>
      </c>
      <c r="CV162" s="13">
        <f t="shared" si="173"/>
        <v>9.2325701996134334E-13</v>
      </c>
      <c r="CW162" s="20">
        <f t="shared" si="174"/>
        <v>1.708394296311803E-12</v>
      </c>
      <c r="CX162" s="59">
        <f t="shared" si="122"/>
        <v>293.33333333333502</v>
      </c>
      <c r="CY162" s="59">
        <f ca="1">AVERAGE(OFFSET($CX$3,0,0,'Données projet'!$E$13+1,1))-AVERAGE(OFFSET($H$3,0,0,'Données projet'!$E$13+1,1))</f>
        <v>407.76560346703042</v>
      </c>
      <c r="CZ162" s="59">
        <f t="shared" si="150"/>
        <v>319.35531375725202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180.20820914207371</v>
      </c>
      <c r="DG162" s="21">
        <f>EXP(-LN(2)/25)*DG161+(1-EXP(-LN(2)/25))/(LN(2)/25)*Calculateur!DB162*Calculateur!DD162*VLOOKUP('Données projet'!$B$13,Paramètres!$A$1:$I$89,3,0)*0.475*44/12</f>
        <v>0</v>
      </c>
      <c r="DH162" s="21">
        <f>EXP(-LN(2)/2)*DH161+(1-EXP(-LN(2)/2))/(LN(2)/2)*DB162*DE162*VLOOKUP('Données projet'!$B$13,Paramètres!$A$1:$I$89,3,0)*0.475*44/12</f>
        <v>0</v>
      </c>
      <c r="DI162" s="22">
        <f t="shared" si="175"/>
        <v>180.20820914207371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2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142.27200000000005</v>
      </c>
      <c r="D163" s="11">
        <f t="shared" si="140"/>
        <v>36.817000136193258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1382.4414045600888</v>
      </c>
      <c r="H163" s="67">
        <f t="shared" si="110"/>
        <v>568.58000857053662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0</v>
      </c>
      <c r="O163" s="13">
        <f>N163*VLOOKUP('Données projet'!$B$9,Paramètres!$A$1:$I$89,3,0)*VLOOKUP('Données projet'!$B$9,Paramètres!$A$1:$I$89,5,0)</f>
        <v>0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101.15586831191774</v>
      </c>
      <c r="T163" s="59">
        <f t="shared" si="142"/>
        <v>346.96347336689064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3.1046880802161381</v>
      </c>
      <c r="AA163" s="21">
        <f>EXP(-LN(2)/25)*AA162+(1-EXP(-LN(2)/25))/(LN(2)/25)*Calculateur!V163*Calculateur!X163*VLOOKUP('Données projet'!$B$9,Paramètres!$A$1:$I$89,3,0)*0.475*44/12</f>
        <v>0.44863936191165504</v>
      </c>
      <c r="AB163" s="21">
        <f>EXP(-LN(2)/2)*AB162+(1-EXP(-LN(2)/2))/(LN(2)/2)*V163*Y163*VLOOKUP('Données projet'!$B$9,Paramètres!$A$1:$I$89,3,0)*0.475*44/12</f>
        <v>0</v>
      </c>
      <c r="AC163" s="22">
        <f t="shared" si="163"/>
        <v>3.5533274421277929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0</v>
      </c>
      <c r="AJ163" s="13">
        <f>AI163*VLOOKUP('Données projet'!$B$10,Paramètres!$A$1:$I$89,3,0)*VLOOKUP('Données projet'!$B$10,Paramètres!$A$1:$I$89,5,0)</f>
        <v>0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101.15586831191774</v>
      </c>
      <c r="AO163" s="59">
        <f t="shared" si="144"/>
        <v>346.96347336689064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3.1046880802161381</v>
      </c>
      <c r="AV163" s="21">
        <f>EXP(-LN(2)/25)*AV162+(1-EXP(-LN(2)/25))/(LN(2)/25)*Calculateur!AQ163*Calculateur!AS163*VLOOKUP('Données projet'!$B$10,Paramètres!$A$1:$I$89,3,0)*0.475*44/12</f>
        <v>0.44863936191165504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3.5533274421277929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5.6843418860808015E-14</v>
      </c>
      <c r="BE163" s="13">
        <f>BD163*VLOOKUP('Données projet'!$B$11,Paramètres!$A$1:$I$89,3,0)*VLOOKUP('Données projet'!$B$11,Paramètres!$A$1:$I$89,5,0)</f>
        <v>5.1431925385259088E-14</v>
      </c>
      <c r="BF163" s="13">
        <f t="shared" si="167"/>
        <v>8.3482866290946129E-13</v>
      </c>
      <c r="BG163" s="20">
        <f t="shared" si="168"/>
        <v>1.5435705246133045E-12</v>
      </c>
      <c r="BH163" s="59">
        <f t="shared" si="116"/>
        <v>293.33333333333485</v>
      </c>
      <c r="BI163" s="59">
        <f ca="1">AVERAGE(OFFSET($BH$3,0,0,'Données projet'!$E$11+1,1))-AVERAGE(OFFSET($H$3,0,0,'Données projet'!$E$11+1,1))</f>
        <v>352.62747127358324</v>
      </c>
      <c r="BJ163" s="59">
        <f t="shared" si="146"/>
        <v>283.16932763435011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157.64795834558785</v>
      </c>
      <c r="BQ163" s="21">
        <f>EXP(-LN(2)/25)*BQ162+(1-EXP(-LN(2)/25))/(LN(2)/25)*Calculateur!BL163*Calculateur!BN163*VLOOKUP('Données projet'!$B$11,Paramètres!$A$1:$I$89,3,0)*0.475*44/12</f>
        <v>0</v>
      </c>
      <c r="BR163" s="21">
        <f>EXP(-LN(2)/2)*BR162+(1-EXP(-LN(2)/2))/(LN(2)/2)*BL163*BO163*VLOOKUP('Données projet'!$B$11,Paramètres!$A$1:$I$89,3,0)*0.475*44/12</f>
        <v>0</v>
      </c>
      <c r="BS163" s="22">
        <f t="shared" si="169"/>
        <v>157.64795834558785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5.6843418860808015E-14</v>
      </c>
      <c r="BZ163" s="13">
        <f>BY163*VLOOKUP('Données projet'!$B$12,Paramètres!$A$1:$I$89,3,0)*VLOOKUP('Données projet'!$B$12,Paramètres!$A$1:$I$89,5,0)</f>
        <v>5.9412741393316544E-14</v>
      </c>
      <c r="CA163" s="13">
        <f t="shared" si="170"/>
        <v>9.483138037075784E-13</v>
      </c>
      <c r="CB163" s="20">
        <f t="shared" si="171"/>
        <v>1.7551237327173918E-12</v>
      </c>
      <c r="CC163" s="59">
        <f t="shared" si="119"/>
        <v>293.33333333333508</v>
      </c>
      <c r="CD163" s="59">
        <f ca="1">AVERAGE(OFFSET($CC$3,0,0,'Données projet'!$E$12+1,1))-AVERAGE(OFFSET($H$3,0,0,'Données projet'!$E$12+1,1))</f>
        <v>423.49657671419374</v>
      </c>
      <c r="CE163" s="59">
        <f t="shared" si="148"/>
        <v>329.6783569381081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182.11057257162739</v>
      </c>
      <c r="CL163" s="21">
        <f>EXP(-LN(2)/25)*CL162+(1-EXP(-LN(2)/25))/(LN(2)/25)*Calculateur!CG163*Calculateur!CI163*VLOOKUP('Données projet'!$B$12,Paramètres!$A$1:$I$89,3,0)*0.475*44/12</f>
        <v>0</v>
      </c>
      <c r="CM163" s="21">
        <f>EXP(-LN(2)/2)*CM162+(1-EXP(-LN(2)/2))/(LN(2)/2)*CG163*CJ163*VLOOKUP('Données projet'!$B$12,Paramètres!$A$1:$I$89,3,0)*0.475*44/12</f>
        <v>0</v>
      </c>
      <c r="CN163" s="22">
        <f t="shared" si="172"/>
        <v>182.11057257162739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5.6843418860808015E-14</v>
      </c>
      <c r="CU163" s="17">
        <f>CT163*VLOOKUP('Données projet'!$B$13,Paramètres!$A$1:$I$89,3,0)*VLOOKUP('Données projet'!$B$13,Paramètres!$A$1:$I$89,5,0)</f>
        <v>5.7639226724859328E-14</v>
      </c>
      <c r="CV163" s="13">
        <f t="shared" si="173"/>
        <v>9.2325701996134334E-13</v>
      </c>
      <c r="CW163" s="20">
        <f t="shared" si="174"/>
        <v>1.708394296311803E-12</v>
      </c>
      <c r="CX163" s="59">
        <f t="shared" si="122"/>
        <v>293.33333333333502</v>
      </c>
      <c r="CY163" s="59">
        <f ca="1">AVERAGE(OFFSET($CX$3,0,0,'Données projet'!$E$13+1,1))-AVERAGE(OFFSET($H$3,0,0,'Données projet'!$E$13+1,1))</f>
        <v>407.76560346703042</v>
      </c>
      <c r="CZ163" s="59">
        <f t="shared" si="150"/>
        <v>319.35531375725202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176.67443607695191</v>
      </c>
      <c r="DG163" s="21">
        <f>EXP(-LN(2)/25)*DG162+(1-EXP(-LN(2)/25))/(LN(2)/25)*Calculateur!DB163*Calculateur!DD163*VLOOKUP('Données projet'!$B$13,Paramètres!$A$1:$I$89,3,0)*0.475*44/12</f>
        <v>0</v>
      </c>
      <c r="DH163" s="21">
        <f>EXP(-LN(2)/2)*DH162+(1-EXP(-LN(2)/2))/(LN(2)/2)*DB163*DE163*VLOOKUP('Données projet'!$B$13,Paramètres!$A$1:$I$89,3,0)*0.475*44/12</f>
        <v>0</v>
      </c>
      <c r="DI163" s="22">
        <f t="shared" si="175"/>
        <v>176.67443607695191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2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143.16120000000004</v>
      </c>
      <c r="D164" s="11">
        <f t="shared" si="140"/>
        <v>37.020248232558458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1390.8743372337849</v>
      </c>
      <c r="H164" s="67">
        <f t="shared" si="110"/>
        <v>570.48268900503945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0</v>
      </c>
      <c r="O164" s="13">
        <f>N164*VLOOKUP('Données projet'!$B$9,Paramètres!$A$1:$I$89,3,0)*VLOOKUP('Données projet'!$B$9,Paramètres!$A$1:$I$89,5,0)</f>
        <v>0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101.15586831191774</v>
      </c>
      <c r="T164" s="59">
        <f t="shared" si="142"/>
        <v>346.96347336689064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3.0438070406358437</v>
      </c>
      <c r="AA164" s="21">
        <f>EXP(-LN(2)/25)*AA163+(1-EXP(-LN(2)/25))/(LN(2)/25)*Calculateur!V164*Calculateur!X164*VLOOKUP('Données projet'!$B$9,Paramètres!$A$1:$I$89,3,0)*0.475*44/12</f>
        <v>0.43637129496726218</v>
      </c>
      <c r="AB164" s="21">
        <f>EXP(-LN(2)/2)*AB163+(1-EXP(-LN(2)/2))/(LN(2)/2)*V164*Y164*VLOOKUP('Données projet'!$B$9,Paramètres!$A$1:$I$89,3,0)*0.475*44/12</f>
        <v>0</v>
      </c>
      <c r="AC164" s="22">
        <f t="shared" si="163"/>
        <v>3.4801783356031057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0</v>
      </c>
      <c r="AJ164" s="13">
        <f>AI164*VLOOKUP('Données projet'!$B$10,Paramètres!$A$1:$I$89,3,0)*VLOOKUP('Données projet'!$B$10,Paramètres!$A$1:$I$89,5,0)</f>
        <v>0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101.15586831191774</v>
      </c>
      <c r="AO164" s="59">
        <f t="shared" si="144"/>
        <v>346.96347336689064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3.0438070406358437</v>
      </c>
      <c r="AV164" s="21">
        <f>EXP(-LN(2)/25)*AV163+(1-EXP(-LN(2)/25))/(LN(2)/25)*Calculateur!AQ164*Calculateur!AS164*VLOOKUP('Données projet'!$B$10,Paramètres!$A$1:$I$89,3,0)*0.475*44/12</f>
        <v>0.43637129496726218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3.4801783356031057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5.6843418860808015E-14</v>
      </c>
      <c r="BE164" s="13">
        <f>BD164*VLOOKUP('Données projet'!$B$11,Paramètres!$A$1:$I$89,3,0)*VLOOKUP('Données projet'!$B$11,Paramètres!$A$1:$I$89,5,0)</f>
        <v>5.1431925385259088E-14</v>
      </c>
      <c r="BF164" s="13">
        <f t="shared" si="167"/>
        <v>8.3482866290946129E-13</v>
      </c>
      <c r="BG164" s="20">
        <f t="shared" si="168"/>
        <v>1.5435705246133045E-12</v>
      </c>
      <c r="BH164" s="59">
        <f t="shared" si="116"/>
        <v>293.33333333333485</v>
      </c>
      <c r="BI164" s="59">
        <f ca="1">AVERAGE(OFFSET($BH$3,0,0,'Données projet'!$E$11+1,1))-AVERAGE(OFFSET($H$3,0,0,'Données projet'!$E$11+1,1))</f>
        <v>352.62747127358324</v>
      </c>
      <c r="BJ164" s="59">
        <f t="shared" si="146"/>
        <v>283.16932763435011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154.55657803819088</v>
      </c>
      <c r="BQ164" s="21">
        <f>EXP(-LN(2)/25)*BQ163+(1-EXP(-LN(2)/25))/(LN(2)/25)*Calculateur!BL164*Calculateur!BN164*VLOOKUP('Données projet'!$B$11,Paramètres!$A$1:$I$89,3,0)*0.475*44/12</f>
        <v>0</v>
      </c>
      <c r="BR164" s="21">
        <f>EXP(-LN(2)/2)*BR163+(1-EXP(-LN(2)/2))/(LN(2)/2)*BL164*BO164*VLOOKUP('Données projet'!$B$11,Paramètres!$A$1:$I$89,3,0)*0.475*44/12</f>
        <v>0</v>
      </c>
      <c r="BS164" s="22">
        <f t="shared" si="169"/>
        <v>154.55657803819088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5.6843418860808015E-14</v>
      </c>
      <c r="BZ164" s="13">
        <f>BY164*VLOOKUP('Données projet'!$B$12,Paramètres!$A$1:$I$89,3,0)*VLOOKUP('Données projet'!$B$12,Paramètres!$A$1:$I$89,5,0)</f>
        <v>5.9412741393316544E-14</v>
      </c>
      <c r="CA164" s="13">
        <f t="shared" si="170"/>
        <v>9.483138037075784E-13</v>
      </c>
      <c r="CB164" s="20">
        <f t="shared" si="171"/>
        <v>1.7551237327173918E-12</v>
      </c>
      <c r="CC164" s="59">
        <f t="shared" si="119"/>
        <v>293.33333333333508</v>
      </c>
      <c r="CD164" s="59">
        <f ca="1">AVERAGE(OFFSET($CC$3,0,0,'Données projet'!$E$12+1,1))-AVERAGE(OFFSET($H$3,0,0,'Données projet'!$E$12+1,1))</f>
        <v>423.49657671419374</v>
      </c>
      <c r="CE164" s="59">
        <f t="shared" si="148"/>
        <v>329.6783569381081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178.53949531997915</v>
      </c>
      <c r="CL164" s="21">
        <f>EXP(-LN(2)/25)*CL163+(1-EXP(-LN(2)/25))/(LN(2)/25)*Calculateur!CG164*Calculateur!CI164*VLOOKUP('Données projet'!$B$12,Paramètres!$A$1:$I$89,3,0)*0.475*44/12</f>
        <v>0</v>
      </c>
      <c r="CM164" s="21">
        <f>EXP(-LN(2)/2)*CM163+(1-EXP(-LN(2)/2))/(LN(2)/2)*CG164*CJ164*VLOOKUP('Données projet'!$B$12,Paramètres!$A$1:$I$89,3,0)*0.475*44/12</f>
        <v>0</v>
      </c>
      <c r="CN164" s="22">
        <f t="shared" si="172"/>
        <v>178.53949531997915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5.6843418860808015E-14</v>
      </c>
      <c r="CU164" s="17">
        <f>CT164*VLOOKUP('Données projet'!$B$13,Paramètres!$A$1:$I$89,3,0)*VLOOKUP('Données projet'!$B$13,Paramètres!$A$1:$I$89,5,0)</f>
        <v>5.7639226724859328E-14</v>
      </c>
      <c r="CV164" s="13">
        <f t="shared" si="173"/>
        <v>9.2325701996134334E-13</v>
      </c>
      <c r="CW164" s="20">
        <f t="shared" si="174"/>
        <v>1.708394296311803E-12</v>
      </c>
      <c r="CX164" s="59">
        <f t="shared" si="122"/>
        <v>293.33333333333502</v>
      </c>
      <c r="CY164" s="59">
        <f ca="1">AVERAGE(OFFSET($CX$3,0,0,'Données projet'!$E$13+1,1))-AVERAGE(OFFSET($H$3,0,0,'Données projet'!$E$13+1,1))</f>
        <v>407.76560346703042</v>
      </c>
      <c r="CZ164" s="59">
        <f t="shared" si="150"/>
        <v>319.35531375725202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173.2099581462484</v>
      </c>
      <c r="DG164" s="21">
        <f>EXP(-LN(2)/25)*DG163+(1-EXP(-LN(2)/25))/(LN(2)/25)*Calculateur!DB164*Calculateur!DD164*VLOOKUP('Données projet'!$B$13,Paramètres!$A$1:$I$89,3,0)*0.475*44/12</f>
        <v>0</v>
      </c>
      <c r="DH164" s="21">
        <f>EXP(-LN(2)/2)*DH163+(1-EXP(-LN(2)/2))/(LN(2)/2)*DB164*DE164*VLOOKUP('Données projet'!$B$13,Paramètres!$A$1:$I$89,3,0)*0.475*44/12</f>
        <v>0</v>
      </c>
      <c r="DI164" s="22">
        <f t="shared" si="175"/>
        <v>173.2099581462484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2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144.05040000000002</v>
      </c>
      <c r="D165" s="11">
        <f t="shared" si="140"/>
        <v>37.223349436444416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1399.3061360006238</v>
      </c>
      <c r="H165" s="67">
        <f t="shared" si="110"/>
        <v>572.38511360180746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0</v>
      </c>
      <c r="O165" s="13">
        <f>N165*VLOOKUP('Données projet'!$B$9,Paramètres!$A$1:$I$89,3,0)*VLOOKUP('Données projet'!$B$9,Paramètres!$A$1:$I$89,5,0)</f>
        <v>0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101.15586831191774</v>
      </c>
      <c r="T165" s="59">
        <f t="shared" si="142"/>
        <v>346.96347336689064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2.9841198411079515</v>
      </c>
      <c r="AA165" s="21">
        <f>EXP(-LN(2)/25)*AA164+(1-EXP(-LN(2)/25))/(LN(2)/25)*Calculateur!V165*Calculateur!X165*VLOOKUP('Données projet'!$B$9,Paramètres!$A$1:$I$89,3,0)*0.475*44/12</f>
        <v>0.42443869895861336</v>
      </c>
      <c r="AB165" s="21">
        <f>EXP(-LN(2)/2)*AB164+(1-EXP(-LN(2)/2))/(LN(2)/2)*V165*Y165*VLOOKUP('Données projet'!$B$9,Paramètres!$A$1:$I$89,3,0)*0.475*44/12</f>
        <v>0</v>
      </c>
      <c r="AC165" s="22">
        <f t="shared" si="163"/>
        <v>3.408558540066565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0</v>
      </c>
      <c r="AJ165" s="13">
        <f>AI165*VLOOKUP('Données projet'!$B$10,Paramètres!$A$1:$I$89,3,0)*VLOOKUP('Données projet'!$B$10,Paramètres!$A$1:$I$89,5,0)</f>
        <v>0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101.15586831191774</v>
      </c>
      <c r="AO165" s="59">
        <f t="shared" si="144"/>
        <v>346.96347336689064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2.9841198411079515</v>
      </c>
      <c r="AV165" s="21">
        <f>EXP(-LN(2)/25)*AV164+(1-EXP(-LN(2)/25))/(LN(2)/25)*Calculateur!AQ165*Calculateur!AS165*VLOOKUP('Données projet'!$B$10,Paramètres!$A$1:$I$89,3,0)*0.475*44/12</f>
        <v>0.42443869895861336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3.408558540066565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5.6843418860808015E-14</v>
      </c>
      <c r="BE165" s="13">
        <f>BD165*VLOOKUP('Données projet'!$B$11,Paramètres!$A$1:$I$89,3,0)*VLOOKUP('Données projet'!$B$11,Paramètres!$A$1:$I$89,5,0)</f>
        <v>5.1431925385259088E-14</v>
      </c>
      <c r="BF165" s="13">
        <f t="shared" si="167"/>
        <v>8.3482866290946129E-13</v>
      </c>
      <c r="BG165" s="20">
        <f t="shared" si="168"/>
        <v>1.5435705246133045E-12</v>
      </c>
      <c r="BH165" s="59">
        <f t="shared" si="116"/>
        <v>293.33333333333485</v>
      </c>
      <c r="BI165" s="59">
        <f ca="1">AVERAGE(OFFSET($BH$3,0,0,'Données projet'!$E$11+1,1))-AVERAGE(OFFSET($H$3,0,0,'Données projet'!$E$11+1,1))</f>
        <v>352.62747127358324</v>
      </c>
      <c r="BJ165" s="59">
        <f t="shared" si="146"/>
        <v>283.16932763435011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151.52581781306614</v>
      </c>
      <c r="BQ165" s="21">
        <f>EXP(-LN(2)/25)*BQ164+(1-EXP(-LN(2)/25))/(LN(2)/25)*Calculateur!BL165*Calculateur!BN165*VLOOKUP('Données projet'!$B$11,Paramètres!$A$1:$I$89,3,0)*0.475*44/12</f>
        <v>0</v>
      </c>
      <c r="BR165" s="21">
        <f>EXP(-LN(2)/2)*BR164+(1-EXP(-LN(2)/2))/(LN(2)/2)*BL165*BO165*VLOOKUP('Données projet'!$B$11,Paramètres!$A$1:$I$89,3,0)*0.475*44/12</f>
        <v>0</v>
      </c>
      <c r="BS165" s="22">
        <f t="shared" si="169"/>
        <v>151.52581781306614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5.6843418860808015E-14</v>
      </c>
      <c r="BZ165" s="13">
        <f>BY165*VLOOKUP('Données projet'!$B$12,Paramètres!$A$1:$I$89,3,0)*VLOOKUP('Données projet'!$B$12,Paramètres!$A$1:$I$89,5,0)</f>
        <v>5.9412741393316544E-14</v>
      </c>
      <c r="CA165" s="13">
        <f t="shared" si="170"/>
        <v>9.483138037075784E-13</v>
      </c>
      <c r="CB165" s="20">
        <f t="shared" si="171"/>
        <v>1.7551237327173918E-12</v>
      </c>
      <c r="CC165" s="59">
        <f t="shared" si="119"/>
        <v>293.33333333333508</v>
      </c>
      <c r="CD165" s="59">
        <f ca="1">AVERAGE(OFFSET($CC$3,0,0,'Données projet'!$E$12+1,1))-AVERAGE(OFFSET($H$3,0,0,'Données projet'!$E$12+1,1))</f>
        <v>423.49657671419374</v>
      </c>
      <c r="CE165" s="59">
        <f t="shared" si="148"/>
        <v>329.6783569381081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175.03844471509368</v>
      </c>
      <c r="CL165" s="21">
        <f>EXP(-LN(2)/25)*CL164+(1-EXP(-LN(2)/25))/(LN(2)/25)*Calculateur!CG165*Calculateur!CI165*VLOOKUP('Données projet'!$B$12,Paramètres!$A$1:$I$89,3,0)*0.475*44/12</f>
        <v>0</v>
      </c>
      <c r="CM165" s="21">
        <f>EXP(-LN(2)/2)*CM164+(1-EXP(-LN(2)/2))/(LN(2)/2)*CG165*CJ165*VLOOKUP('Données projet'!$B$12,Paramètres!$A$1:$I$89,3,0)*0.475*44/12</f>
        <v>0</v>
      </c>
      <c r="CN165" s="22">
        <f t="shared" si="172"/>
        <v>175.03844471509368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5.6843418860808015E-14</v>
      </c>
      <c r="CU165" s="17">
        <f>CT165*VLOOKUP('Données projet'!$B$13,Paramètres!$A$1:$I$89,3,0)*VLOOKUP('Données projet'!$B$13,Paramètres!$A$1:$I$89,5,0)</f>
        <v>5.7639226724859328E-14</v>
      </c>
      <c r="CV165" s="13">
        <f t="shared" si="173"/>
        <v>9.2325701996134334E-13</v>
      </c>
      <c r="CW165" s="20">
        <f t="shared" si="174"/>
        <v>1.708394296311803E-12</v>
      </c>
      <c r="CX165" s="59">
        <f t="shared" si="122"/>
        <v>293.33333333333502</v>
      </c>
      <c r="CY165" s="59">
        <f ca="1">AVERAGE(OFFSET($CX$3,0,0,'Données projet'!$E$13+1,1))-AVERAGE(OFFSET($H$3,0,0,'Données projet'!$E$13+1,1))</f>
        <v>407.76560346703042</v>
      </c>
      <c r="CZ165" s="59">
        <f t="shared" si="150"/>
        <v>319.35531375725202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169.81341651464311</v>
      </c>
      <c r="DG165" s="21">
        <f>EXP(-LN(2)/25)*DG164+(1-EXP(-LN(2)/25))/(LN(2)/25)*Calculateur!DB165*Calculateur!DD165*VLOOKUP('Données projet'!$B$13,Paramètres!$A$1:$I$89,3,0)*0.475*44/12</f>
        <v>0</v>
      </c>
      <c r="DH165" s="21">
        <f>EXP(-LN(2)/2)*DH164+(1-EXP(-LN(2)/2))/(LN(2)/2)*DB165*DE165*VLOOKUP('Données projet'!$B$13,Paramètres!$A$1:$I$89,3,0)*0.475*44/12</f>
        <v>0</v>
      </c>
      <c r="DI165" s="22">
        <f t="shared" si="175"/>
        <v>169.81341651464311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2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144.93960000000001</v>
      </c>
      <c r="D166" s="11">
        <f t="shared" si="140"/>
        <v>37.426304759789126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1407.7368086720564</v>
      </c>
      <c r="H166" s="67">
        <f t="shared" si="110"/>
        <v>574.28728412329951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0</v>
      </c>
      <c r="O166" s="13">
        <f>N166*VLOOKUP('Données projet'!$B$9,Paramètres!$A$1:$I$89,3,0)*VLOOKUP('Données projet'!$B$9,Paramètres!$A$1:$I$89,5,0)</f>
        <v>0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101.15586831191774</v>
      </c>
      <c r="T166" s="59">
        <f t="shared" si="142"/>
        <v>346.96347336689064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2.9256030711572043</v>
      </c>
      <c r="AA166" s="21">
        <f>EXP(-LN(2)/25)*AA165+(1-EXP(-LN(2)/25))/(LN(2)/25)*Calculateur!V166*Calculateur!X166*VLOOKUP('Données projet'!$B$9,Paramètres!$A$1:$I$89,3,0)*0.475*44/12</f>
        <v>0.41283240041532898</v>
      </c>
      <c r="AB166" s="21">
        <f>EXP(-LN(2)/2)*AB165+(1-EXP(-LN(2)/2))/(LN(2)/2)*V166*Y166*VLOOKUP('Données projet'!$B$9,Paramètres!$A$1:$I$89,3,0)*0.475*44/12</f>
        <v>0</v>
      </c>
      <c r="AC166" s="22">
        <f t="shared" si="163"/>
        <v>3.3384354715725335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0</v>
      </c>
      <c r="AJ166" s="13">
        <f>AI166*VLOOKUP('Données projet'!$B$10,Paramètres!$A$1:$I$89,3,0)*VLOOKUP('Données projet'!$B$10,Paramètres!$A$1:$I$89,5,0)</f>
        <v>0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101.15586831191774</v>
      </c>
      <c r="AO166" s="59">
        <f t="shared" si="144"/>
        <v>346.96347336689064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2.9256030711572043</v>
      </c>
      <c r="AV166" s="21">
        <f>EXP(-LN(2)/25)*AV165+(1-EXP(-LN(2)/25))/(LN(2)/25)*Calculateur!AQ166*Calculateur!AS166*VLOOKUP('Données projet'!$B$10,Paramètres!$A$1:$I$89,3,0)*0.475*44/12</f>
        <v>0.41283240041532898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3.3384354715725335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5.6843418860808015E-14</v>
      </c>
      <c r="BE166" s="13">
        <f>BD166*VLOOKUP('Données projet'!$B$11,Paramètres!$A$1:$I$89,3,0)*VLOOKUP('Données projet'!$B$11,Paramètres!$A$1:$I$89,5,0)</f>
        <v>5.1431925385259088E-14</v>
      </c>
      <c r="BF166" s="13">
        <f t="shared" si="167"/>
        <v>8.3482866290946129E-13</v>
      </c>
      <c r="BG166" s="20">
        <f t="shared" si="168"/>
        <v>1.5435705246133045E-12</v>
      </c>
      <c r="BH166" s="59">
        <f t="shared" si="116"/>
        <v>293.33333333333485</v>
      </c>
      <c r="BI166" s="59">
        <f ca="1">AVERAGE(OFFSET($BH$3,0,0,'Données projet'!$E$11+1,1))-AVERAGE(OFFSET($H$3,0,0,'Données projet'!$E$11+1,1))</f>
        <v>352.62747127358324</v>
      </c>
      <c r="BJ166" s="59">
        <f t="shared" si="146"/>
        <v>283.16932763435011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148.55448894737489</v>
      </c>
      <c r="BQ166" s="21">
        <f>EXP(-LN(2)/25)*BQ165+(1-EXP(-LN(2)/25))/(LN(2)/25)*Calculateur!BL166*Calculateur!BN166*VLOOKUP('Données projet'!$B$11,Paramètres!$A$1:$I$89,3,0)*0.475*44/12</f>
        <v>0</v>
      </c>
      <c r="BR166" s="21">
        <f>EXP(-LN(2)/2)*BR165+(1-EXP(-LN(2)/2))/(LN(2)/2)*BL166*BO166*VLOOKUP('Données projet'!$B$11,Paramètres!$A$1:$I$89,3,0)*0.475*44/12</f>
        <v>0</v>
      </c>
      <c r="BS166" s="22">
        <f t="shared" si="169"/>
        <v>148.55448894737489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5.6843418860808015E-14</v>
      </c>
      <c r="BZ166" s="13">
        <f>BY166*VLOOKUP('Données projet'!$B$12,Paramètres!$A$1:$I$89,3,0)*VLOOKUP('Données projet'!$B$12,Paramètres!$A$1:$I$89,5,0)</f>
        <v>5.9412741393316544E-14</v>
      </c>
      <c r="CA166" s="13">
        <f t="shared" si="170"/>
        <v>9.483138037075784E-13</v>
      </c>
      <c r="CB166" s="20">
        <f t="shared" si="171"/>
        <v>1.7551237327173918E-12</v>
      </c>
      <c r="CC166" s="59">
        <f t="shared" si="119"/>
        <v>293.33333333333508</v>
      </c>
      <c r="CD166" s="59">
        <f ca="1">AVERAGE(OFFSET($CC$3,0,0,'Données projet'!$E$12+1,1))-AVERAGE(OFFSET($H$3,0,0,'Données projet'!$E$12+1,1))</f>
        <v>423.49657671419374</v>
      </c>
      <c r="CE166" s="59">
        <f t="shared" si="148"/>
        <v>329.6783569381081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171.60604757714</v>
      </c>
      <c r="CL166" s="21">
        <f>EXP(-LN(2)/25)*CL165+(1-EXP(-LN(2)/25))/(LN(2)/25)*Calculateur!CG166*Calculateur!CI166*VLOOKUP('Données projet'!$B$12,Paramètres!$A$1:$I$89,3,0)*0.475*44/12</f>
        <v>0</v>
      </c>
      <c r="CM166" s="21">
        <f>EXP(-LN(2)/2)*CM165+(1-EXP(-LN(2)/2))/(LN(2)/2)*CG166*CJ166*VLOOKUP('Données projet'!$B$12,Paramètres!$A$1:$I$89,3,0)*0.475*44/12</f>
        <v>0</v>
      </c>
      <c r="CN166" s="22">
        <f t="shared" si="172"/>
        <v>171.60604757714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5.6843418860808015E-14</v>
      </c>
      <c r="CU166" s="17">
        <f>CT166*VLOOKUP('Données projet'!$B$13,Paramètres!$A$1:$I$89,3,0)*VLOOKUP('Données projet'!$B$13,Paramètres!$A$1:$I$89,5,0)</f>
        <v>5.7639226724859328E-14</v>
      </c>
      <c r="CV166" s="13">
        <f t="shared" si="173"/>
        <v>9.2325701996134334E-13</v>
      </c>
      <c r="CW166" s="20">
        <f t="shared" si="174"/>
        <v>1.708394296311803E-12</v>
      </c>
      <c r="CX166" s="59">
        <f t="shared" si="122"/>
        <v>293.33333333333502</v>
      </c>
      <c r="CY166" s="59">
        <f ca="1">AVERAGE(OFFSET($CX$3,0,0,'Données projet'!$E$13+1,1))-AVERAGE(OFFSET($H$3,0,0,'Données projet'!$E$13+1,1))</f>
        <v>407.76560346703042</v>
      </c>
      <c r="CZ166" s="59">
        <f t="shared" si="150"/>
        <v>319.35531375725202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166.48347899274776</v>
      </c>
      <c r="DG166" s="21">
        <f>EXP(-LN(2)/25)*DG165+(1-EXP(-LN(2)/25))/(LN(2)/25)*Calculateur!DB166*Calculateur!DD166*VLOOKUP('Données projet'!$B$13,Paramètres!$A$1:$I$89,3,0)*0.475*44/12</f>
        <v>0</v>
      </c>
      <c r="DH166" s="21">
        <f>EXP(-LN(2)/2)*DH165+(1-EXP(-LN(2)/2))/(LN(2)/2)*DB166*DE166*VLOOKUP('Données projet'!$B$13,Paramètres!$A$1:$I$89,3,0)*0.475*44/12</f>
        <v>0</v>
      </c>
      <c r="DI166" s="22">
        <f t="shared" si="175"/>
        <v>166.48347899274776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2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145.8288</v>
      </c>
      <c r="D167" s="11">
        <f t="shared" si="140"/>
        <v>37.629115201395898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1416.1663629581437</v>
      </c>
      <c r="H167" s="67">
        <f t="shared" si="110"/>
        <v>576.18920230909794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0</v>
      </c>
      <c r="O167" s="13">
        <f>N167*VLOOKUP('Données projet'!$B$9,Paramètres!$A$1:$I$89,3,0)*VLOOKUP('Données projet'!$B$9,Paramètres!$A$1:$I$89,5,0)</f>
        <v>0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101.15586831191774</v>
      </c>
      <c r="T167" s="59">
        <f t="shared" si="142"/>
        <v>346.96347336689064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2.8682337793734858</v>
      </c>
      <c r="AA167" s="21">
        <f>EXP(-LN(2)/25)*AA166+(1-EXP(-LN(2)/25))/(LN(2)/25)*Calculateur!V167*Calculateur!X167*VLOOKUP('Données projet'!$B$9,Paramètres!$A$1:$I$89,3,0)*0.475*44/12</f>
        <v>0.40154347671605939</v>
      </c>
      <c r="AB167" s="21">
        <f>EXP(-LN(2)/2)*AB166+(1-EXP(-LN(2)/2))/(LN(2)/2)*V167*Y167*VLOOKUP('Données projet'!$B$9,Paramètres!$A$1:$I$89,3,0)*0.475*44/12</f>
        <v>0</v>
      </c>
      <c r="AC167" s="22">
        <f t="shared" si="163"/>
        <v>3.2697772560895451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0</v>
      </c>
      <c r="AJ167" s="13">
        <f>AI167*VLOOKUP('Données projet'!$B$10,Paramètres!$A$1:$I$89,3,0)*VLOOKUP('Données projet'!$B$10,Paramètres!$A$1:$I$89,5,0)</f>
        <v>0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101.15586831191774</v>
      </c>
      <c r="AO167" s="59">
        <f t="shared" si="144"/>
        <v>346.96347336689064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2.8682337793734858</v>
      </c>
      <c r="AV167" s="21">
        <f>EXP(-LN(2)/25)*AV166+(1-EXP(-LN(2)/25))/(LN(2)/25)*Calculateur!AQ167*Calculateur!AS167*VLOOKUP('Données projet'!$B$10,Paramètres!$A$1:$I$89,3,0)*0.475*44/12</f>
        <v>0.40154347671605939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3.2697772560895451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5.6843418860808015E-14</v>
      </c>
      <c r="BE167" s="13">
        <f>BD167*VLOOKUP('Données projet'!$B$11,Paramètres!$A$1:$I$89,3,0)*VLOOKUP('Données projet'!$B$11,Paramètres!$A$1:$I$89,5,0)</f>
        <v>5.1431925385259088E-14</v>
      </c>
      <c r="BF167" s="13">
        <f t="shared" si="167"/>
        <v>8.3482866290946129E-13</v>
      </c>
      <c r="BG167" s="20">
        <f t="shared" si="168"/>
        <v>1.5435705246133045E-12</v>
      </c>
      <c r="BH167" s="59">
        <f t="shared" si="116"/>
        <v>293.33333333333485</v>
      </c>
      <c r="BI167" s="59">
        <f ca="1">AVERAGE(OFFSET($BH$3,0,0,'Données projet'!$E$11+1,1))-AVERAGE(OFFSET($H$3,0,0,'Données projet'!$E$11+1,1))</f>
        <v>352.62747127358324</v>
      </c>
      <c r="BJ167" s="59">
        <f t="shared" si="146"/>
        <v>283.16932763435011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145.6414260284082</v>
      </c>
      <c r="BQ167" s="21">
        <f>EXP(-LN(2)/25)*BQ166+(1-EXP(-LN(2)/25))/(LN(2)/25)*Calculateur!BL167*Calculateur!BN167*VLOOKUP('Données projet'!$B$11,Paramètres!$A$1:$I$89,3,0)*0.475*44/12</f>
        <v>0</v>
      </c>
      <c r="BR167" s="21">
        <f>EXP(-LN(2)/2)*BR166+(1-EXP(-LN(2)/2))/(LN(2)/2)*BL167*BO167*VLOOKUP('Données projet'!$B$11,Paramètres!$A$1:$I$89,3,0)*0.475*44/12</f>
        <v>0</v>
      </c>
      <c r="BS167" s="22">
        <f t="shared" si="169"/>
        <v>145.6414260284082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5.6843418860808015E-14</v>
      </c>
      <c r="BZ167" s="13">
        <f>BY167*VLOOKUP('Données projet'!$B$12,Paramètres!$A$1:$I$89,3,0)*VLOOKUP('Données projet'!$B$12,Paramètres!$A$1:$I$89,5,0)</f>
        <v>5.9412741393316544E-14</v>
      </c>
      <c r="CA167" s="13">
        <f t="shared" si="170"/>
        <v>9.483138037075784E-13</v>
      </c>
      <c r="CB167" s="20">
        <f t="shared" si="171"/>
        <v>1.7551237327173918E-12</v>
      </c>
      <c r="CC167" s="59">
        <f t="shared" si="119"/>
        <v>293.33333333333508</v>
      </c>
      <c r="CD167" s="59">
        <f ca="1">AVERAGE(OFFSET($CC$3,0,0,'Données projet'!$E$12+1,1))-AVERAGE(OFFSET($H$3,0,0,'Données projet'!$E$12+1,1))</f>
        <v>423.49657671419374</v>
      </c>
      <c r="CE167" s="59">
        <f t="shared" si="148"/>
        <v>329.6783569381081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168.24095765350606</v>
      </c>
      <c r="CL167" s="21">
        <f>EXP(-LN(2)/25)*CL166+(1-EXP(-LN(2)/25))/(LN(2)/25)*Calculateur!CG167*Calculateur!CI167*VLOOKUP('Données projet'!$B$12,Paramètres!$A$1:$I$89,3,0)*0.475*44/12</f>
        <v>0</v>
      </c>
      <c r="CM167" s="21">
        <f>EXP(-LN(2)/2)*CM166+(1-EXP(-LN(2)/2))/(LN(2)/2)*CG167*CJ167*VLOOKUP('Données projet'!$B$12,Paramètres!$A$1:$I$89,3,0)*0.475*44/12</f>
        <v>0</v>
      </c>
      <c r="CN167" s="22">
        <f t="shared" si="172"/>
        <v>168.24095765350606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5.6843418860808015E-14</v>
      </c>
      <c r="CU167" s="17">
        <f>CT167*VLOOKUP('Données projet'!$B$13,Paramètres!$A$1:$I$89,3,0)*VLOOKUP('Données projet'!$B$13,Paramètres!$A$1:$I$89,5,0)</f>
        <v>5.7639226724859328E-14</v>
      </c>
      <c r="CV167" s="13">
        <f t="shared" si="173"/>
        <v>9.2325701996134334E-13</v>
      </c>
      <c r="CW167" s="20">
        <f t="shared" si="174"/>
        <v>1.708394296311803E-12</v>
      </c>
      <c r="CX167" s="59">
        <f t="shared" si="122"/>
        <v>293.33333333333502</v>
      </c>
      <c r="CY167" s="59">
        <f ca="1">AVERAGE(OFFSET($CX$3,0,0,'Données projet'!$E$13+1,1))-AVERAGE(OFFSET($H$3,0,0,'Données projet'!$E$13+1,1))</f>
        <v>407.76560346703042</v>
      </c>
      <c r="CZ167" s="59">
        <f t="shared" si="150"/>
        <v>319.35531375725202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163.21883951459543</v>
      </c>
      <c r="DG167" s="21">
        <f>EXP(-LN(2)/25)*DG166+(1-EXP(-LN(2)/25))/(LN(2)/25)*Calculateur!DB167*Calculateur!DD167*VLOOKUP('Données projet'!$B$13,Paramètres!$A$1:$I$89,3,0)*0.475*44/12</f>
        <v>0</v>
      </c>
      <c r="DH167" s="21">
        <f>EXP(-LN(2)/2)*DH166+(1-EXP(-LN(2)/2))/(LN(2)/2)*DB167*DE167*VLOOKUP('Données projet'!$B$13,Paramètres!$A$1:$I$89,3,0)*0.475*44/12</f>
        <v>0</v>
      </c>
      <c r="DI167" s="22">
        <f t="shared" si="175"/>
        <v>163.21883951459543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2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146.71799999999999</v>
      </c>
      <c r="D168" s="11">
        <f t="shared" si="140"/>
        <v>37.831781747183037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1424.594806469483</v>
      </c>
      <c r="H168" s="67">
        <f t="shared" si="110"/>
        <v>578.09086987634385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0</v>
      </c>
      <c r="O168" s="13">
        <f>N168*VLOOKUP('Données projet'!$B$9,Paramètres!$A$1:$I$89,3,0)*VLOOKUP('Données projet'!$B$9,Paramètres!$A$1:$I$89,5,0)</f>
        <v>0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101.15586831191774</v>
      </c>
      <c r="T168" s="59">
        <f t="shared" si="142"/>
        <v>346.96347336689064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2.8119894644098333</v>
      </c>
      <c r="AA168" s="21">
        <f>EXP(-LN(2)/25)*AA167+(1-EXP(-LN(2)/25))/(LN(2)/25)*Calculateur!V168*Calculateur!X168*VLOOKUP('Données projet'!$B$9,Paramètres!$A$1:$I$89,3,0)*0.475*44/12</f>
        <v>0.39056324922900504</v>
      </c>
      <c r="AB168" s="21">
        <f>EXP(-LN(2)/2)*AB167+(1-EXP(-LN(2)/2))/(LN(2)/2)*V168*Y168*VLOOKUP('Données projet'!$B$9,Paramètres!$A$1:$I$89,3,0)*0.475*44/12</f>
        <v>0</v>
      </c>
      <c r="AC168" s="22">
        <f t="shared" si="163"/>
        <v>3.2025527136388385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0</v>
      </c>
      <c r="AJ168" s="13">
        <f>AI168*VLOOKUP('Données projet'!$B$10,Paramètres!$A$1:$I$89,3,0)*VLOOKUP('Données projet'!$B$10,Paramètres!$A$1:$I$89,5,0)</f>
        <v>0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101.15586831191774</v>
      </c>
      <c r="AO168" s="59">
        <f t="shared" si="144"/>
        <v>346.96347336689064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2.8119894644098333</v>
      </c>
      <c r="AV168" s="21">
        <f>EXP(-LN(2)/25)*AV167+(1-EXP(-LN(2)/25))/(LN(2)/25)*Calculateur!AQ168*Calculateur!AS168*VLOOKUP('Données projet'!$B$10,Paramètres!$A$1:$I$89,3,0)*0.475*44/12</f>
        <v>0.39056324922900504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3.2025527136388385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5.6843418860808015E-14</v>
      </c>
      <c r="BE168" s="13">
        <f>BD168*VLOOKUP('Données projet'!$B$11,Paramètres!$A$1:$I$89,3,0)*VLOOKUP('Données projet'!$B$11,Paramètres!$A$1:$I$89,5,0)</f>
        <v>5.1431925385259088E-14</v>
      </c>
      <c r="BF168" s="13">
        <f t="shared" si="167"/>
        <v>8.3482866290946129E-13</v>
      </c>
      <c r="BG168" s="20">
        <f t="shared" si="168"/>
        <v>1.5435705246133045E-12</v>
      </c>
      <c r="BH168" s="59">
        <f t="shared" si="116"/>
        <v>293.33333333333485</v>
      </c>
      <c r="BI168" s="59">
        <f ca="1">AVERAGE(OFFSET($BH$3,0,0,'Données projet'!$E$11+1,1))-AVERAGE(OFFSET($H$3,0,0,'Données projet'!$E$11+1,1))</f>
        <v>352.62747127358324</v>
      </c>
      <c r="BJ168" s="59">
        <f t="shared" si="146"/>
        <v>283.16932763435011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142.78548649648951</v>
      </c>
      <c r="BQ168" s="21">
        <f>EXP(-LN(2)/25)*BQ167+(1-EXP(-LN(2)/25))/(LN(2)/25)*Calculateur!BL168*Calculateur!BN168*VLOOKUP('Données projet'!$B$11,Paramètres!$A$1:$I$89,3,0)*0.475*44/12</f>
        <v>0</v>
      </c>
      <c r="BR168" s="21">
        <f>EXP(-LN(2)/2)*BR167+(1-EXP(-LN(2)/2))/(LN(2)/2)*BL168*BO168*VLOOKUP('Données projet'!$B$11,Paramètres!$A$1:$I$89,3,0)*0.475*44/12</f>
        <v>0</v>
      </c>
      <c r="BS168" s="22">
        <f t="shared" si="169"/>
        <v>142.78548649648951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5.6843418860808015E-14</v>
      </c>
      <c r="BZ168" s="13">
        <f>BY168*VLOOKUP('Données projet'!$B$12,Paramètres!$A$1:$I$89,3,0)*VLOOKUP('Données projet'!$B$12,Paramètres!$A$1:$I$89,5,0)</f>
        <v>5.9412741393316544E-14</v>
      </c>
      <c r="CA168" s="13">
        <f t="shared" si="170"/>
        <v>9.483138037075784E-13</v>
      </c>
      <c r="CB168" s="20">
        <f t="shared" si="171"/>
        <v>1.7551237327173918E-12</v>
      </c>
      <c r="CC168" s="59">
        <f t="shared" si="119"/>
        <v>293.33333333333508</v>
      </c>
      <c r="CD168" s="59">
        <f ca="1">AVERAGE(OFFSET($CC$3,0,0,'Données projet'!$E$12+1,1))-AVERAGE(OFFSET($H$3,0,0,'Données projet'!$E$12+1,1))</f>
        <v>423.49657671419374</v>
      </c>
      <c r="CE168" s="59">
        <f t="shared" si="148"/>
        <v>329.6783569381081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164.94185509077241</v>
      </c>
      <c r="CL168" s="21">
        <f>EXP(-LN(2)/25)*CL167+(1-EXP(-LN(2)/25))/(LN(2)/25)*Calculateur!CG168*Calculateur!CI168*VLOOKUP('Données projet'!$B$12,Paramètres!$A$1:$I$89,3,0)*0.475*44/12</f>
        <v>0</v>
      </c>
      <c r="CM168" s="21">
        <f>EXP(-LN(2)/2)*CM167+(1-EXP(-LN(2)/2))/(LN(2)/2)*CG168*CJ168*VLOOKUP('Données projet'!$B$12,Paramètres!$A$1:$I$89,3,0)*0.475*44/12</f>
        <v>0</v>
      </c>
      <c r="CN168" s="22">
        <f t="shared" si="172"/>
        <v>164.94185509077241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5.6843418860808015E-14</v>
      </c>
      <c r="CU168" s="17">
        <f>CT168*VLOOKUP('Données projet'!$B$13,Paramètres!$A$1:$I$89,3,0)*VLOOKUP('Données projet'!$B$13,Paramètres!$A$1:$I$89,5,0)</f>
        <v>5.7639226724859328E-14</v>
      </c>
      <c r="CV168" s="13">
        <f t="shared" si="173"/>
        <v>9.2325701996134334E-13</v>
      </c>
      <c r="CW168" s="20">
        <f t="shared" si="174"/>
        <v>1.708394296311803E-12</v>
      </c>
      <c r="CX168" s="59">
        <f t="shared" si="122"/>
        <v>293.33333333333502</v>
      </c>
      <c r="CY168" s="59">
        <f ca="1">AVERAGE(OFFSET($CX$3,0,0,'Données projet'!$E$13+1,1))-AVERAGE(OFFSET($H$3,0,0,'Données projet'!$E$13+1,1))</f>
        <v>407.76560346703042</v>
      </c>
      <c r="CZ168" s="59">
        <f t="shared" si="150"/>
        <v>319.35531375725202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160.01821762537622</v>
      </c>
      <c r="DG168" s="21">
        <f>EXP(-LN(2)/25)*DG167+(1-EXP(-LN(2)/25))/(LN(2)/25)*Calculateur!DB168*Calculateur!DD168*VLOOKUP('Données projet'!$B$13,Paramètres!$A$1:$I$89,3,0)*0.475*44/12</f>
        <v>0</v>
      </c>
      <c r="DH168" s="21">
        <f>EXP(-LN(2)/2)*DH167+(1-EXP(-LN(2)/2))/(LN(2)/2)*DB168*DE168*VLOOKUP('Données projet'!$B$13,Paramètres!$A$1:$I$89,3,0)*0.475*44/12</f>
        <v>0</v>
      </c>
      <c r="DI168" s="22">
        <f t="shared" si="175"/>
        <v>160.01821762537622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2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147.60719999999998</v>
      </c>
      <c r="D169" s="11">
        <f t="shared" si="140"/>
        <v>38.034305370426985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1433.0221467190852</v>
      </c>
      <c r="H169" s="67">
        <f t="shared" si="110"/>
        <v>579.99228852016029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0</v>
      </c>
      <c r="O169" s="13">
        <f>N169*VLOOKUP('Données projet'!$B$9,Paramètres!$A$1:$I$89,3,0)*VLOOKUP('Données projet'!$B$9,Paramètres!$A$1:$I$89,5,0)</f>
        <v>0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101.15586831191774</v>
      </c>
      <c r="T169" s="59">
        <f t="shared" si="142"/>
        <v>346.96347336689064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2.7568480661569734</v>
      </c>
      <c r="AA169" s="21">
        <f>EXP(-LN(2)/25)*AA168+(1-EXP(-LN(2)/25))/(LN(2)/25)*Calculateur!V169*Calculateur!X169*VLOOKUP('Données projet'!$B$9,Paramètres!$A$1:$I$89,3,0)*0.475*44/12</f>
        <v>0.37988327664000926</v>
      </c>
      <c r="AB169" s="21">
        <f>EXP(-LN(2)/2)*AB168+(1-EXP(-LN(2)/2))/(LN(2)/2)*V169*Y169*VLOOKUP('Données projet'!$B$9,Paramètres!$A$1:$I$89,3,0)*0.475*44/12</f>
        <v>0</v>
      </c>
      <c r="AC169" s="22">
        <f t="shared" si="163"/>
        <v>3.1367313427969825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0</v>
      </c>
      <c r="AJ169" s="13">
        <f>AI169*VLOOKUP('Données projet'!$B$10,Paramètres!$A$1:$I$89,3,0)*VLOOKUP('Données projet'!$B$10,Paramètres!$A$1:$I$89,5,0)</f>
        <v>0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101.15586831191774</v>
      </c>
      <c r="AO169" s="59">
        <f t="shared" si="144"/>
        <v>346.96347336689064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2.7568480661569734</v>
      </c>
      <c r="AV169" s="21">
        <f>EXP(-LN(2)/25)*AV168+(1-EXP(-LN(2)/25))/(LN(2)/25)*Calculateur!AQ169*Calculateur!AS169*VLOOKUP('Données projet'!$B$10,Paramètres!$A$1:$I$89,3,0)*0.475*44/12</f>
        <v>0.37988327664000926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3.1367313427969825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5.6843418860808015E-14</v>
      </c>
      <c r="BE169" s="13">
        <f>BD169*VLOOKUP('Données projet'!$B$11,Paramètres!$A$1:$I$89,3,0)*VLOOKUP('Données projet'!$B$11,Paramètres!$A$1:$I$89,5,0)</f>
        <v>5.1431925385259088E-14</v>
      </c>
      <c r="BF169" s="13">
        <f t="shared" si="167"/>
        <v>8.3482866290946129E-13</v>
      </c>
      <c r="BG169" s="20">
        <f t="shared" si="168"/>
        <v>1.5435705246133045E-12</v>
      </c>
      <c r="BH169" s="59">
        <f t="shared" si="116"/>
        <v>293.33333333333485</v>
      </c>
      <c r="BI169" s="59">
        <f ca="1">AVERAGE(OFFSET($BH$3,0,0,'Données projet'!$E$11+1,1))-AVERAGE(OFFSET($H$3,0,0,'Données projet'!$E$11+1,1))</f>
        <v>352.62747127358324</v>
      </c>
      <c r="BJ169" s="59">
        <f t="shared" si="146"/>
        <v>283.16932763435011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139.98555019684065</v>
      </c>
      <c r="BQ169" s="21">
        <f>EXP(-LN(2)/25)*BQ168+(1-EXP(-LN(2)/25))/(LN(2)/25)*Calculateur!BL169*Calculateur!BN169*VLOOKUP('Données projet'!$B$11,Paramètres!$A$1:$I$89,3,0)*0.475*44/12</f>
        <v>0</v>
      </c>
      <c r="BR169" s="21">
        <f>EXP(-LN(2)/2)*BR168+(1-EXP(-LN(2)/2))/(LN(2)/2)*BL169*BO169*VLOOKUP('Données projet'!$B$11,Paramètres!$A$1:$I$89,3,0)*0.475*44/12</f>
        <v>0</v>
      </c>
      <c r="BS169" s="22">
        <f t="shared" si="169"/>
        <v>139.98555019684065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5.6843418860808015E-14</v>
      </c>
      <c r="BZ169" s="13">
        <f>BY169*VLOOKUP('Données projet'!$B$12,Paramètres!$A$1:$I$89,3,0)*VLOOKUP('Données projet'!$B$12,Paramètres!$A$1:$I$89,5,0)</f>
        <v>5.9412741393316544E-14</v>
      </c>
      <c r="CA169" s="13">
        <f t="shared" si="170"/>
        <v>9.483138037075784E-13</v>
      </c>
      <c r="CB169" s="20">
        <f t="shared" si="171"/>
        <v>1.7551237327173918E-12</v>
      </c>
      <c r="CC169" s="59">
        <f t="shared" si="119"/>
        <v>293.33333333333508</v>
      </c>
      <c r="CD169" s="59">
        <f ca="1">AVERAGE(OFFSET($CC$3,0,0,'Données projet'!$E$12+1,1))-AVERAGE(OFFSET($H$3,0,0,'Données projet'!$E$12+1,1))</f>
        <v>423.49657671419374</v>
      </c>
      <c r="CE169" s="59">
        <f t="shared" si="148"/>
        <v>329.6783569381081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161.70744591704008</v>
      </c>
      <c r="CL169" s="21">
        <f>EXP(-LN(2)/25)*CL168+(1-EXP(-LN(2)/25))/(LN(2)/25)*Calculateur!CG169*Calculateur!CI169*VLOOKUP('Données projet'!$B$12,Paramètres!$A$1:$I$89,3,0)*0.475*44/12</f>
        <v>0</v>
      </c>
      <c r="CM169" s="21">
        <f>EXP(-LN(2)/2)*CM168+(1-EXP(-LN(2)/2))/(LN(2)/2)*CG169*CJ169*VLOOKUP('Données projet'!$B$12,Paramètres!$A$1:$I$89,3,0)*0.475*44/12</f>
        <v>0</v>
      </c>
      <c r="CN169" s="22">
        <f t="shared" si="172"/>
        <v>161.70744591704008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5.6843418860808015E-14</v>
      </c>
      <c r="CU169" s="17">
        <f>CT169*VLOOKUP('Données projet'!$B$13,Paramètres!$A$1:$I$89,3,0)*VLOOKUP('Données projet'!$B$13,Paramètres!$A$1:$I$89,5,0)</f>
        <v>5.7639226724859328E-14</v>
      </c>
      <c r="CV169" s="13">
        <f t="shared" si="173"/>
        <v>9.2325701996134334E-13</v>
      </c>
      <c r="CW169" s="20">
        <f t="shared" si="174"/>
        <v>1.708394296311803E-12</v>
      </c>
      <c r="CX169" s="59">
        <f t="shared" si="122"/>
        <v>293.33333333333502</v>
      </c>
      <c r="CY169" s="59">
        <f ca="1">AVERAGE(OFFSET($CX$3,0,0,'Données projet'!$E$13+1,1))-AVERAGE(OFFSET($H$3,0,0,'Données projet'!$E$13+1,1))</f>
        <v>407.76560346703042</v>
      </c>
      <c r="CZ169" s="59">
        <f t="shared" si="150"/>
        <v>319.35531375725202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156.88035797921799</v>
      </c>
      <c r="DG169" s="21">
        <f>EXP(-LN(2)/25)*DG168+(1-EXP(-LN(2)/25))/(LN(2)/25)*Calculateur!DB169*Calculateur!DD169*VLOOKUP('Données projet'!$B$13,Paramètres!$A$1:$I$89,3,0)*0.475*44/12</f>
        <v>0</v>
      </c>
      <c r="DH169" s="21">
        <f>EXP(-LN(2)/2)*DH168+(1-EXP(-LN(2)/2))/(LN(2)/2)*DB169*DE169*VLOOKUP('Données projet'!$B$13,Paramètres!$A$1:$I$89,3,0)*0.475*44/12</f>
        <v>0</v>
      </c>
      <c r="DI169" s="22">
        <f t="shared" si="175"/>
        <v>156.88035797921799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2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148.49639999999997</v>
      </c>
      <c r="D170" s="11">
        <f t="shared" si="140"/>
        <v>38.23668703199958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1441.4483911242071</v>
      </c>
      <c r="H170" s="67">
        <f t="shared" si="110"/>
        <v>581.89345991406594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0</v>
      </c>
      <c r="O170" s="13">
        <f>N170*VLOOKUP('Données projet'!$B$9,Paramètres!$A$1:$I$89,3,0)*VLOOKUP('Données projet'!$B$9,Paramètres!$A$1:$I$89,5,0)</f>
        <v>0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101.15586831191774</v>
      </c>
      <c r="T170" s="59">
        <f t="shared" si="142"/>
        <v>346.96347336689064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2.7027879570909201</v>
      </c>
      <c r="AA170" s="21">
        <f>EXP(-LN(2)/25)*AA169+(1-EXP(-LN(2)/25))/(LN(2)/25)*Calculateur!V170*Calculateur!X170*VLOOKUP('Données projet'!$B$9,Paramètres!$A$1:$I$89,3,0)*0.475*44/12</f>
        <v>0.3694953484630949</v>
      </c>
      <c r="AB170" s="21">
        <f>EXP(-LN(2)/2)*AB169+(1-EXP(-LN(2)/2))/(LN(2)/2)*V170*Y170*VLOOKUP('Données projet'!$B$9,Paramètres!$A$1:$I$89,3,0)*0.475*44/12</f>
        <v>0</v>
      </c>
      <c r="AC170" s="22">
        <f t="shared" si="163"/>
        <v>3.0722833055540151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0</v>
      </c>
      <c r="AJ170" s="13">
        <f>AI170*VLOOKUP('Données projet'!$B$10,Paramètres!$A$1:$I$89,3,0)*VLOOKUP('Données projet'!$B$10,Paramètres!$A$1:$I$89,5,0)</f>
        <v>0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101.15586831191774</v>
      </c>
      <c r="AO170" s="59">
        <f t="shared" si="144"/>
        <v>346.96347336689064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2.7027879570909201</v>
      </c>
      <c r="AV170" s="21">
        <f>EXP(-LN(2)/25)*AV169+(1-EXP(-LN(2)/25))/(LN(2)/25)*Calculateur!AQ170*Calculateur!AS170*VLOOKUP('Données projet'!$B$10,Paramètres!$A$1:$I$89,3,0)*0.475*44/12</f>
        <v>0.3694953484630949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3.0722833055540151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5.6843418860808015E-14</v>
      </c>
      <c r="BE170" s="13">
        <f>BD170*VLOOKUP('Données projet'!$B$11,Paramètres!$A$1:$I$89,3,0)*VLOOKUP('Données projet'!$B$11,Paramètres!$A$1:$I$89,5,0)</f>
        <v>5.1431925385259088E-14</v>
      </c>
      <c r="BF170" s="13">
        <f t="shared" si="167"/>
        <v>8.3482866290946129E-13</v>
      </c>
      <c r="BG170" s="20">
        <f t="shared" si="168"/>
        <v>1.5435705246133045E-12</v>
      </c>
      <c r="BH170" s="59">
        <f t="shared" si="116"/>
        <v>293.33333333333485</v>
      </c>
      <c r="BI170" s="59">
        <f ca="1">AVERAGE(OFFSET($BH$3,0,0,'Données projet'!$E$11+1,1))-AVERAGE(OFFSET($H$3,0,0,'Données projet'!$E$11+1,1))</f>
        <v>352.62747127358324</v>
      </c>
      <c r="BJ170" s="59">
        <f t="shared" si="146"/>
        <v>283.16932763435011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137.24051894023538</v>
      </c>
      <c r="BQ170" s="21">
        <f>EXP(-LN(2)/25)*BQ169+(1-EXP(-LN(2)/25))/(LN(2)/25)*Calculateur!BL170*Calculateur!BN170*VLOOKUP('Données projet'!$B$11,Paramètres!$A$1:$I$89,3,0)*0.475*44/12</f>
        <v>0</v>
      </c>
      <c r="BR170" s="21">
        <f>EXP(-LN(2)/2)*BR169+(1-EXP(-LN(2)/2))/(LN(2)/2)*BL170*BO170*VLOOKUP('Données projet'!$B$11,Paramètres!$A$1:$I$89,3,0)*0.475*44/12</f>
        <v>0</v>
      </c>
      <c r="BS170" s="22">
        <f t="shared" si="169"/>
        <v>137.24051894023538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5.6843418860808015E-14</v>
      </c>
      <c r="BZ170" s="13">
        <f>BY170*VLOOKUP('Données projet'!$B$12,Paramètres!$A$1:$I$89,3,0)*VLOOKUP('Données projet'!$B$12,Paramètres!$A$1:$I$89,5,0)</f>
        <v>5.9412741393316544E-14</v>
      </c>
      <c r="CA170" s="13">
        <f t="shared" si="170"/>
        <v>9.483138037075784E-13</v>
      </c>
      <c r="CB170" s="20">
        <f t="shared" si="171"/>
        <v>1.7551237327173918E-12</v>
      </c>
      <c r="CC170" s="59">
        <f t="shared" si="119"/>
        <v>293.33333333333508</v>
      </c>
      <c r="CD170" s="59">
        <f ca="1">AVERAGE(OFFSET($CC$3,0,0,'Données projet'!$E$12+1,1))-AVERAGE(OFFSET($H$3,0,0,'Données projet'!$E$12+1,1))</f>
        <v>423.49657671419374</v>
      </c>
      <c r="CE170" s="59">
        <f t="shared" si="148"/>
        <v>329.6783569381081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158.53646153440985</v>
      </c>
      <c r="CL170" s="21">
        <f>EXP(-LN(2)/25)*CL169+(1-EXP(-LN(2)/25))/(LN(2)/25)*Calculateur!CG170*Calculateur!CI170*VLOOKUP('Données projet'!$B$12,Paramètres!$A$1:$I$89,3,0)*0.475*44/12</f>
        <v>0</v>
      </c>
      <c r="CM170" s="21">
        <f>EXP(-LN(2)/2)*CM169+(1-EXP(-LN(2)/2))/(LN(2)/2)*CG170*CJ170*VLOOKUP('Données projet'!$B$12,Paramètres!$A$1:$I$89,3,0)*0.475*44/12</f>
        <v>0</v>
      </c>
      <c r="CN170" s="22">
        <f t="shared" si="172"/>
        <v>158.53646153440985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5.6843418860808015E-14</v>
      </c>
      <c r="CU170" s="17">
        <f>CT170*VLOOKUP('Données projet'!$B$13,Paramètres!$A$1:$I$89,3,0)*VLOOKUP('Données projet'!$B$13,Paramètres!$A$1:$I$89,5,0)</f>
        <v>5.7639226724859328E-14</v>
      </c>
      <c r="CV170" s="13">
        <f t="shared" si="173"/>
        <v>9.2325701996134334E-13</v>
      </c>
      <c r="CW170" s="20">
        <f t="shared" si="174"/>
        <v>1.708394296311803E-12</v>
      </c>
      <c r="CX170" s="59">
        <f t="shared" si="122"/>
        <v>293.33333333333502</v>
      </c>
      <c r="CY170" s="59">
        <f ca="1">AVERAGE(OFFSET($CX$3,0,0,'Données projet'!$E$13+1,1))-AVERAGE(OFFSET($H$3,0,0,'Données projet'!$E$13+1,1))</f>
        <v>407.76560346703042</v>
      </c>
      <c r="CZ170" s="59">
        <f t="shared" si="150"/>
        <v>319.35531375725202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153.80402984681552</v>
      </c>
      <c r="DG170" s="21">
        <f>EXP(-LN(2)/25)*DG169+(1-EXP(-LN(2)/25))/(LN(2)/25)*Calculateur!DB170*Calculateur!DD170*VLOOKUP('Données projet'!$B$13,Paramètres!$A$1:$I$89,3,0)*0.475*44/12</f>
        <v>0</v>
      </c>
      <c r="DH170" s="21">
        <f>EXP(-LN(2)/2)*DH169+(1-EXP(-LN(2)/2))/(LN(2)/2)*DB170*DE170*VLOOKUP('Données projet'!$B$13,Paramètres!$A$1:$I$89,3,0)*0.475*44/12</f>
        <v>0</v>
      </c>
      <c r="DI170" s="22">
        <f t="shared" si="175"/>
        <v>153.80402984681552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2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149.38559999999995</v>
      </c>
      <c r="D171" s="11">
        <f t="shared" si="140"/>
        <v>38.438927680599591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1449.8735470081367</v>
      </c>
      <c r="H171" s="67">
        <f t="shared" si="110"/>
        <v>583.79438571037758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0</v>
      </c>
      <c r="O171" s="13">
        <f>N171*VLOOKUP('Données projet'!$B$9,Paramètres!$A$1:$I$89,3,0)*VLOOKUP('Données projet'!$B$9,Paramètres!$A$1:$I$89,5,0)</f>
        <v>0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101.15586831191774</v>
      </c>
      <c r="T171" s="59">
        <f t="shared" si="142"/>
        <v>346.96347336689064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2.6497879337902415</v>
      </c>
      <c r="AA171" s="21">
        <f>EXP(-LN(2)/25)*AA170+(1-EXP(-LN(2)/25))/(LN(2)/25)*Calculateur!V171*Calculateur!X171*VLOOKUP('Données projet'!$B$9,Paramètres!$A$1:$I$89,3,0)*0.475*44/12</f>
        <v>0.35939147872845567</v>
      </c>
      <c r="AB171" s="21">
        <f>EXP(-LN(2)/2)*AB170+(1-EXP(-LN(2)/2))/(LN(2)/2)*V171*Y171*VLOOKUP('Données projet'!$B$9,Paramètres!$A$1:$I$89,3,0)*0.475*44/12</f>
        <v>0</v>
      </c>
      <c r="AC171" s="22">
        <f t="shared" si="163"/>
        <v>3.009179412518697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0</v>
      </c>
      <c r="AJ171" s="13">
        <f>AI171*VLOOKUP('Données projet'!$B$10,Paramètres!$A$1:$I$89,3,0)*VLOOKUP('Données projet'!$B$10,Paramètres!$A$1:$I$89,5,0)</f>
        <v>0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101.15586831191774</v>
      </c>
      <c r="AO171" s="59">
        <f t="shared" si="144"/>
        <v>346.96347336689064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2.6497879337902415</v>
      </c>
      <c r="AV171" s="21">
        <f>EXP(-LN(2)/25)*AV170+(1-EXP(-LN(2)/25))/(LN(2)/25)*Calculateur!AQ171*Calculateur!AS171*VLOOKUP('Données projet'!$B$10,Paramètres!$A$1:$I$89,3,0)*0.475*44/12</f>
        <v>0.35939147872845567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3.009179412518697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5.6843418860808015E-14</v>
      </c>
      <c r="BE171" s="13">
        <f>BD171*VLOOKUP('Données projet'!$B$11,Paramètres!$A$1:$I$89,3,0)*VLOOKUP('Données projet'!$B$11,Paramètres!$A$1:$I$89,5,0)</f>
        <v>5.1431925385259088E-14</v>
      </c>
      <c r="BF171" s="13">
        <f t="shared" si="167"/>
        <v>8.3482866290946129E-13</v>
      </c>
      <c r="BG171" s="20">
        <f t="shared" si="168"/>
        <v>1.5435705246133045E-12</v>
      </c>
      <c r="BH171" s="59">
        <f t="shared" si="116"/>
        <v>293.33333333333485</v>
      </c>
      <c r="BI171" s="59">
        <f ca="1">AVERAGE(OFFSET($BH$3,0,0,'Données projet'!$E$11+1,1))-AVERAGE(OFFSET($H$3,0,0,'Données projet'!$E$11+1,1))</f>
        <v>352.62747127358324</v>
      </c>
      <c r="BJ171" s="59">
        <f t="shared" si="146"/>
        <v>283.16932763435011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134.5493160722684</v>
      </c>
      <c r="BQ171" s="21">
        <f>EXP(-LN(2)/25)*BQ170+(1-EXP(-LN(2)/25))/(LN(2)/25)*Calculateur!BL171*Calculateur!BN171*VLOOKUP('Données projet'!$B$11,Paramètres!$A$1:$I$89,3,0)*0.475*44/12</f>
        <v>0</v>
      </c>
      <c r="BR171" s="21">
        <f>EXP(-LN(2)/2)*BR170+(1-EXP(-LN(2)/2))/(LN(2)/2)*BL171*BO171*VLOOKUP('Données projet'!$B$11,Paramètres!$A$1:$I$89,3,0)*0.475*44/12</f>
        <v>0</v>
      </c>
      <c r="BS171" s="22">
        <f t="shared" si="169"/>
        <v>134.5493160722684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5.6843418860808015E-14</v>
      </c>
      <c r="BZ171" s="13">
        <f>BY171*VLOOKUP('Données projet'!$B$12,Paramètres!$A$1:$I$89,3,0)*VLOOKUP('Données projet'!$B$12,Paramètres!$A$1:$I$89,5,0)</f>
        <v>5.9412741393316544E-14</v>
      </c>
      <c r="CA171" s="13">
        <f t="shared" si="170"/>
        <v>9.483138037075784E-13</v>
      </c>
      <c r="CB171" s="20">
        <f t="shared" si="171"/>
        <v>1.7551237327173918E-12</v>
      </c>
      <c r="CC171" s="59">
        <f t="shared" si="119"/>
        <v>293.33333333333508</v>
      </c>
      <c r="CD171" s="59">
        <f ca="1">AVERAGE(OFFSET($CC$3,0,0,'Données projet'!$E$12+1,1))-AVERAGE(OFFSET($H$3,0,0,'Données projet'!$E$12+1,1))</f>
        <v>423.49657671419374</v>
      </c>
      <c r="CE171" s="59">
        <f t="shared" si="148"/>
        <v>329.6783569381081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155.42765822141351</v>
      </c>
      <c r="CL171" s="21">
        <f>EXP(-LN(2)/25)*CL170+(1-EXP(-LN(2)/25))/(LN(2)/25)*Calculateur!CG171*Calculateur!CI171*VLOOKUP('Données projet'!$B$12,Paramètres!$A$1:$I$89,3,0)*0.475*44/12</f>
        <v>0</v>
      </c>
      <c r="CM171" s="21">
        <f>EXP(-LN(2)/2)*CM170+(1-EXP(-LN(2)/2))/(LN(2)/2)*CG171*CJ171*VLOOKUP('Données projet'!$B$12,Paramètres!$A$1:$I$89,3,0)*0.475*44/12</f>
        <v>0</v>
      </c>
      <c r="CN171" s="22">
        <f t="shared" si="172"/>
        <v>155.42765822141351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5.6843418860808015E-14</v>
      </c>
      <c r="CU171" s="17">
        <f>CT171*VLOOKUP('Données projet'!$B$13,Paramètres!$A$1:$I$89,3,0)*VLOOKUP('Données projet'!$B$13,Paramètres!$A$1:$I$89,5,0)</f>
        <v>5.7639226724859328E-14</v>
      </c>
      <c r="CV171" s="13">
        <f t="shared" si="173"/>
        <v>9.2325701996134334E-13</v>
      </c>
      <c r="CW171" s="20">
        <f t="shared" si="174"/>
        <v>1.708394296311803E-12</v>
      </c>
      <c r="CX171" s="59">
        <f t="shared" si="122"/>
        <v>293.33333333333502</v>
      </c>
      <c r="CY171" s="59">
        <f ca="1">AVERAGE(OFFSET($CX$3,0,0,'Données projet'!$E$13+1,1))-AVERAGE(OFFSET($H$3,0,0,'Données projet'!$E$13+1,1))</f>
        <v>407.76560346703042</v>
      </c>
      <c r="CZ171" s="59">
        <f t="shared" si="150"/>
        <v>319.35531375725202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150.7880266327146</v>
      </c>
      <c r="DG171" s="21">
        <f>EXP(-LN(2)/25)*DG170+(1-EXP(-LN(2)/25))/(LN(2)/25)*Calculateur!DB171*Calculateur!DD171*VLOOKUP('Données projet'!$B$13,Paramètres!$A$1:$I$89,3,0)*0.475*44/12</f>
        <v>0</v>
      </c>
      <c r="DH171" s="21">
        <f>EXP(-LN(2)/2)*DH170+(1-EXP(-LN(2)/2))/(LN(2)/2)*DB171*DE171*VLOOKUP('Données projet'!$B$13,Paramètres!$A$1:$I$89,3,0)*0.475*44/12</f>
        <v>0</v>
      </c>
      <c r="DI171" s="22">
        <f t="shared" si="175"/>
        <v>150.7880266327146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2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150.27479999999994</v>
      </c>
      <c r="D172" s="11">
        <f t="shared" si="140"/>
        <v>38.641028252978323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1458.2976216019376</v>
      </c>
      <c r="H172" s="67">
        <f t="shared" si="110"/>
        <v>585.69506754060376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0</v>
      </c>
      <c r="O172" s="13">
        <f>N172*VLOOKUP('Données projet'!$B$9,Paramètres!$A$1:$I$89,3,0)*VLOOKUP('Données projet'!$B$9,Paramètres!$A$1:$I$89,5,0)</f>
        <v>0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101.15586831191774</v>
      </c>
      <c r="T172" s="59">
        <f t="shared" si="142"/>
        <v>346.96347336689064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2.597827208619667</v>
      </c>
      <c r="AA172" s="21">
        <f>EXP(-LN(2)/25)*AA171+(1-EXP(-LN(2)/25))/(LN(2)/25)*Calculateur!V172*Calculateur!X172*VLOOKUP('Données projet'!$B$9,Paramètres!$A$1:$I$89,3,0)*0.475*44/12</f>
        <v>0.34956389984304959</v>
      </c>
      <c r="AB172" s="21">
        <f>EXP(-LN(2)/2)*AB171+(1-EXP(-LN(2)/2))/(LN(2)/2)*V172*Y172*VLOOKUP('Données projet'!$B$9,Paramètres!$A$1:$I$89,3,0)*0.475*44/12</f>
        <v>0</v>
      </c>
      <c r="AC172" s="22">
        <f t="shared" si="163"/>
        <v>2.9473911084627167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0</v>
      </c>
      <c r="AJ172" s="13">
        <f>AI172*VLOOKUP('Données projet'!$B$10,Paramètres!$A$1:$I$89,3,0)*VLOOKUP('Données projet'!$B$10,Paramètres!$A$1:$I$89,5,0)</f>
        <v>0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101.15586831191774</v>
      </c>
      <c r="AO172" s="59">
        <f t="shared" si="144"/>
        <v>346.96347336689064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2.597827208619667</v>
      </c>
      <c r="AV172" s="21">
        <f>EXP(-LN(2)/25)*AV171+(1-EXP(-LN(2)/25))/(LN(2)/25)*Calculateur!AQ172*Calculateur!AS172*VLOOKUP('Données projet'!$B$10,Paramètres!$A$1:$I$89,3,0)*0.475*44/12</f>
        <v>0.34956389984304959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2.9473911084627167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5.6843418860808015E-14</v>
      </c>
      <c r="BE172" s="13">
        <f>BD172*VLOOKUP('Données projet'!$B$11,Paramètres!$A$1:$I$89,3,0)*VLOOKUP('Données projet'!$B$11,Paramètres!$A$1:$I$89,5,0)</f>
        <v>5.1431925385259088E-14</v>
      </c>
      <c r="BF172" s="13">
        <f t="shared" si="167"/>
        <v>8.3482866290946129E-13</v>
      </c>
      <c r="BG172" s="20">
        <f t="shared" si="168"/>
        <v>1.5435705246133045E-12</v>
      </c>
      <c r="BH172" s="59">
        <f t="shared" si="116"/>
        <v>293.33333333333485</v>
      </c>
      <c r="BI172" s="59">
        <f ca="1">AVERAGE(OFFSET($BH$3,0,0,'Données projet'!$E$11+1,1))-AVERAGE(OFFSET($H$3,0,0,'Données projet'!$E$11+1,1))</f>
        <v>352.62747127358324</v>
      </c>
      <c r="BJ172" s="59">
        <f t="shared" si="146"/>
        <v>283.16932763435011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131.91088605107058</v>
      </c>
      <c r="BQ172" s="21">
        <f>EXP(-LN(2)/25)*BQ171+(1-EXP(-LN(2)/25))/(LN(2)/25)*Calculateur!BL172*Calculateur!BN172*VLOOKUP('Données projet'!$B$11,Paramètres!$A$1:$I$89,3,0)*0.475*44/12</f>
        <v>0</v>
      </c>
      <c r="BR172" s="21">
        <f>EXP(-LN(2)/2)*BR171+(1-EXP(-LN(2)/2))/(LN(2)/2)*BL172*BO172*VLOOKUP('Données projet'!$B$11,Paramètres!$A$1:$I$89,3,0)*0.475*44/12</f>
        <v>0</v>
      </c>
      <c r="BS172" s="22">
        <f t="shared" si="169"/>
        <v>131.91088605107058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5.6843418860808015E-14</v>
      </c>
      <c r="BZ172" s="13">
        <f>BY172*VLOOKUP('Données projet'!$B$12,Paramètres!$A$1:$I$89,3,0)*VLOOKUP('Données projet'!$B$12,Paramètres!$A$1:$I$89,5,0)</f>
        <v>5.9412741393316544E-14</v>
      </c>
      <c r="CA172" s="13">
        <f t="shared" si="170"/>
        <v>9.483138037075784E-13</v>
      </c>
      <c r="CB172" s="20">
        <f t="shared" si="171"/>
        <v>1.7551237327173918E-12</v>
      </c>
      <c r="CC172" s="59">
        <f t="shared" si="119"/>
        <v>293.33333333333508</v>
      </c>
      <c r="CD172" s="59">
        <f ca="1">AVERAGE(OFFSET($CC$3,0,0,'Données projet'!$E$12+1,1))-AVERAGE(OFFSET($H$3,0,0,'Données projet'!$E$12+1,1))</f>
        <v>423.49657671419374</v>
      </c>
      <c r="CE172" s="59">
        <f t="shared" si="148"/>
        <v>329.6783569381081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152.37981664520223</v>
      </c>
      <c r="CL172" s="21">
        <f>EXP(-LN(2)/25)*CL171+(1-EXP(-LN(2)/25))/(LN(2)/25)*Calculateur!CG172*Calculateur!CI172*VLOOKUP('Données projet'!$B$12,Paramètres!$A$1:$I$89,3,0)*0.475*44/12</f>
        <v>0</v>
      </c>
      <c r="CM172" s="21">
        <f>EXP(-LN(2)/2)*CM171+(1-EXP(-LN(2)/2))/(LN(2)/2)*CG172*CJ172*VLOOKUP('Données projet'!$B$12,Paramètres!$A$1:$I$89,3,0)*0.475*44/12</f>
        <v>0</v>
      </c>
      <c r="CN172" s="22">
        <f t="shared" si="172"/>
        <v>152.37981664520223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5.6843418860808015E-14</v>
      </c>
      <c r="CU172" s="17">
        <f>CT172*VLOOKUP('Données projet'!$B$13,Paramètres!$A$1:$I$89,3,0)*VLOOKUP('Données projet'!$B$13,Paramètres!$A$1:$I$89,5,0)</f>
        <v>5.7639226724859328E-14</v>
      </c>
      <c r="CV172" s="13">
        <f t="shared" si="173"/>
        <v>9.2325701996134334E-13</v>
      </c>
      <c r="CW172" s="20">
        <f t="shared" si="174"/>
        <v>1.708394296311803E-12</v>
      </c>
      <c r="CX172" s="59">
        <f t="shared" si="122"/>
        <v>293.33333333333502</v>
      </c>
      <c r="CY172" s="59">
        <f ca="1">AVERAGE(OFFSET($CX$3,0,0,'Données projet'!$E$13+1,1))-AVERAGE(OFFSET($H$3,0,0,'Données projet'!$E$13+1,1))</f>
        <v>407.76560346703042</v>
      </c>
      <c r="CZ172" s="59">
        <f t="shared" si="150"/>
        <v>319.35531375725202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147.83116540206188</v>
      </c>
      <c r="DG172" s="21">
        <f>EXP(-LN(2)/25)*DG171+(1-EXP(-LN(2)/25))/(LN(2)/25)*Calculateur!DB172*Calculateur!DD172*VLOOKUP('Données projet'!$B$13,Paramètres!$A$1:$I$89,3,0)*0.475*44/12</f>
        <v>0</v>
      </c>
      <c r="DH172" s="21">
        <f>EXP(-LN(2)/2)*DH171+(1-EXP(-LN(2)/2))/(LN(2)/2)*DB172*DE172*VLOOKUP('Données projet'!$B$13,Paramètres!$A$1:$I$89,3,0)*0.475*44/12</f>
        <v>0</v>
      </c>
      <c r="DI172" s="22">
        <f t="shared" si="175"/>
        <v>147.83116540206188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2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151.16399999999993</v>
      </c>
      <c r="D173" s="11">
        <f t="shared" si="140"/>
        <v>38.842989674159945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1466.7206220461464</v>
      </c>
      <c r="H173" s="67">
        <f t="shared" si="110"/>
        <v>587.5955070158285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0</v>
      </c>
      <c r="O173" s="13">
        <f>N173*VLOOKUP('Données projet'!$B$9,Paramètres!$A$1:$I$89,3,0)*VLOOKUP('Données projet'!$B$9,Paramètres!$A$1:$I$89,5,0)</f>
        <v>0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101.15586831191774</v>
      </c>
      <c r="T173" s="59">
        <f t="shared" si="142"/>
        <v>346.96347336689064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2.5468854015767746</v>
      </c>
      <c r="AA173" s="21">
        <f>EXP(-LN(2)/25)*AA172+(1-EXP(-LN(2)/25))/(LN(2)/25)*Calculateur!V173*Calculateur!X173*VLOOKUP('Données projet'!$B$9,Paramètres!$A$1:$I$89,3,0)*0.475*44/12</f>
        <v>0.34000505661907482</v>
      </c>
      <c r="AB173" s="21">
        <f>EXP(-LN(2)/2)*AB172+(1-EXP(-LN(2)/2))/(LN(2)/2)*V173*Y173*VLOOKUP('Données projet'!$B$9,Paramètres!$A$1:$I$89,3,0)*0.475*44/12</f>
        <v>0</v>
      </c>
      <c r="AC173" s="22">
        <f t="shared" si="163"/>
        <v>2.8868904581958494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0</v>
      </c>
      <c r="AJ173" s="13">
        <f>AI173*VLOOKUP('Données projet'!$B$10,Paramètres!$A$1:$I$89,3,0)*VLOOKUP('Données projet'!$B$10,Paramètres!$A$1:$I$89,5,0)</f>
        <v>0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101.15586831191774</v>
      </c>
      <c r="AO173" s="59">
        <f t="shared" si="144"/>
        <v>346.96347336689064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2.5468854015767746</v>
      </c>
      <c r="AV173" s="21">
        <f>EXP(-LN(2)/25)*AV172+(1-EXP(-LN(2)/25))/(LN(2)/25)*Calculateur!AQ173*Calculateur!AS173*VLOOKUP('Données projet'!$B$10,Paramètres!$A$1:$I$89,3,0)*0.475*44/12</f>
        <v>0.34000505661907482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2.8868904581958494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5.6843418860808015E-14</v>
      </c>
      <c r="BE173" s="13">
        <f>BD173*VLOOKUP('Données projet'!$B$11,Paramètres!$A$1:$I$89,3,0)*VLOOKUP('Données projet'!$B$11,Paramètres!$A$1:$I$89,5,0)</f>
        <v>5.1431925385259088E-14</v>
      </c>
      <c r="BF173" s="13">
        <f t="shared" si="167"/>
        <v>8.3482866290946129E-13</v>
      </c>
      <c r="BG173" s="20">
        <f t="shared" si="168"/>
        <v>1.5435705246133045E-12</v>
      </c>
      <c r="BH173" s="59">
        <f t="shared" si="116"/>
        <v>293.33333333333485</v>
      </c>
      <c r="BI173" s="59">
        <f ca="1">AVERAGE(OFFSET($BH$3,0,0,'Données projet'!$E$11+1,1))-AVERAGE(OFFSET($H$3,0,0,'Données projet'!$E$11+1,1))</f>
        <v>352.62747127358324</v>
      </c>
      <c r="BJ173" s="59">
        <f t="shared" si="146"/>
        <v>283.16932763435011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129.32419403330505</v>
      </c>
      <c r="BQ173" s="21">
        <f>EXP(-LN(2)/25)*BQ172+(1-EXP(-LN(2)/25))/(LN(2)/25)*Calculateur!BL173*Calculateur!BN173*VLOOKUP('Données projet'!$B$11,Paramètres!$A$1:$I$89,3,0)*0.475*44/12</f>
        <v>0</v>
      </c>
      <c r="BR173" s="21">
        <f>EXP(-LN(2)/2)*BR172+(1-EXP(-LN(2)/2))/(LN(2)/2)*BL173*BO173*VLOOKUP('Données projet'!$B$11,Paramètres!$A$1:$I$89,3,0)*0.475*44/12</f>
        <v>0</v>
      </c>
      <c r="BS173" s="22">
        <f t="shared" si="169"/>
        <v>129.32419403330505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5.6843418860808015E-14</v>
      </c>
      <c r="BZ173" s="13">
        <f>BY173*VLOOKUP('Données projet'!$B$12,Paramètres!$A$1:$I$89,3,0)*VLOOKUP('Données projet'!$B$12,Paramètres!$A$1:$I$89,5,0)</f>
        <v>5.9412741393316544E-14</v>
      </c>
      <c r="CA173" s="13">
        <f t="shared" si="170"/>
        <v>9.483138037075784E-13</v>
      </c>
      <c r="CB173" s="20">
        <f t="shared" si="171"/>
        <v>1.7551237327173918E-12</v>
      </c>
      <c r="CC173" s="59">
        <f t="shared" si="119"/>
        <v>293.33333333333508</v>
      </c>
      <c r="CD173" s="59">
        <f ca="1">AVERAGE(OFFSET($CC$3,0,0,'Données projet'!$E$12+1,1))-AVERAGE(OFFSET($H$3,0,0,'Données projet'!$E$12+1,1))</f>
        <v>423.49657671419374</v>
      </c>
      <c r="CE173" s="59">
        <f t="shared" si="148"/>
        <v>329.6783569381081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149.39174138330065</v>
      </c>
      <c r="CL173" s="21">
        <f>EXP(-LN(2)/25)*CL172+(1-EXP(-LN(2)/25))/(LN(2)/25)*Calculateur!CG173*Calculateur!CI173*VLOOKUP('Données projet'!$B$12,Paramètres!$A$1:$I$89,3,0)*0.475*44/12</f>
        <v>0</v>
      </c>
      <c r="CM173" s="21">
        <f>EXP(-LN(2)/2)*CM172+(1-EXP(-LN(2)/2))/(LN(2)/2)*CG173*CJ173*VLOOKUP('Données projet'!$B$12,Paramètres!$A$1:$I$89,3,0)*0.475*44/12</f>
        <v>0</v>
      </c>
      <c r="CN173" s="22">
        <f t="shared" si="172"/>
        <v>149.39174138330065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5.6843418860808015E-14</v>
      </c>
      <c r="CU173" s="17">
        <f>CT173*VLOOKUP('Données projet'!$B$13,Paramètres!$A$1:$I$89,3,0)*VLOOKUP('Données projet'!$B$13,Paramètres!$A$1:$I$89,5,0)</f>
        <v>5.7639226724859328E-14</v>
      </c>
      <c r="CV173" s="13">
        <f t="shared" si="173"/>
        <v>9.2325701996134334E-13</v>
      </c>
      <c r="CW173" s="20">
        <f t="shared" si="174"/>
        <v>1.708394296311803E-12</v>
      </c>
      <c r="CX173" s="59">
        <f t="shared" si="122"/>
        <v>293.33333333333502</v>
      </c>
      <c r="CY173" s="59">
        <f ca="1">AVERAGE(OFFSET($CX$3,0,0,'Données projet'!$E$13+1,1))-AVERAGE(OFFSET($H$3,0,0,'Données projet'!$E$13+1,1))</f>
        <v>407.76560346703042</v>
      </c>
      <c r="CZ173" s="59">
        <f t="shared" si="150"/>
        <v>319.35531375725202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144.93228641663498</v>
      </c>
      <c r="DG173" s="21">
        <f>EXP(-LN(2)/25)*DG172+(1-EXP(-LN(2)/25))/(LN(2)/25)*Calculateur!DB173*Calculateur!DD173*VLOOKUP('Données projet'!$B$13,Paramètres!$A$1:$I$89,3,0)*0.475*44/12</f>
        <v>0</v>
      </c>
      <c r="DH173" s="21">
        <f>EXP(-LN(2)/2)*DH172+(1-EXP(-LN(2)/2))/(LN(2)/2)*DB173*DE173*VLOOKUP('Données projet'!$B$13,Paramètres!$A$1:$I$89,3,0)*0.475*44/12</f>
        <v>0</v>
      </c>
      <c r="DI173" s="22">
        <f t="shared" si="175"/>
        <v>144.93228641663498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2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152.05319999999992</v>
      </c>
      <c r="D174" s="11">
        <f t="shared" si="140"/>
        <v>39.044812857656339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1475.1425553924346</v>
      </c>
      <c r="H174" s="67">
        <f t="shared" si="110"/>
        <v>589.49570572708467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0</v>
      </c>
      <c r="O174" s="13">
        <f>N174*VLOOKUP('Données projet'!$B$9,Paramètres!$A$1:$I$89,3,0)*VLOOKUP('Données projet'!$B$9,Paramètres!$A$1:$I$89,5,0)</f>
        <v>0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101.15586831191774</v>
      </c>
      <c r="T174" s="59">
        <f t="shared" si="142"/>
        <v>346.96347336689064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2.4969425322985588</v>
      </c>
      <c r="AA174" s="21">
        <f>EXP(-LN(2)/25)*AA173+(1-EXP(-LN(2)/25))/(LN(2)/25)*Calculateur!V174*Calculateur!X174*VLOOKUP('Données projet'!$B$9,Paramètres!$A$1:$I$89,3,0)*0.475*44/12</f>
        <v>0.33070760046573738</v>
      </c>
      <c r="AB174" s="21">
        <f>EXP(-LN(2)/2)*AB173+(1-EXP(-LN(2)/2))/(LN(2)/2)*V174*Y174*VLOOKUP('Données projet'!$B$9,Paramètres!$A$1:$I$89,3,0)*0.475*44/12</f>
        <v>0</v>
      </c>
      <c r="AC174" s="22">
        <f t="shared" si="163"/>
        <v>2.8276501327642962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0</v>
      </c>
      <c r="AJ174" s="13">
        <f>AI174*VLOOKUP('Données projet'!$B$10,Paramètres!$A$1:$I$89,3,0)*VLOOKUP('Données projet'!$B$10,Paramètres!$A$1:$I$89,5,0)</f>
        <v>0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101.15586831191774</v>
      </c>
      <c r="AO174" s="59">
        <f t="shared" si="144"/>
        <v>346.96347336689064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2.4969425322985588</v>
      </c>
      <c r="AV174" s="21">
        <f>EXP(-LN(2)/25)*AV173+(1-EXP(-LN(2)/25))/(LN(2)/25)*Calculateur!AQ174*Calculateur!AS174*VLOOKUP('Données projet'!$B$10,Paramètres!$A$1:$I$89,3,0)*0.475*44/12</f>
        <v>0.33070760046573738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2.8276501327642962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5.6843418860808015E-14</v>
      </c>
      <c r="BE174" s="13">
        <f>BD174*VLOOKUP('Données projet'!$B$11,Paramètres!$A$1:$I$89,3,0)*VLOOKUP('Données projet'!$B$11,Paramètres!$A$1:$I$89,5,0)</f>
        <v>5.1431925385259088E-14</v>
      </c>
      <c r="BF174" s="13">
        <f t="shared" si="167"/>
        <v>8.3482866290946129E-13</v>
      </c>
      <c r="BG174" s="20">
        <f t="shared" si="168"/>
        <v>1.5435705246133045E-12</v>
      </c>
      <c r="BH174" s="59">
        <f t="shared" si="116"/>
        <v>293.33333333333485</v>
      </c>
      <c r="BI174" s="59">
        <f ca="1">AVERAGE(OFFSET($BH$3,0,0,'Données projet'!$E$11+1,1))-AVERAGE(OFFSET($H$3,0,0,'Données projet'!$E$11+1,1))</f>
        <v>352.62747127358324</v>
      </c>
      <c r="BJ174" s="59">
        <f t="shared" si="146"/>
        <v>283.16932763435011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126.78822546828155</v>
      </c>
      <c r="BQ174" s="21">
        <f>EXP(-LN(2)/25)*BQ173+(1-EXP(-LN(2)/25))/(LN(2)/25)*Calculateur!BL174*Calculateur!BN174*VLOOKUP('Données projet'!$B$11,Paramètres!$A$1:$I$89,3,0)*0.475*44/12</f>
        <v>0</v>
      </c>
      <c r="BR174" s="21">
        <f>EXP(-LN(2)/2)*BR173+(1-EXP(-LN(2)/2))/(LN(2)/2)*BL174*BO174*VLOOKUP('Données projet'!$B$11,Paramètres!$A$1:$I$89,3,0)*0.475*44/12</f>
        <v>0</v>
      </c>
      <c r="BS174" s="22">
        <f t="shared" si="169"/>
        <v>126.78822546828155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5.6843418860808015E-14</v>
      </c>
      <c r="BZ174" s="13">
        <f>BY174*VLOOKUP('Données projet'!$B$12,Paramètres!$A$1:$I$89,3,0)*VLOOKUP('Données projet'!$B$12,Paramètres!$A$1:$I$89,5,0)</f>
        <v>5.9412741393316544E-14</v>
      </c>
      <c r="CA174" s="13">
        <f t="shared" si="170"/>
        <v>9.483138037075784E-13</v>
      </c>
      <c r="CB174" s="20">
        <f t="shared" si="171"/>
        <v>1.7551237327173918E-12</v>
      </c>
      <c r="CC174" s="59">
        <f t="shared" si="119"/>
        <v>293.33333333333508</v>
      </c>
      <c r="CD174" s="59">
        <f ca="1">AVERAGE(OFFSET($CC$3,0,0,'Données projet'!$E$12+1,1))-AVERAGE(OFFSET($H$3,0,0,'Données projet'!$E$12+1,1))</f>
        <v>423.49657671419374</v>
      </c>
      <c r="CE174" s="59">
        <f t="shared" si="148"/>
        <v>329.6783569381081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146.46226045473901</v>
      </c>
      <c r="CL174" s="21">
        <f>EXP(-LN(2)/25)*CL173+(1-EXP(-LN(2)/25))/(LN(2)/25)*Calculateur!CG174*Calculateur!CI174*VLOOKUP('Données projet'!$B$12,Paramètres!$A$1:$I$89,3,0)*0.475*44/12</f>
        <v>0</v>
      </c>
      <c r="CM174" s="21">
        <f>EXP(-LN(2)/2)*CM173+(1-EXP(-LN(2)/2))/(LN(2)/2)*CG174*CJ174*VLOOKUP('Données projet'!$B$12,Paramètres!$A$1:$I$89,3,0)*0.475*44/12</f>
        <v>0</v>
      </c>
      <c r="CN174" s="22">
        <f t="shared" si="172"/>
        <v>146.46226045473901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5.6843418860808015E-14</v>
      </c>
      <c r="CU174" s="17">
        <f>CT174*VLOOKUP('Données projet'!$B$13,Paramètres!$A$1:$I$89,3,0)*VLOOKUP('Données projet'!$B$13,Paramètres!$A$1:$I$89,5,0)</f>
        <v>5.7639226724859328E-14</v>
      </c>
      <c r="CV174" s="13">
        <f t="shared" si="173"/>
        <v>9.2325701996134334E-13</v>
      </c>
      <c r="CW174" s="20">
        <f t="shared" si="174"/>
        <v>1.708394296311803E-12</v>
      </c>
      <c r="CX174" s="59">
        <f t="shared" si="122"/>
        <v>293.33333333333502</v>
      </c>
      <c r="CY174" s="59">
        <f ca="1">AVERAGE(OFFSET($CX$3,0,0,'Données projet'!$E$13+1,1))-AVERAGE(OFFSET($H$3,0,0,'Données projet'!$E$13+1,1))</f>
        <v>407.76560346703042</v>
      </c>
      <c r="CZ174" s="59">
        <f t="shared" si="150"/>
        <v>319.35531375725202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142.09025267997072</v>
      </c>
      <c r="DG174" s="21">
        <f>EXP(-LN(2)/25)*DG173+(1-EXP(-LN(2)/25))/(LN(2)/25)*Calculateur!DB174*Calculateur!DD174*VLOOKUP('Données projet'!$B$13,Paramètres!$A$1:$I$89,3,0)*0.475*44/12</f>
        <v>0</v>
      </c>
      <c r="DH174" s="21">
        <f>EXP(-LN(2)/2)*DH173+(1-EXP(-LN(2)/2))/(LN(2)/2)*DB174*DE174*VLOOKUP('Données projet'!$B$13,Paramètres!$A$1:$I$89,3,0)*0.475*44/12</f>
        <v>0</v>
      </c>
      <c r="DI174" s="22">
        <f t="shared" si="175"/>
        <v>142.09025267997072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2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152.94239999999991</v>
      </c>
      <c r="D175" s="11">
        <f t="shared" si="140"/>
        <v>39.246498705676842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1483.5634286052243</v>
      </c>
      <c r="H175" s="67">
        <f t="shared" si="110"/>
        <v>591.39566524572035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0</v>
      </c>
      <c r="O175" s="13">
        <f>N175*VLOOKUP('Données projet'!$B$9,Paramètres!$A$1:$I$89,3,0)*VLOOKUP('Données projet'!$B$9,Paramètres!$A$1:$I$89,5,0)</f>
        <v>0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101.15586831191774</v>
      </c>
      <c r="T175" s="59">
        <f t="shared" si="142"/>
        <v>346.96347336689064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2.4479790122247467</v>
      </c>
      <c r="AA175" s="21">
        <f>EXP(-LN(2)/25)*AA174+(1-EXP(-LN(2)/25))/(LN(2)/25)*Calculateur!V175*Calculateur!X175*VLOOKUP('Données projet'!$B$9,Paramètres!$A$1:$I$89,3,0)*0.475*44/12</f>
        <v>0.32166438373984491</v>
      </c>
      <c r="AB175" s="21">
        <f>EXP(-LN(2)/2)*AB174+(1-EXP(-LN(2)/2))/(LN(2)/2)*V175*Y175*VLOOKUP('Données projet'!$B$9,Paramètres!$A$1:$I$89,3,0)*0.475*44/12</f>
        <v>0</v>
      </c>
      <c r="AC175" s="22">
        <f t="shared" si="163"/>
        <v>2.7696433959645916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0</v>
      </c>
      <c r="AJ175" s="13">
        <f>AI175*VLOOKUP('Données projet'!$B$10,Paramètres!$A$1:$I$89,3,0)*VLOOKUP('Données projet'!$B$10,Paramètres!$A$1:$I$89,5,0)</f>
        <v>0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101.15586831191774</v>
      </c>
      <c r="AO175" s="59">
        <f t="shared" si="144"/>
        <v>346.96347336689064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2.4479790122247467</v>
      </c>
      <c r="AV175" s="21">
        <f>EXP(-LN(2)/25)*AV174+(1-EXP(-LN(2)/25))/(LN(2)/25)*Calculateur!AQ175*Calculateur!AS175*VLOOKUP('Données projet'!$B$10,Paramètres!$A$1:$I$89,3,0)*0.475*44/12</f>
        <v>0.32166438373984491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2.7696433959645916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5.6843418860808015E-14</v>
      </c>
      <c r="BE175" s="13">
        <f>BD175*VLOOKUP('Données projet'!$B$11,Paramètres!$A$1:$I$89,3,0)*VLOOKUP('Données projet'!$B$11,Paramètres!$A$1:$I$89,5,0)</f>
        <v>5.1431925385259088E-14</v>
      </c>
      <c r="BF175" s="13">
        <f t="shared" si="167"/>
        <v>8.3482866290946129E-13</v>
      </c>
      <c r="BG175" s="20">
        <f t="shared" si="168"/>
        <v>1.5435705246133045E-12</v>
      </c>
      <c r="BH175" s="59">
        <f t="shared" si="116"/>
        <v>293.33333333333485</v>
      </c>
      <c r="BI175" s="59">
        <f ca="1">AVERAGE(OFFSET($BH$3,0,0,'Données projet'!$E$11+1,1))-AVERAGE(OFFSET($H$3,0,0,'Données projet'!$E$11+1,1))</f>
        <v>352.62747127358324</v>
      </c>
      <c r="BJ175" s="59">
        <f t="shared" si="146"/>
        <v>283.16932763435011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124.30198570003007</v>
      </c>
      <c r="BQ175" s="21">
        <f>EXP(-LN(2)/25)*BQ174+(1-EXP(-LN(2)/25))/(LN(2)/25)*Calculateur!BL175*Calculateur!BN175*VLOOKUP('Données projet'!$B$11,Paramètres!$A$1:$I$89,3,0)*0.475*44/12</f>
        <v>0</v>
      </c>
      <c r="BR175" s="21">
        <f>EXP(-LN(2)/2)*BR174+(1-EXP(-LN(2)/2))/(LN(2)/2)*BL175*BO175*VLOOKUP('Données projet'!$B$11,Paramètres!$A$1:$I$89,3,0)*0.475*44/12</f>
        <v>0</v>
      </c>
      <c r="BS175" s="22">
        <f t="shared" si="169"/>
        <v>124.30198570003007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5.6843418860808015E-14</v>
      </c>
      <c r="BZ175" s="13">
        <f>BY175*VLOOKUP('Données projet'!$B$12,Paramètres!$A$1:$I$89,3,0)*VLOOKUP('Données projet'!$B$12,Paramètres!$A$1:$I$89,5,0)</f>
        <v>5.9412741393316544E-14</v>
      </c>
      <c r="CA175" s="13">
        <f t="shared" si="170"/>
        <v>9.483138037075784E-13</v>
      </c>
      <c r="CB175" s="20">
        <f t="shared" si="171"/>
        <v>1.7551237327173918E-12</v>
      </c>
      <c r="CC175" s="59">
        <f t="shared" si="119"/>
        <v>293.33333333333508</v>
      </c>
      <c r="CD175" s="59">
        <f ca="1">AVERAGE(OFFSET($CC$3,0,0,'Données projet'!$E$12+1,1))-AVERAGE(OFFSET($H$3,0,0,'Données projet'!$E$12+1,1))</f>
        <v>423.49657671419374</v>
      </c>
      <c r="CE175" s="59">
        <f t="shared" si="148"/>
        <v>329.6783569381081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143.59022486037955</v>
      </c>
      <c r="CL175" s="21">
        <f>EXP(-LN(2)/25)*CL174+(1-EXP(-LN(2)/25))/(LN(2)/25)*Calculateur!CG175*Calculateur!CI175*VLOOKUP('Données projet'!$B$12,Paramètres!$A$1:$I$89,3,0)*0.475*44/12</f>
        <v>0</v>
      </c>
      <c r="CM175" s="21">
        <f>EXP(-LN(2)/2)*CM174+(1-EXP(-LN(2)/2))/(LN(2)/2)*CG175*CJ175*VLOOKUP('Données projet'!$B$12,Paramètres!$A$1:$I$89,3,0)*0.475*44/12</f>
        <v>0</v>
      </c>
      <c r="CN175" s="22">
        <f t="shared" si="172"/>
        <v>143.59022486037955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5.6843418860808015E-14</v>
      </c>
      <c r="CU175" s="17">
        <f>CT175*VLOOKUP('Données projet'!$B$13,Paramètres!$A$1:$I$89,3,0)*VLOOKUP('Données projet'!$B$13,Paramètres!$A$1:$I$89,5,0)</f>
        <v>5.7639226724859328E-14</v>
      </c>
      <c r="CV175" s="13">
        <f t="shared" si="173"/>
        <v>9.2325701996134334E-13</v>
      </c>
      <c r="CW175" s="20">
        <f t="shared" si="174"/>
        <v>1.708394296311803E-12</v>
      </c>
      <c r="CX175" s="59">
        <f t="shared" si="122"/>
        <v>293.33333333333502</v>
      </c>
      <c r="CY175" s="59">
        <f ca="1">AVERAGE(OFFSET($CX$3,0,0,'Données projet'!$E$13+1,1))-AVERAGE(OFFSET($H$3,0,0,'Données projet'!$E$13+1,1))</f>
        <v>407.76560346703042</v>
      </c>
      <c r="CZ175" s="59">
        <f t="shared" si="150"/>
        <v>319.35531375725202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139.30394949141302</v>
      </c>
      <c r="DG175" s="21">
        <f>EXP(-LN(2)/25)*DG174+(1-EXP(-LN(2)/25))/(LN(2)/25)*Calculateur!DB175*Calculateur!DD175*VLOOKUP('Données projet'!$B$13,Paramètres!$A$1:$I$89,3,0)*0.475*44/12</f>
        <v>0</v>
      </c>
      <c r="DH175" s="21">
        <f>EXP(-LN(2)/2)*DH174+(1-EXP(-LN(2)/2))/(LN(2)/2)*DB175*DE175*VLOOKUP('Données projet'!$B$13,Paramètres!$A$1:$I$89,3,0)*0.475*44/12</f>
        <v>0</v>
      </c>
      <c r="DI175" s="22">
        <f t="shared" si="175"/>
        <v>139.30394949141302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2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153.8315999999999</v>
      </c>
      <c r="D176" s="11">
        <f t="shared" si="140"/>
        <v>39.448048109333072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1491.9832485632724</v>
      </c>
      <c r="H176" s="67">
        <f t="shared" si="110"/>
        <v>593.29538712375495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0</v>
      </c>
      <c r="O176" s="13">
        <f>N176*VLOOKUP('Données projet'!$B$9,Paramètres!$A$1:$I$89,3,0)*VLOOKUP('Données projet'!$B$9,Paramètres!$A$1:$I$89,5,0)</f>
        <v>0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101.15586831191774</v>
      </c>
      <c r="T176" s="59">
        <f t="shared" si="142"/>
        <v>346.96347336689064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2.3999756369147835</v>
      </c>
      <c r="AA176" s="21">
        <f>EXP(-LN(2)/25)*AA175+(1-EXP(-LN(2)/25))/(LN(2)/25)*Calculateur!V176*Calculateur!X176*VLOOKUP('Données projet'!$B$9,Paramètres!$A$1:$I$89,3,0)*0.475*44/12</f>
        <v>0.31286845425088405</v>
      </c>
      <c r="AB176" s="21">
        <f>EXP(-LN(2)/2)*AB175+(1-EXP(-LN(2)/2))/(LN(2)/2)*V176*Y176*VLOOKUP('Données projet'!$B$9,Paramètres!$A$1:$I$89,3,0)*0.475*44/12</f>
        <v>0</v>
      </c>
      <c r="AC176" s="22">
        <f t="shared" si="163"/>
        <v>2.7128440911656675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0</v>
      </c>
      <c r="AJ176" s="13">
        <f>AI176*VLOOKUP('Données projet'!$B$10,Paramètres!$A$1:$I$89,3,0)*VLOOKUP('Données projet'!$B$10,Paramètres!$A$1:$I$89,5,0)</f>
        <v>0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101.15586831191774</v>
      </c>
      <c r="AO176" s="59">
        <f t="shared" si="144"/>
        <v>346.96347336689064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2.3999756369147835</v>
      </c>
      <c r="AV176" s="21">
        <f>EXP(-LN(2)/25)*AV175+(1-EXP(-LN(2)/25))/(LN(2)/25)*Calculateur!AQ176*Calculateur!AS176*VLOOKUP('Données projet'!$B$10,Paramètres!$A$1:$I$89,3,0)*0.475*44/12</f>
        <v>0.31286845425088405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2.7128440911656675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5.6843418860808015E-14</v>
      </c>
      <c r="BE176" s="13">
        <f>BD176*VLOOKUP('Données projet'!$B$11,Paramètres!$A$1:$I$89,3,0)*VLOOKUP('Données projet'!$B$11,Paramètres!$A$1:$I$89,5,0)</f>
        <v>5.1431925385259088E-14</v>
      </c>
      <c r="BF176" s="13">
        <f t="shared" si="167"/>
        <v>8.3482866290946129E-13</v>
      </c>
      <c r="BG176" s="20">
        <f t="shared" si="168"/>
        <v>1.5435705246133045E-12</v>
      </c>
      <c r="BH176" s="59">
        <f t="shared" si="116"/>
        <v>293.33333333333485</v>
      </c>
      <c r="BI176" s="59">
        <f ca="1">AVERAGE(OFFSET($BH$3,0,0,'Données projet'!$E$11+1,1))-AVERAGE(OFFSET($H$3,0,0,'Données projet'!$E$11+1,1))</f>
        <v>352.62747127358324</v>
      </c>
      <c r="BJ176" s="59">
        <f t="shared" si="146"/>
        <v>283.16932763435011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121.86449957717748</v>
      </c>
      <c r="BQ176" s="21">
        <f>EXP(-LN(2)/25)*BQ175+(1-EXP(-LN(2)/25))/(LN(2)/25)*Calculateur!BL176*Calculateur!BN176*VLOOKUP('Données projet'!$B$11,Paramètres!$A$1:$I$89,3,0)*0.475*44/12</f>
        <v>0</v>
      </c>
      <c r="BR176" s="21">
        <f>EXP(-LN(2)/2)*BR175+(1-EXP(-LN(2)/2))/(LN(2)/2)*BL176*BO176*VLOOKUP('Données projet'!$B$11,Paramètres!$A$1:$I$89,3,0)*0.475*44/12</f>
        <v>0</v>
      </c>
      <c r="BS176" s="22">
        <f t="shared" si="169"/>
        <v>121.86449957717748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5.6843418860808015E-14</v>
      </c>
      <c r="BZ176" s="13">
        <f>BY176*VLOOKUP('Données projet'!$B$12,Paramètres!$A$1:$I$89,3,0)*VLOOKUP('Données projet'!$B$12,Paramètres!$A$1:$I$89,5,0)</f>
        <v>5.9412741393316544E-14</v>
      </c>
      <c r="CA176" s="13">
        <f t="shared" si="170"/>
        <v>9.483138037075784E-13</v>
      </c>
      <c r="CB176" s="20">
        <f t="shared" si="171"/>
        <v>1.7551237327173918E-12</v>
      </c>
      <c r="CC176" s="59">
        <f t="shared" si="119"/>
        <v>293.33333333333508</v>
      </c>
      <c r="CD176" s="59">
        <f ca="1">AVERAGE(OFFSET($CC$3,0,0,'Données projet'!$E$12+1,1))-AVERAGE(OFFSET($H$3,0,0,'Données projet'!$E$12+1,1))</f>
        <v>423.49657671419374</v>
      </c>
      <c r="CE176" s="59">
        <f t="shared" si="148"/>
        <v>329.6783569381081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140.77450813225673</v>
      </c>
      <c r="CL176" s="21">
        <f>EXP(-LN(2)/25)*CL175+(1-EXP(-LN(2)/25))/(LN(2)/25)*Calculateur!CG176*Calculateur!CI176*VLOOKUP('Données projet'!$B$12,Paramètres!$A$1:$I$89,3,0)*0.475*44/12</f>
        <v>0</v>
      </c>
      <c r="CM176" s="21">
        <f>EXP(-LN(2)/2)*CM175+(1-EXP(-LN(2)/2))/(LN(2)/2)*CG176*CJ176*VLOOKUP('Données projet'!$B$12,Paramètres!$A$1:$I$89,3,0)*0.475*44/12</f>
        <v>0</v>
      </c>
      <c r="CN176" s="22">
        <f t="shared" si="172"/>
        <v>140.77450813225673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5.6843418860808015E-14</v>
      </c>
      <c r="CU176" s="17">
        <f>CT176*VLOOKUP('Données projet'!$B$13,Paramètres!$A$1:$I$89,3,0)*VLOOKUP('Données projet'!$B$13,Paramètres!$A$1:$I$89,5,0)</f>
        <v>5.7639226724859328E-14</v>
      </c>
      <c r="CV176" s="13">
        <f t="shared" si="173"/>
        <v>9.2325701996134334E-13</v>
      </c>
      <c r="CW176" s="20">
        <f t="shared" si="174"/>
        <v>1.708394296311803E-12</v>
      </c>
      <c r="CX176" s="59">
        <f t="shared" si="122"/>
        <v>293.33333333333502</v>
      </c>
      <c r="CY176" s="59">
        <f ca="1">AVERAGE(OFFSET($CX$3,0,0,'Données projet'!$E$13+1,1))-AVERAGE(OFFSET($H$3,0,0,'Données projet'!$E$13+1,1))</f>
        <v>407.76560346703042</v>
      </c>
      <c r="CZ176" s="59">
        <f t="shared" si="150"/>
        <v>319.35531375725202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136.5722840089058</v>
      </c>
      <c r="DG176" s="21">
        <f>EXP(-LN(2)/25)*DG175+(1-EXP(-LN(2)/25))/(LN(2)/25)*Calculateur!DB176*Calculateur!DD176*VLOOKUP('Données projet'!$B$13,Paramètres!$A$1:$I$89,3,0)*0.475*44/12</f>
        <v>0</v>
      </c>
      <c r="DH176" s="21">
        <f>EXP(-LN(2)/2)*DH175+(1-EXP(-LN(2)/2))/(LN(2)/2)*DB176*DE176*VLOOKUP('Données projet'!$B$13,Paramètres!$A$1:$I$89,3,0)*0.475*44/12</f>
        <v>0</v>
      </c>
      <c r="DI176" s="22">
        <f t="shared" si="175"/>
        <v>136.5722840089058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2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154.72079999999988</v>
      </c>
      <c r="D177" s="11">
        <f t="shared" si="140"/>
        <v>39.649461948838557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1500.4020220612092</v>
      </c>
      <c r="H177" s="67">
        <f t="shared" si="110"/>
        <v>595.19487289422705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0</v>
      </c>
      <c r="O177" s="13">
        <f>N177*VLOOKUP('Données projet'!$B$9,Paramètres!$A$1:$I$89,3,0)*VLOOKUP('Données projet'!$B$9,Paramètres!$A$1:$I$89,5,0)</f>
        <v>0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101.15586831191774</v>
      </c>
      <c r="T177" s="59">
        <f t="shared" si="142"/>
        <v>346.96347336689064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2.3529135785154809</v>
      </c>
      <c r="AA177" s="21">
        <f>EXP(-LN(2)/25)*AA176+(1-EXP(-LN(2)/25))/(LN(2)/25)*Calculateur!V177*Calculateur!X177*VLOOKUP('Données projet'!$B$9,Paramètres!$A$1:$I$89,3,0)*0.475*44/12</f>
        <v>0.30431304991635671</v>
      </c>
      <c r="AB177" s="21">
        <f>EXP(-LN(2)/2)*AB176+(1-EXP(-LN(2)/2))/(LN(2)/2)*V177*Y177*VLOOKUP('Données projet'!$B$9,Paramètres!$A$1:$I$89,3,0)*0.475*44/12</f>
        <v>0</v>
      </c>
      <c r="AC177" s="22">
        <f t="shared" si="163"/>
        <v>2.6572266284318378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0</v>
      </c>
      <c r="AJ177" s="13">
        <f>AI177*VLOOKUP('Données projet'!$B$10,Paramètres!$A$1:$I$89,3,0)*VLOOKUP('Données projet'!$B$10,Paramètres!$A$1:$I$89,5,0)</f>
        <v>0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101.15586831191774</v>
      </c>
      <c r="AO177" s="59">
        <f t="shared" si="144"/>
        <v>346.96347336689064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2.3529135785154809</v>
      </c>
      <c r="AV177" s="21">
        <f>EXP(-LN(2)/25)*AV176+(1-EXP(-LN(2)/25))/(LN(2)/25)*Calculateur!AQ177*Calculateur!AS177*VLOOKUP('Données projet'!$B$10,Paramètres!$A$1:$I$89,3,0)*0.475*44/12</f>
        <v>0.30431304991635671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2.6572266284318378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5.6843418860808015E-14</v>
      </c>
      <c r="BE177" s="13">
        <f>BD177*VLOOKUP('Données projet'!$B$11,Paramètres!$A$1:$I$89,3,0)*VLOOKUP('Données projet'!$B$11,Paramètres!$A$1:$I$89,5,0)</f>
        <v>5.1431925385259088E-14</v>
      </c>
      <c r="BF177" s="13">
        <f t="shared" si="167"/>
        <v>8.3482866290946129E-13</v>
      </c>
      <c r="BG177" s="20">
        <f t="shared" si="168"/>
        <v>1.5435705246133045E-12</v>
      </c>
      <c r="BH177" s="59">
        <f t="shared" si="116"/>
        <v>293.33333333333485</v>
      </c>
      <c r="BI177" s="59">
        <f ca="1">AVERAGE(OFFSET($BH$3,0,0,'Données projet'!$E$11+1,1))-AVERAGE(OFFSET($H$3,0,0,'Données projet'!$E$11+1,1))</f>
        <v>352.62747127358324</v>
      </c>
      <c r="BJ177" s="59">
        <f t="shared" si="146"/>
        <v>283.16932763435011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119.4748110704743</v>
      </c>
      <c r="BQ177" s="21">
        <f>EXP(-LN(2)/25)*BQ176+(1-EXP(-LN(2)/25))/(LN(2)/25)*Calculateur!BL177*Calculateur!BN177*VLOOKUP('Données projet'!$B$11,Paramètres!$A$1:$I$89,3,0)*0.475*44/12</f>
        <v>0</v>
      </c>
      <c r="BR177" s="21">
        <f>EXP(-LN(2)/2)*BR176+(1-EXP(-LN(2)/2))/(LN(2)/2)*BL177*BO177*VLOOKUP('Données projet'!$B$11,Paramètres!$A$1:$I$89,3,0)*0.475*44/12</f>
        <v>0</v>
      </c>
      <c r="BS177" s="22">
        <f t="shared" si="169"/>
        <v>119.4748110704743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5.6843418860808015E-14</v>
      </c>
      <c r="BZ177" s="13">
        <f>BY177*VLOOKUP('Données projet'!$B$12,Paramètres!$A$1:$I$89,3,0)*VLOOKUP('Données projet'!$B$12,Paramètres!$A$1:$I$89,5,0)</f>
        <v>5.9412741393316544E-14</v>
      </c>
      <c r="CA177" s="13">
        <f t="shared" si="170"/>
        <v>9.483138037075784E-13</v>
      </c>
      <c r="CB177" s="20">
        <f t="shared" si="171"/>
        <v>1.7551237327173918E-12</v>
      </c>
      <c r="CC177" s="59">
        <f t="shared" si="119"/>
        <v>293.33333333333508</v>
      </c>
      <c r="CD177" s="59">
        <f ca="1">AVERAGE(OFFSET($CC$3,0,0,'Données projet'!$E$12+1,1))-AVERAGE(OFFSET($H$3,0,0,'Données projet'!$E$12+1,1))</f>
        <v>423.49657671419374</v>
      </c>
      <c r="CE177" s="59">
        <f t="shared" si="148"/>
        <v>329.6783569381081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138.01400589175478</v>
      </c>
      <c r="CL177" s="21">
        <f>EXP(-LN(2)/25)*CL176+(1-EXP(-LN(2)/25))/(LN(2)/25)*Calculateur!CG177*Calculateur!CI177*VLOOKUP('Données projet'!$B$12,Paramètres!$A$1:$I$89,3,0)*0.475*44/12</f>
        <v>0</v>
      </c>
      <c r="CM177" s="21">
        <f>EXP(-LN(2)/2)*CM176+(1-EXP(-LN(2)/2))/(LN(2)/2)*CG177*CJ177*VLOOKUP('Données projet'!$B$12,Paramètres!$A$1:$I$89,3,0)*0.475*44/12</f>
        <v>0</v>
      </c>
      <c r="CN177" s="22">
        <f t="shared" si="172"/>
        <v>138.01400589175478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5.6843418860808015E-14</v>
      </c>
      <c r="CU177" s="17">
        <f>CT177*VLOOKUP('Données projet'!$B$13,Paramètres!$A$1:$I$89,3,0)*VLOOKUP('Données projet'!$B$13,Paramètres!$A$1:$I$89,5,0)</f>
        <v>5.7639226724859328E-14</v>
      </c>
      <c r="CV177" s="13">
        <f t="shared" si="173"/>
        <v>9.2325701996134334E-13</v>
      </c>
      <c r="CW177" s="20">
        <f t="shared" si="174"/>
        <v>1.708394296311803E-12</v>
      </c>
      <c r="CX177" s="59">
        <f t="shared" si="122"/>
        <v>293.33333333333502</v>
      </c>
      <c r="CY177" s="59">
        <f ca="1">AVERAGE(OFFSET($CX$3,0,0,'Données projet'!$E$13+1,1))-AVERAGE(OFFSET($H$3,0,0,'Données projet'!$E$13+1,1))</f>
        <v>407.76560346703042</v>
      </c>
      <c r="CZ177" s="59">
        <f t="shared" si="150"/>
        <v>319.35531375725202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>
        <f>EXP(-LN(2)/35)*DF176+(1-EXP(-LN(2)/35))/(LN(2)/35)*DB177*DC177*VLOOKUP('Données projet'!$B$13,Paramètres!$A$1:$I$89,3,0)*0.475*44/12</f>
        <v>133.89418482035913</v>
      </c>
      <c r="DG177" s="21">
        <f>EXP(-LN(2)/25)*DG176+(1-EXP(-LN(2)/25))/(LN(2)/25)*Calculateur!DB177*Calculateur!DD177*VLOOKUP('Données projet'!$B$13,Paramètres!$A$1:$I$89,3,0)*0.475*44/12</f>
        <v>0</v>
      </c>
      <c r="DH177" s="21">
        <f>EXP(-LN(2)/2)*DH176+(1-EXP(-LN(2)/2))/(LN(2)/2)*DB177*DE177*VLOOKUP('Données projet'!$B$13,Paramètres!$A$1:$I$89,3,0)*0.475*44/12</f>
        <v>0</v>
      </c>
      <c r="DI177" s="22">
        <f t="shared" si="175"/>
        <v>133.89418482035913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2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155.60999999999987</v>
      </c>
      <c r="D178" s="11">
        <f t="shared" si="140"/>
        <v>39.850741093704151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1508.8197558110487</v>
      </c>
      <c r="H178" s="67">
        <f t="shared" si="110"/>
        <v>597.09412407153457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0</v>
      </c>
      <c r="O178" s="13">
        <f>N178*VLOOKUP('Données projet'!$B$9,Paramètres!$A$1:$I$89,3,0)*VLOOKUP('Données projet'!$B$9,Paramètres!$A$1:$I$89,5,0)</f>
        <v>0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101.15586831191774</v>
      </c>
      <c r="T178" s="59">
        <f t="shared" si="142"/>
        <v>346.96347336689064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2.3067743783763675</v>
      </c>
      <c r="AA178" s="21">
        <f>EXP(-LN(2)/25)*AA177+(1-EXP(-LN(2)/25))/(LN(2)/25)*Calculateur!V178*Calculateur!X178*VLOOKUP('Données projet'!$B$9,Paramètres!$A$1:$I$89,3,0)*0.475*44/12</f>
        <v>0.29599159356326615</v>
      </c>
      <c r="AB178" s="21">
        <f>EXP(-LN(2)/2)*AB177+(1-EXP(-LN(2)/2))/(LN(2)/2)*V178*Y178*VLOOKUP('Données projet'!$B$9,Paramètres!$A$1:$I$89,3,0)*0.475*44/12</f>
        <v>0</v>
      </c>
      <c r="AC178" s="22">
        <f t="shared" si="163"/>
        <v>2.6027659719396334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0</v>
      </c>
      <c r="AJ178" s="13">
        <f>AI178*VLOOKUP('Données projet'!$B$10,Paramètres!$A$1:$I$89,3,0)*VLOOKUP('Données projet'!$B$10,Paramètres!$A$1:$I$89,5,0)</f>
        <v>0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101.15586831191774</v>
      </c>
      <c r="AO178" s="59">
        <f t="shared" si="144"/>
        <v>346.96347336689064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2.3067743783763675</v>
      </c>
      <c r="AV178" s="21">
        <f>EXP(-LN(2)/25)*AV177+(1-EXP(-LN(2)/25))/(LN(2)/25)*Calculateur!AQ178*Calculateur!AS178*VLOOKUP('Données projet'!$B$10,Paramètres!$A$1:$I$89,3,0)*0.475*44/12</f>
        <v>0.29599159356326615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2.6027659719396334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5.6843418860808015E-14</v>
      </c>
      <c r="BE178" s="13">
        <f>BD178*VLOOKUP('Données projet'!$B$11,Paramètres!$A$1:$I$89,3,0)*VLOOKUP('Données projet'!$B$11,Paramètres!$A$1:$I$89,5,0)</f>
        <v>5.1431925385259088E-14</v>
      </c>
      <c r="BF178" s="13">
        <f t="shared" si="167"/>
        <v>8.3482866290946129E-13</v>
      </c>
      <c r="BG178" s="20">
        <f t="shared" si="168"/>
        <v>1.5435705246133045E-12</v>
      </c>
      <c r="BH178" s="59">
        <f t="shared" si="116"/>
        <v>293.33333333333485</v>
      </c>
      <c r="BI178" s="59">
        <f ca="1">AVERAGE(OFFSET($BH$3,0,0,'Données projet'!$E$11+1,1))-AVERAGE(OFFSET($H$3,0,0,'Données projet'!$E$11+1,1))</f>
        <v>352.62747127358324</v>
      </c>
      <c r="BJ178" s="59">
        <f t="shared" si="146"/>
        <v>283.16932763435011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117.1319828978215</v>
      </c>
      <c r="BQ178" s="21">
        <f>EXP(-LN(2)/25)*BQ177+(1-EXP(-LN(2)/25))/(LN(2)/25)*Calculateur!BL178*Calculateur!BN178*VLOOKUP('Données projet'!$B$11,Paramètres!$A$1:$I$89,3,0)*0.475*44/12</f>
        <v>0</v>
      </c>
      <c r="BR178" s="21">
        <f>EXP(-LN(2)/2)*BR177+(1-EXP(-LN(2)/2))/(LN(2)/2)*BL178*BO178*VLOOKUP('Données projet'!$B$11,Paramètres!$A$1:$I$89,3,0)*0.475*44/12</f>
        <v>0</v>
      </c>
      <c r="BS178" s="22">
        <f t="shared" si="169"/>
        <v>117.1319828978215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5.6843418860808015E-14</v>
      </c>
      <c r="BZ178" s="13">
        <f>BY178*VLOOKUP('Données projet'!$B$12,Paramètres!$A$1:$I$89,3,0)*VLOOKUP('Données projet'!$B$12,Paramètres!$A$1:$I$89,5,0)</f>
        <v>5.9412741393316544E-14</v>
      </c>
      <c r="CA178" s="13">
        <f t="shared" si="170"/>
        <v>9.483138037075784E-13</v>
      </c>
      <c r="CB178" s="20">
        <f t="shared" si="171"/>
        <v>1.7551237327173918E-12</v>
      </c>
      <c r="CC178" s="59">
        <f t="shared" si="119"/>
        <v>293.33333333333508</v>
      </c>
      <c r="CD178" s="59">
        <f ca="1">AVERAGE(OFFSET($CC$3,0,0,'Données projet'!$E$12+1,1))-AVERAGE(OFFSET($H$3,0,0,'Données projet'!$E$12+1,1))</f>
        <v>423.49657671419374</v>
      </c>
      <c r="CE178" s="59">
        <f t="shared" si="148"/>
        <v>329.6783569381081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135.30763541644896</v>
      </c>
      <c r="CL178" s="21">
        <f>EXP(-LN(2)/25)*CL177+(1-EXP(-LN(2)/25))/(LN(2)/25)*Calculateur!CG178*Calculateur!CI178*VLOOKUP('Données projet'!$B$12,Paramètres!$A$1:$I$89,3,0)*0.475*44/12</f>
        <v>0</v>
      </c>
      <c r="CM178" s="21">
        <f>EXP(-LN(2)/2)*CM177+(1-EXP(-LN(2)/2))/(LN(2)/2)*CG178*CJ178*VLOOKUP('Données projet'!$B$12,Paramètres!$A$1:$I$89,3,0)*0.475*44/12</f>
        <v>0</v>
      </c>
      <c r="CN178" s="22">
        <f t="shared" si="172"/>
        <v>135.30763541644896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5.6843418860808015E-14</v>
      </c>
      <c r="CU178" s="17">
        <f>CT178*VLOOKUP('Données projet'!$B$13,Paramètres!$A$1:$I$89,3,0)*VLOOKUP('Données projet'!$B$13,Paramètres!$A$1:$I$89,5,0)</f>
        <v>5.7639226724859328E-14</v>
      </c>
      <c r="CV178" s="13">
        <f t="shared" si="173"/>
        <v>9.2325701996134334E-13</v>
      </c>
      <c r="CW178" s="20">
        <f t="shared" si="174"/>
        <v>1.708394296311803E-12</v>
      </c>
      <c r="CX178" s="59">
        <f t="shared" si="122"/>
        <v>293.33333333333502</v>
      </c>
      <c r="CY178" s="59">
        <f ca="1">AVERAGE(OFFSET($CX$3,0,0,'Données projet'!$E$13+1,1))-AVERAGE(OFFSET($H$3,0,0,'Données projet'!$E$13+1,1))</f>
        <v>407.76560346703042</v>
      </c>
      <c r="CZ178" s="59">
        <f t="shared" si="150"/>
        <v>319.35531375725202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131.26860152342064</v>
      </c>
      <c r="DG178" s="21">
        <f>EXP(-LN(2)/25)*DG177+(1-EXP(-LN(2)/25))/(LN(2)/25)*Calculateur!DB178*Calculateur!DD178*VLOOKUP('Données projet'!$B$13,Paramètres!$A$1:$I$89,3,0)*0.475*44/12</f>
        <v>0</v>
      </c>
      <c r="DH178" s="21">
        <f>EXP(-LN(2)/2)*DH177+(1-EXP(-LN(2)/2))/(LN(2)/2)*DB178*DE178*VLOOKUP('Données projet'!$B$13,Paramètres!$A$1:$I$89,3,0)*0.475*44/12</f>
        <v>0</v>
      </c>
      <c r="DI178" s="22">
        <f t="shared" si="175"/>
        <v>131.26860152342064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2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156.49919999999986</v>
      </c>
      <c r="D179" s="11">
        <f t="shared" si="140"/>
        <v>40.051886402928353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1517.2364564436564</v>
      </c>
      <c r="H179" s="67">
        <f t="shared" si="110"/>
        <v>598.99314215176662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0</v>
      </c>
      <c r="O179" s="13">
        <f>N179*VLOOKUP('Données projet'!$B$9,Paramètres!$A$1:$I$89,3,0)*VLOOKUP('Données projet'!$B$9,Paramètres!$A$1:$I$89,5,0)</f>
        <v>0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101.15586831191774</v>
      </c>
      <c r="T179" s="59">
        <f t="shared" si="142"/>
        <v>346.96347336689064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2.2615399398098486</v>
      </c>
      <c r="AA179" s="21">
        <f>EXP(-LN(2)/25)*AA178+(1-EXP(-LN(2)/25))/(LN(2)/25)*Calculateur!V179*Calculateur!X179*VLOOKUP('Données projet'!$B$9,Paramètres!$A$1:$I$89,3,0)*0.475*44/12</f>
        <v>0.28789768787175724</v>
      </c>
      <c r="AB179" s="21">
        <f>EXP(-LN(2)/2)*AB178+(1-EXP(-LN(2)/2))/(LN(2)/2)*V179*Y179*VLOOKUP('Données projet'!$B$9,Paramètres!$A$1:$I$89,3,0)*0.475*44/12</f>
        <v>0</v>
      </c>
      <c r="AC179" s="22">
        <f t="shared" si="163"/>
        <v>2.549437627681606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0</v>
      </c>
      <c r="AJ179" s="13">
        <f>AI179*VLOOKUP('Données projet'!$B$10,Paramètres!$A$1:$I$89,3,0)*VLOOKUP('Données projet'!$B$10,Paramètres!$A$1:$I$89,5,0)</f>
        <v>0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101.15586831191774</v>
      </c>
      <c r="AO179" s="59">
        <f t="shared" si="144"/>
        <v>346.96347336689064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2.2615399398098486</v>
      </c>
      <c r="AV179" s="21">
        <f>EXP(-LN(2)/25)*AV178+(1-EXP(-LN(2)/25))/(LN(2)/25)*Calculateur!AQ179*Calculateur!AS179*VLOOKUP('Données projet'!$B$10,Paramètres!$A$1:$I$89,3,0)*0.475*44/12</f>
        <v>0.28789768787175724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2.549437627681606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5.6843418860808015E-14</v>
      </c>
      <c r="BE179" s="13">
        <f>BD179*VLOOKUP('Données projet'!$B$11,Paramètres!$A$1:$I$89,3,0)*VLOOKUP('Données projet'!$B$11,Paramètres!$A$1:$I$89,5,0)</f>
        <v>5.1431925385259088E-14</v>
      </c>
      <c r="BF179" s="13">
        <f t="shared" si="167"/>
        <v>8.3482866290946129E-13</v>
      </c>
      <c r="BG179" s="20">
        <f t="shared" si="168"/>
        <v>1.5435705246133045E-12</v>
      </c>
      <c r="BH179" s="59">
        <f t="shared" si="116"/>
        <v>293.33333333333485</v>
      </c>
      <c r="BI179" s="59">
        <f ca="1">AVERAGE(OFFSET($BH$3,0,0,'Données projet'!$E$11+1,1))-AVERAGE(OFFSET($H$3,0,0,'Données projet'!$E$11+1,1))</f>
        <v>352.62747127358324</v>
      </c>
      <c r="BJ179" s="59">
        <f t="shared" si="146"/>
        <v>283.16932763435011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114.83509615665034</v>
      </c>
      <c r="BQ179" s="21">
        <f>EXP(-LN(2)/25)*BQ178+(1-EXP(-LN(2)/25))/(LN(2)/25)*Calculateur!BL179*Calculateur!BN179*VLOOKUP('Données projet'!$B$11,Paramètres!$A$1:$I$89,3,0)*0.475*44/12</f>
        <v>0</v>
      </c>
      <c r="BR179" s="21">
        <f>EXP(-LN(2)/2)*BR178+(1-EXP(-LN(2)/2))/(LN(2)/2)*BL179*BO179*VLOOKUP('Données projet'!$B$11,Paramètres!$A$1:$I$89,3,0)*0.475*44/12</f>
        <v>0</v>
      </c>
      <c r="BS179" s="22">
        <f t="shared" si="169"/>
        <v>114.83509615665034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5.6843418860808015E-14</v>
      </c>
      <c r="BZ179" s="13">
        <f>BY179*VLOOKUP('Données projet'!$B$12,Paramètres!$A$1:$I$89,3,0)*VLOOKUP('Données projet'!$B$12,Paramètres!$A$1:$I$89,5,0)</f>
        <v>5.9412741393316544E-14</v>
      </c>
      <c r="CA179" s="13">
        <f t="shared" si="170"/>
        <v>9.483138037075784E-13</v>
      </c>
      <c r="CB179" s="20">
        <f t="shared" si="171"/>
        <v>1.7551237327173918E-12</v>
      </c>
      <c r="CC179" s="59">
        <f t="shared" si="119"/>
        <v>293.33333333333508</v>
      </c>
      <c r="CD179" s="59">
        <f ca="1">AVERAGE(OFFSET($CC$3,0,0,'Données projet'!$E$12+1,1))-AVERAGE(OFFSET($H$3,0,0,'Données projet'!$E$12+1,1))</f>
        <v>423.49657671419374</v>
      </c>
      <c r="CE179" s="59">
        <f t="shared" si="148"/>
        <v>329.6783569381081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132.65433521544088</v>
      </c>
      <c r="CL179" s="21">
        <f>EXP(-LN(2)/25)*CL178+(1-EXP(-LN(2)/25))/(LN(2)/25)*Calculateur!CG179*Calculateur!CI179*VLOOKUP('Données projet'!$B$12,Paramètres!$A$1:$I$89,3,0)*0.475*44/12</f>
        <v>0</v>
      </c>
      <c r="CM179" s="21">
        <f>EXP(-LN(2)/2)*CM178+(1-EXP(-LN(2)/2))/(LN(2)/2)*CG179*CJ179*VLOOKUP('Données projet'!$B$12,Paramètres!$A$1:$I$89,3,0)*0.475*44/12</f>
        <v>0</v>
      </c>
      <c r="CN179" s="22">
        <f t="shared" si="172"/>
        <v>132.65433521544088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5.6843418860808015E-14</v>
      </c>
      <c r="CU179" s="17">
        <f>CT179*VLOOKUP('Données projet'!$B$13,Paramètres!$A$1:$I$89,3,0)*VLOOKUP('Données projet'!$B$13,Paramètres!$A$1:$I$89,5,0)</f>
        <v>5.7639226724859328E-14</v>
      </c>
      <c r="CV179" s="13">
        <f t="shared" si="173"/>
        <v>9.2325701996134334E-13</v>
      </c>
      <c r="CW179" s="20">
        <f t="shared" si="174"/>
        <v>1.708394296311803E-12</v>
      </c>
      <c r="CX179" s="59">
        <f t="shared" si="122"/>
        <v>293.33333333333502</v>
      </c>
      <c r="CY179" s="59">
        <f ca="1">AVERAGE(OFFSET($CX$3,0,0,'Données projet'!$E$13+1,1))-AVERAGE(OFFSET($H$3,0,0,'Données projet'!$E$13+1,1))</f>
        <v>407.76560346703042</v>
      </c>
      <c r="CZ179" s="59">
        <f t="shared" si="150"/>
        <v>319.35531375725202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128.69450431348744</v>
      </c>
      <c r="DG179" s="21">
        <f>EXP(-LN(2)/25)*DG178+(1-EXP(-LN(2)/25))/(LN(2)/25)*Calculateur!DB179*Calculateur!DD179*VLOOKUP('Données projet'!$B$13,Paramètres!$A$1:$I$89,3,0)*0.475*44/12</f>
        <v>0</v>
      </c>
      <c r="DH179" s="21">
        <f>EXP(-LN(2)/2)*DH178+(1-EXP(-LN(2)/2))/(LN(2)/2)*DB179*DE179*VLOOKUP('Données projet'!$B$13,Paramètres!$A$1:$I$89,3,0)*0.475*44/12</f>
        <v>0</v>
      </c>
      <c r="DI179" s="22">
        <f t="shared" si="175"/>
        <v>128.69450431348744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2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157.38839999999985</v>
      </c>
      <c r="D180" s="11">
        <f t="shared" si="140"/>
        <v>40.252898725183421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1525.6521305101869</v>
      </c>
      <c r="H180" s="67">
        <f t="shared" si="110"/>
        <v>600.89192861302752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0</v>
      </c>
      <c r="O180" s="13">
        <f>N180*VLOOKUP('Données projet'!$B$9,Paramètres!$A$1:$I$89,3,0)*VLOOKUP('Données projet'!$B$9,Paramètres!$A$1:$I$89,5,0)</f>
        <v>0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101.15586831191774</v>
      </c>
      <c r="T180" s="59">
        <f t="shared" si="142"/>
        <v>346.96347336689064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2.2171925209933359</v>
      </c>
      <c r="AA180" s="21">
        <f>EXP(-LN(2)/25)*AA179+(1-EXP(-LN(2)/25))/(LN(2)/25)*Calculateur!V180*Calculateur!X180*VLOOKUP('Données projet'!$B$9,Paramètres!$A$1:$I$89,3,0)*0.475*44/12</f>
        <v>0.28002511045702261</v>
      </c>
      <c r="AB180" s="21">
        <f>EXP(-LN(2)/2)*AB179+(1-EXP(-LN(2)/2))/(LN(2)/2)*V180*Y180*VLOOKUP('Données projet'!$B$9,Paramètres!$A$1:$I$89,3,0)*0.475*44/12</f>
        <v>0</v>
      </c>
      <c r="AC180" s="22">
        <f t="shared" si="163"/>
        <v>2.4972176314503587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0</v>
      </c>
      <c r="AJ180" s="13">
        <f>AI180*VLOOKUP('Données projet'!$B$10,Paramètres!$A$1:$I$89,3,0)*VLOOKUP('Données projet'!$B$10,Paramètres!$A$1:$I$89,5,0)</f>
        <v>0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101.15586831191774</v>
      </c>
      <c r="AO180" s="59">
        <f t="shared" si="144"/>
        <v>346.96347336689064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2.2171925209933359</v>
      </c>
      <c r="AV180" s="21">
        <f>EXP(-LN(2)/25)*AV179+(1-EXP(-LN(2)/25))/(LN(2)/25)*Calculateur!AQ180*Calculateur!AS180*VLOOKUP('Données projet'!$B$10,Paramètres!$A$1:$I$89,3,0)*0.475*44/12</f>
        <v>0.28002511045702261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2.4972176314503587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5.6843418860808015E-14</v>
      </c>
      <c r="BE180" s="13">
        <f>BD180*VLOOKUP('Données projet'!$B$11,Paramètres!$A$1:$I$89,3,0)*VLOOKUP('Données projet'!$B$11,Paramètres!$A$1:$I$89,5,0)</f>
        <v>5.1431925385259088E-14</v>
      </c>
      <c r="BF180" s="13">
        <f t="shared" si="167"/>
        <v>8.3482866290946129E-13</v>
      </c>
      <c r="BG180" s="20">
        <f t="shared" si="168"/>
        <v>1.5435705246133045E-12</v>
      </c>
      <c r="BH180" s="59">
        <f t="shared" si="116"/>
        <v>293.33333333333485</v>
      </c>
      <c r="BI180" s="59">
        <f ca="1">AVERAGE(OFFSET($BH$3,0,0,'Données projet'!$E$11+1,1))-AVERAGE(OFFSET($H$3,0,0,'Données projet'!$E$11+1,1))</f>
        <v>352.62747127358324</v>
      </c>
      <c r="BJ180" s="59">
        <f t="shared" si="146"/>
        <v>283.16932763435011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112.58324996351095</v>
      </c>
      <c r="BQ180" s="21">
        <f>EXP(-LN(2)/25)*BQ179+(1-EXP(-LN(2)/25))/(LN(2)/25)*Calculateur!BL180*Calculateur!BN180*VLOOKUP('Données projet'!$B$11,Paramètres!$A$1:$I$89,3,0)*0.475*44/12</f>
        <v>0</v>
      </c>
      <c r="BR180" s="21">
        <f>EXP(-LN(2)/2)*BR179+(1-EXP(-LN(2)/2))/(LN(2)/2)*BL180*BO180*VLOOKUP('Données projet'!$B$11,Paramètres!$A$1:$I$89,3,0)*0.475*44/12</f>
        <v>0</v>
      </c>
      <c r="BS180" s="22">
        <f t="shared" si="169"/>
        <v>112.58324996351095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5.6843418860808015E-14</v>
      </c>
      <c r="BZ180" s="13">
        <f>BY180*VLOOKUP('Données projet'!$B$12,Paramètres!$A$1:$I$89,3,0)*VLOOKUP('Données projet'!$B$12,Paramètres!$A$1:$I$89,5,0)</f>
        <v>5.9412741393316544E-14</v>
      </c>
      <c r="CA180" s="13">
        <f t="shared" si="170"/>
        <v>9.483138037075784E-13</v>
      </c>
      <c r="CB180" s="20">
        <f t="shared" si="171"/>
        <v>1.7551237327173918E-12</v>
      </c>
      <c r="CC180" s="59">
        <f t="shared" si="119"/>
        <v>293.33333333333508</v>
      </c>
      <c r="CD180" s="59">
        <f ca="1">AVERAGE(OFFSET($CC$3,0,0,'Données projet'!$E$12+1,1))-AVERAGE(OFFSET($H$3,0,0,'Données projet'!$E$12+1,1))</f>
        <v>423.49657671419374</v>
      </c>
      <c r="CE180" s="59">
        <f t="shared" si="148"/>
        <v>329.6783569381081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130.05306461302126</v>
      </c>
      <c r="CL180" s="21">
        <f>EXP(-LN(2)/25)*CL179+(1-EXP(-LN(2)/25))/(LN(2)/25)*Calculateur!CG180*Calculateur!CI180*VLOOKUP('Données projet'!$B$12,Paramètres!$A$1:$I$89,3,0)*0.475*44/12</f>
        <v>0</v>
      </c>
      <c r="CM180" s="21">
        <f>EXP(-LN(2)/2)*CM179+(1-EXP(-LN(2)/2))/(LN(2)/2)*CG180*CJ180*VLOOKUP('Données projet'!$B$12,Paramètres!$A$1:$I$89,3,0)*0.475*44/12</f>
        <v>0</v>
      </c>
      <c r="CN180" s="22">
        <f t="shared" si="172"/>
        <v>130.05306461302126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5.6843418860808015E-14</v>
      </c>
      <c r="CU180" s="17">
        <f>CT180*VLOOKUP('Données projet'!$B$13,Paramètres!$A$1:$I$89,3,0)*VLOOKUP('Données projet'!$B$13,Paramètres!$A$1:$I$89,5,0)</f>
        <v>5.7639226724859328E-14</v>
      </c>
      <c r="CV180" s="13">
        <f t="shared" si="173"/>
        <v>9.2325701996134334E-13</v>
      </c>
      <c r="CW180" s="20">
        <f t="shared" si="174"/>
        <v>1.708394296311803E-12</v>
      </c>
      <c r="CX180" s="59">
        <f t="shared" si="122"/>
        <v>293.33333333333502</v>
      </c>
      <c r="CY180" s="59">
        <f ca="1">AVERAGE(OFFSET($CX$3,0,0,'Données projet'!$E$13+1,1))-AVERAGE(OFFSET($H$3,0,0,'Données projet'!$E$13+1,1))</f>
        <v>407.76560346703042</v>
      </c>
      <c r="CZ180" s="59">
        <f t="shared" si="150"/>
        <v>319.35531375725202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>
        <f>EXP(-LN(2)/35)*DF179+(1-EXP(-LN(2)/35))/(LN(2)/35)*DB180*DC180*VLOOKUP('Données projet'!$B$13,Paramètres!$A$1:$I$89,3,0)*0.475*44/12</f>
        <v>126.17088357979677</v>
      </c>
      <c r="DG180" s="21">
        <f>EXP(-LN(2)/25)*DG179+(1-EXP(-LN(2)/25))/(LN(2)/25)*Calculateur!DB180*Calculateur!DD180*VLOOKUP('Données projet'!$B$13,Paramètres!$A$1:$I$89,3,0)*0.475*44/12</f>
        <v>0</v>
      </c>
      <c r="DH180" s="21">
        <f>EXP(-LN(2)/2)*DH179+(1-EXP(-LN(2)/2))/(LN(2)/2)*DB180*DE180*VLOOKUP('Données projet'!$B$13,Paramètres!$A$1:$I$89,3,0)*0.475*44/12</f>
        <v>0</v>
      </c>
      <c r="DI180" s="22">
        <f t="shared" si="175"/>
        <v>126.17088357979677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2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158.27759999999984</v>
      </c>
      <c r="D181" s="11">
        <f t="shared" si="140"/>
        <v>40.45377889899725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1534.0667844834863</v>
      </c>
      <c r="H181" s="67">
        <f t="shared" si="110"/>
        <v>602.79048491575327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0</v>
      </c>
      <c r="O181" s="13">
        <f>N181*VLOOKUP('Données projet'!$B$9,Paramètres!$A$1:$I$89,3,0)*VLOOKUP('Données projet'!$B$9,Paramètres!$A$1:$I$89,5,0)</f>
        <v>0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101.15586831191774</v>
      </c>
      <c r="T181" s="59">
        <f t="shared" si="142"/>
        <v>346.96347336689064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2.1737147280105606</v>
      </c>
      <c r="AA181" s="21">
        <f>EXP(-LN(2)/25)*AA180+(1-EXP(-LN(2)/25))/(LN(2)/25)*Calculateur!V181*Calculateur!X181*VLOOKUP('Données projet'!$B$9,Paramètres!$A$1:$I$89,3,0)*0.475*44/12</f>
        <v>0.27236780908569475</v>
      </c>
      <c r="AB181" s="21">
        <f>EXP(-LN(2)/2)*AB180+(1-EXP(-LN(2)/2))/(LN(2)/2)*V181*Y181*VLOOKUP('Données projet'!$B$9,Paramètres!$A$1:$I$89,3,0)*0.475*44/12</f>
        <v>0</v>
      </c>
      <c r="AC181" s="22">
        <f t="shared" si="163"/>
        <v>2.4460825370962556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0</v>
      </c>
      <c r="AJ181" s="13">
        <f>AI181*VLOOKUP('Données projet'!$B$10,Paramètres!$A$1:$I$89,3,0)*VLOOKUP('Données projet'!$B$10,Paramètres!$A$1:$I$89,5,0)</f>
        <v>0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101.15586831191774</v>
      </c>
      <c r="AO181" s="59">
        <f t="shared" si="144"/>
        <v>346.96347336689064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2.1737147280105606</v>
      </c>
      <c r="AV181" s="21">
        <f>EXP(-LN(2)/25)*AV180+(1-EXP(-LN(2)/25))/(LN(2)/25)*Calculateur!AQ181*Calculateur!AS181*VLOOKUP('Données projet'!$B$10,Paramètres!$A$1:$I$89,3,0)*0.475*44/12</f>
        <v>0.27236780908569475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2.4460825370962556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5.6843418860808015E-14</v>
      </c>
      <c r="BE181" s="13">
        <f>BD181*VLOOKUP('Données projet'!$B$11,Paramètres!$A$1:$I$89,3,0)*VLOOKUP('Données projet'!$B$11,Paramètres!$A$1:$I$89,5,0)</f>
        <v>5.1431925385259088E-14</v>
      </c>
      <c r="BF181" s="13">
        <f t="shared" si="167"/>
        <v>8.3482866290946129E-13</v>
      </c>
      <c r="BG181" s="20">
        <f t="shared" si="168"/>
        <v>1.5435705246133045E-12</v>
      </c>
      <c r="BH181" s="59">
        <f t="shared" si="116"/>
        <v>293.33333333333485</v>
      </c>
      <c r="BI181" s="59">
        <f ca="1">AVERAGE(OFFSET($BH$3,0,0,'Données projet'!$E$11+1,1))-AVERAGE(OFFSET($H$3,0,0,'Données projet'!$E$11+1,1))</f>
        <v>352.62747127358324</v>
      </c>
      <c r="BJ181" s="59">
        <f t="shared" si="146"/>
        <v>283.16932763435011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110.37556110072848</v>
      </c>
      <c r="BQ181" s="21">
        <f>EXP(-LN(2)/25)*BQ180+(1-EXP(-LN(2)/25))/(LN(2)/25)*Calculateur!BL181*Calculateur!BN181*VLOOKUP('Données projet'!$B$11,Paramètres!$A$1:$I$89,3,0)*0.475*44/12</f>
        <v>0</v>
      </c>
      <c r="BR181" s="21">
        <f>EXP(-LN(2)/2)*BR180+(1-EXP(-LN(2)/2))/(LN(2)/2)*BL181*BO181*VLOOKUP('Données projet'!$B$11,Paramètres!$A$1:$I$89,3,0)*0.475*44/12</f>
        <v>0</v>
      </c>
      <c r="BS181" s="22">
        <f t="shared" si="169"/>
        <v>110.37556110072848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5.6843418860808015E-14</v>
      </c>
      <c r="BZ181" s="13">
        <f>BY181*VLOOKUP('Données projet'!$B$12,Paramètres!$A$1:$I$89,3,0)*VLOOKUP('Données projet'!$B$12,Paramètres!$A$1:$I$89,5,0)</f>
        <v>5.9412741393316544E-14</v>
      </c>
      <c r="CA181" s="13">
        <f t="shared" si="170"/>
        <v>9.483138037075784E-13</v>
      </c>
      <c r="CB181" s="20">
        <f t="shared" si="171"/>
        <v>1.7551237327173918E-12</v>
      </c>
      <c r="CC181" s="59">
        <f t="shared" si="119"/>
        <v>293.33333333333508</v>
      </c>
      <c r="CD181" s="59">
        <f ca="1">AVERAGE(OFFSET($CC$3,0,0,'Données projet'!$E$12+1,1))-AVERAGE(OFFSET($H$3,0,0,'Données projet'!$E$12+1,1))</f>
        <v>423.49657671419374</v>
      </c>
      <c r="CE181" s="59">
        <f t="shared" si="148"/>
        <v>329.6783569381081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127.50280334049668</v>
      </c>
      <c r="CL181" s="21">
        <f>EXP(-LN(2)/25)*CL180+(1-EXP(-LN(2)/25))/(LN(2)/25)*Calculateur!CG181*Calculateur!CI181*VLOOKUP('Données projet'!$B$12,Paramètres!$A$1:$I$89,3,0)*0.475*44/12</f>
        <v>0</v>
      </c>
      <c r="CM181" s="21">
        <f>EXP(-LN(2)/2)*CM180+(1-EXP(-LN(2)/2))/(LN(2)/2)*CG181*CJ181*VLOOKUP('Données projet'!$B$12,Paramètres!$A$1:$I$89,3,0)*0.475*44/12</f>
        <v>0</v>
      </c>
      <c r="CN181" s="22">
        <f t="shared" si="172"/>
        <v>127.50280334049668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5.6843418860808015E-14</v>
      </c>
      <c r="CU181" s="17">
        <f>CT181*VLOOKUP('Données projet'!$B$13,Paramètres!$A$1:$I$89,3,0)*VLOOKUP('Données projet'!$B$13,Paramètres!$A$1:$I$89,5,0)</f>
        <v>5.7639226724859328E-14</v>
      </c>
      <c r="CV181" s="13">
        <f t="shared" si="173"/>
        <v>9.2325701996134334E-13</v>
      </c>
      <c r="CW181" s="20">
        <f t="shared" si="174"/>
        <v>1.708394296311803E-12</v>
      </c>
      <c r="CX181" s="59">
        <f t="shared" si="122"/>
        <v>293.33333333333502</v>
      </c>
      <c r="CY181" s="59">
        <f ca="1">AVERAGE(OFFSET($CX$3,0,0,'Données projet'!$E$13+1,1))-AVERAGE(OFFSET($H$3,0,0,'Données projet'!$E$13+1,1))</f>
        <v>407.76560346703042</v>
      </c>
      <c r="CZ181" s="59">
        <f t="shared" si="150"/>
        <v>319.35531375725202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123.6967495094371</v>
      </c>
      <c r="DG181" s="21">
        <f>EXP(-LN(2)/25)*DG180+(1-EXP(-LN(2)/25))/(LN(2)/25)*Calculateur!DB181*Calculateur!DD181*VLOOKUP('Données projet'!$B$13,Paramètres!$A$1:$I$89,3,0)*0.475*44/12</f>
        <v>0</v>
      </c>
      <c r="DH181" s="21">
        <f>EXP(-LN(2)/2)*DH180+(1-EXP(-LN(2)/2))/(LN(2)/2)*DB181*DE181*VLOOKUP('Données projet'!$B$13,Paramètres!$A$1:$I$89,3,0)*0.475*44/12</f>
        <v>0</v>
      </c>
      <c r="DI181" s="22">
        <f t="shared" si="175"/>
        <v>123.6967495094371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2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159.16679999999982</v>
      </c>
      <c r="D182" s="11">
        <f t="shared" si="140"/>
        <v>40.654527752930711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1542.4804247594639</v>
      </c>
      <c r="H182" s="67">
        <f t="shared" si="110"/>
        <v>604.6888125030207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0</v>
      </c>
      <c r="O182" s="13">
        <f>N182*VLOOKUP('Données projet'!$B$9,Paramètres!$A$1:$I$89,3,0)*VLOOKUP('Données projet'!$B$9,Paramètres!$A$1:$I$89,5,0)</f>
        <v>0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101.15586831191774</v>
      </c>
      <c r="T182" s="59">
        <f t="shared" si="142"/>
        <v>346.96347336689064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2.1310895080293424</v>
      </c>
      <c r="AA182" s="21">
        <f>EXP(-LN(2)/25)*AA181+(1-EXP(-LN(2)/25))/(LN(2)/25)*Calculateur!V182*Calculateur!X182*VLOOKUP('Données projet'!$B$9,Paramètres!$A$1:$I$89,3,0)*0.475*44/12</f>
        <v>0.26491989702304586</v>
      </c>
      <c r="AB182" s="21">
        <f>EXP(-LN(2)/2)*AB181+(1-EXP(-LN(2)/2))/(LN(2)/2)*V182*Y182*VLOOKUP('Données projet'!$B$9,Paramètres!$A$1:$I$89,3,0)*0.475*44/12</f>
        <v>0</v>
      </c>
      <c r="AC182" s="22">
        <f t="shared" si="163"/>
        <v>2.3960094050523884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0</v>
      </c>
      <c r="AJ182" s="13">
        <f>AI182*VLOOKUP('Données projet'!$B$10,Paramètres!$A$1:$I$89,3,0)*VLOOKUP('Données projet'!$B$10,Paramètres!$A$1:$I$89,5,0)</f>
        <v>0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101.15586831191774</v>
      </c>
      <c r="AO182" s="59">
        <f t="shared" si="144"/>
        <v>346.96347336689064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2.1310895080293424</v>
      </c>
      <c r="AV182" s="21">
        <f>EXP(-LN(2)/25)*AV181+(1-EXP(-LN(2)/25))/(LN(2)/25)*Calculateur!AQ182*Calculateur!AS182*VLOOKUP('Données projet'!$B$10,Paramètres!$A$1:$I$89,3,0)*0.475*44/12</f>
        <v>0.26491989702304586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2.3960094050523884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5.6843418860808015E-14</v>
      </c>
      <c r="BE182" s="13">
        <f>BD182*VLOOKUP('Données projet'!$B$11,Paramètres!$A$1:$I$89,3,0)*VLOOKUP('Données projet'!$B$11,Paramètres!$A$1:$I$89,5,0)</f>
        <v>5.1431925385259088E-14</v>
      </c>
      <c r="BF182" s="13">
        <f t="shared" si="167"/>
        <v>8.3482866290946129E-13</v>
      </c>
      <c r="BG182" s="20">
        <f t="shared" si="168"/>
        <v>1.5435705246133045E-12</v>
      </c>
      <c r="BH182" s="59">
        <f t="shared" si="116"/>
        <v>293.33333333333485</v>
      </c>
      <c r="BI182" s="59">
        <f ca="1">AVERAGE(OFFSET($BH$3,0,0,'Données projet'!$E$11+1,1))-AVERAGE(OFFSET($H$3,0,0,'Données projet'!$E$11+1,1))</f>
        <v>352.62747127358324</v>
      </c>
      <c r="BJ182" s="59">
        <f t="shared" si="146"/>
        <v>283.16932763435011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108.21116366998793</v>
      </c>
      <c r="BQ182" s="21">
        <f>EXP(-LN(2)/25)*BQ181+(1-EXP(-LN(2)/25))/(LN(2)/25)*Calculateur!BL182*Calculateur!BN182*VLOOKUP('Données projet'!$B$11,Paramètres!$A$1:$I$89,3,0)*0.475*44/12</f>
        <v>0</v>
      </c>
      <c r="BR182" s="21">
        <f>EXP(-LN(2)/2)*BR181+(1-EXP(-LN(2)/2))/(LN(2)/2)*BL182*BO182*VLOOKUP('Données projet'!$B$11,Paramètres!$A$1:$I$89,3,0)*0.475*44/12</f>
        <v>0</v>
      </c>
      <c r="BS182" s="22">
        <f t="shared" si="169"/>
        <v>108.21116366998793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5.6843418860808015E-14</v>
      </c>
      <c r="BZ182" s="13">
        <f>BY182*VLOOKUP('Données projet'!$B$12,Paramètres!$A$1:$I$89,3,0)*VLOOKUP('Données projet'!$B$12,Paramètres!$A$1:$I$89,5,0)</f>
        <v>5.9412741393316544E-14</v>
      </c>
      <c r="CA182" s="13">
        <f t="shared" si="170"/>
        <v>9.483138037075784E-13</v>
      </c>
      <c r="CB182" s="20">
        <f t="shared" si="171"/>
        <v>1.7551237327173918E-12</v>
      </c>
      <c r="CC182" s="59">
        <f t="shared" si="119"/>
        <v>293.33333333333508</v>
      </c>
      <c r="CD182" s="59">
        <f ca="1">AVERAGE(OFFSET($CC$3,0,0,'Données projet'!$E$12+1,1))-AVERAGE(OFFSET($H$3,0,0,'Données projet'!$E$12+1,1))</f>
        <v>423.49657671419374</v>
      </c>
      <c r="CE182" s="59">
        <f t="shared" si="148"/>
        <v>329.6783569381081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125.00255113602053</v>
      </c>
      <c r="CL182" s="21">
        <f>EXP(-LN(2)/25)*CL181+(1-EXP(-LN(2)/25))/(LN(2)/25)*Calculateur!CG182*Calculateur!CI182*VLOOKUP('Données projet'!$B$12,Paramètres!$A$1:$I$89,3,0)*0.475*44/12</f>
        <v>0</v>
      </c>
      <c r="CM182" s="21">
        <f>EXP(-LN(2)/2)*CM181+(1-EXP(-LN(2)/2))/(LN(2)/2)*CG182*CJ182*VLOOKUP('Données projet'!$B$12,Paramètres!$A$1:$I$89,3,0)*0.475*44/12</f>
        <v>0</v>
      </c>
      <c r="CN182" s="22">
        <f t="shared" si="172"/>
        <v>125.00255113602053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5.6843418860808015E-14</v>
      </c>
      <c r="CU182" s="17">
        <f>CT182*VLOOKUP('Données projet'!$B$13,Paramètres!$A$1:$I$89,3,0)*VLOOKUP('Données projet'!$B$13,Paramètres!$A$1:$I$89,5,0)</f>
        <v>5.7639226724859328E-14</v>
      </c>
      <c r="CV182" s="13">
        <f t="shared" si="173"/>
        <v>9.2325701996134334E-13</v>
      </c>
      <c r="CW182" s="20">
        <f t="shared" si="174"/>
        <v>1.708394296311803E-12</v>
      </c>
      <c r="CX182" s="59">
        <f t="shared" si="122"/>
        <v>293.33333333333502</v>
      </c>
      <c r="CY182" s="59">
        <f ca="1">AVERAGE(OFFSET($CX$3,0,0,'Données projet'!$E$13+1,1))-AVERAGE(OFFSET($H$3,0,0,'Données projet'!$E$13+1,1))</f>
        <v>407.76560346703042</v>
      </c>
      <c r="CZ182" s="59">
        <f t="shared" si="150"/>
        <v>319.35531375725202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121.27113169912441</v>
      </c>
      <c r="DG182" s="21">
        <f>EXP(-LN(2)/25)*DG181+(1-EXP(-LN(2)/25))/(LN(2)/25)*Calculateur!DB182*Calculateur!DD182*VLOOKUP('Données projet'!$B$13,Paramètres!$A$1:$I$89,3,0)*0.475*44/12</f>
        <v>0</v>
      </c>
      <c r="DH182" s="21">
        <f>EXP(-LN(2)/2)*DH181+(1-EXP(-LN(2)/2))/(LN(2)/2)*DB182*DE182*VLOOKUP('Données projet'!$B$13,Paramètres!$A$1:$I$89,3,0)*0.475*44/12</f>
        <v>0</v>
      </c>
      <c r="DI182" s="22">
        <f t="shared" si="175"/>
        <v>121.27113169912441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2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160.05599999999981</v>
      </c>
      <c r="D183" s="11">
        <f t="shared" si="140"/>
        <v>40.855146105751388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1550.8930576584305</v>
      </c>
      <c r="H183" s="67">
        <f t="shared" si="110"/>
        <v>606.58691280085009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0</v>
      </c>
      <c r="O183" s="13">
        <f>N183*VLOOKUP('Données projet'!$B$9,Paramètres!$A$1:$I$89,3,0)*VLOOKUP('Données projet'!$B$9,Paramètres!$A$1:$I$89,5,0)</f>
        <v>0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101.15586831191774</v>
      </c>
      <c r="T183" s="59">
        <f t="shared" si="142"/>
        <v>346.96347336689064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2.0893001426131388</v>
      </c>
      <c r="AA183" s="21">
        <f>EXP(-LN(2)/25)*AA182+(1-EXP(-LN(2)/25))/(LN(2)/25)*Calculateur!V183*Calculateur!X183*VLOOKUP('Données projet'!$B$9,Paramètres!$A$1:$I$89,3,0)*0.475*44/12</f>
        <v>0.25767564850741875</v>
      </c>
      <c r="AB183" s="21">
        <f>EXP(-LN(2)/2)*AB182+(1-EXP(-LN(2)/2))/(LN(2)/2)*V183*Y183*VLOOKUP('Données projet'!$B$9,Paramètres!$A$1:$I$89,3,0)*0.475*44/12</f>
        <v>0</v>
      </c>
      <c r="AC183" s="22">
        <f t="shared" si="163"/>
        <v>2.3469757911205575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0</v>
      </c>
      <c r="AJ183" s="13">
        <f>AI183*VLOOKUP('Données projet'!$B$10,Paramètres!$A$1:$I$89,3,0)*VLOOKUP('Données projet'!$B$10,Paramètres!$A$1:$I$89,5,0)</f>
        <v>0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101.15586831191774</v>
      </c>
      <c r="AO183" s="59">
        <f t="shared" si="144"/>
        <v>346.96347336689064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2.0893001426131388</v>
      </c>
      <c r="AV183" s="21">
        <f>EXP(-LN(2)/25)*AV182+(1-EXP(-LN(2)/25))/(LN(2)/25)*Calculateur!AQ183*Calculateur!AS183*VLOOKUP('Données projet'!$B$10,Paramètres!$A$1:$I$89,3,0)*0.475*44/12</f>
        <v>0.25767564850741875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2.3469757911205575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5.6843418860808015E-14</v>
      </c>
      <c r="BE183" s="13">
        <f>BD183*VLOOKUP('Données projet'!$B$11,Paramètres!$A$1:$I$89,3,0)*VLOOKUP('Données projet'!$B$11,Paramètres!$A$1:$I$89,5,0)</f>
        <v>5.1431925385259088E-14</v>
      </c>
      <c r="BF183" s="13">
        <f t="shared" si="167"/>
        <v>8.3482866290946129E-13</v>
      </c>
      <c r="BG183" s="20">
        <f t="shared" si="168"/>
        <v>1.5435705246133045E-12</v>
      </c>
      <c r="BH183" s="59">
        <f t="shared" si="116"/>
        <v>293.33333333333485</v>
      </c>
      <c r="BI183" s="59">
        <f ca="1">AVERAGE(OFFSET($BH$3,0,0,'Données projet'!$E$11+1,1))-AVERAGE(OFFSET($H$3,0,0,'Données projet'!$E$11+1,1))</f>
        <v>352.62747127358324</v>
      </c>
      <c r="BJ183" s="59">
        <f t="shared" si="146"/>
        <v>283.16932763435011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106.08920875271211</v>
      </c>
      <c r="BQ183" s="21">
        <f>EXP(-LN(2)/25)*BQ182+(1-EXP(-LN(2)/25))/(LN(2)/25)*Calculateur!BL183*Calculateur!BN183*VLOOKUP('Données projet'!$B$11,Paramètres!$A$1:$I$89,3,0)*0.475*44/12</f>
        <v>0</v>
      </c>
      <c r="BR183" s="21">
        <f>EXP(-LN(2)/2)*BR182+(1-EXP(-LN(2)/2))/(LN(2)/2)*BL183*BO183*VLOOKUP('Données projet'!$B$11,Paramètres!$A$1:$I$89,3,0)*0.475*44/12</f>
        <v>0</v>
      </c>
      <c r="BS183" s="22">
        <f t="shared" si="169"/>
        <v>106.08920875271211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5.6843418860808015E-14</v>
      </c>
      <c r="BZ183" s="13">
        <f>BY183*VLOOKUP('Données projet'!$B$12,Paramètres!$A$1:$I$89,3,0)*VLOOKUP('Données projet'!$B$12,Paramètres!$A$1:$I$89,5,0)</f>
        <v>5.9412741393316544E-14</v>
      </c>
      <c r="CA183" s="13">
        <f t="shared" si="170"/>
        <v>9.483138037075784E-13</v>
      </c>
      <c r="CB183" s="20">
        <f t="shared" si="171"/>
        <v>1.7551237327173918E-12</v>
      </c>
      <c r="CC183" s="59">
        <f t="shared" si="119"/>
        <v>293.33333333333508</v>
      </c>
      <c r="CD183" s="59">
        <f ca="1">AVERAGE(OFFSET($CC$3,0,0,'Données projet'!$E$12+1,1))-AVERAGE(OFFSET($H$3,0,0,'Données projet'!$E$12+1,1))</f>
        <v>423.49657671419374</v>
      </c>
      <c r="CE183" s="59">
        <f t="shared" si="148"/>
        <v>329.6783569381081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122.55132735227089</v>
      </c>
      <c r="CL183" s="21">
        <f>EXP(-LN(2)/25)*CL182+(1-EXP(-LN(2)/25))/(LN(2)/25)*Calculateur!CG183*Calculateur!CI183*VLOOKUP('Données projet'!$B$12,Paramètres!$A$1:$I$89,3,0)*0.475*44/12</f>
        <v>0</v>
      </c>
      <c r="CM183" s="21">
        <f>EXP(-LN(2)/2)*CM182+(1-EXP(-LN(2)/2))/(LN(2)/2)*CG183*CJ183*VLOOKUP('Données projet'!$B$12,Paramètres!$A$1:$I$89,3,0)*0.475*44/12</f>
        <v>0</v>
      </c>
      <c r="CN183" s="22">
        <f t="shared" si="172"/>
        <v>122.55132735227089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5.6843418860808015E-14</v>
      </c>
      <c r="CU183" s="17">
        <f>CT183*VLOOKUP('Données projet'!$B$13,Paramètres!$A$1:$I$89,3,0)*VLOOKUP('Données projet'!$B$13,Paramètres!$A$1:$I$89,5,0)</f>
        <v>5.7639226724859328E-14</v>
      </c>
      <c r="CV183" s="13">
        <f t="shared" si="173"/>
        <v>9.2325701996134334E-13</v>
      </c>
      <c r="CW183" s="20">
        <f t="shared" si="174"/>
        <v>1.708394296311803E-12</v>
      </c>
      <c r="CX183" s="59">
        <f t="shared" si="122"/>
        <v>293.33333333333502</v>
      </c>
      <c r="CY183" s="59">
        <f ca="1">AVERAGE(OFFSET($CX$3,0,0,'Données projet'!$E$13+1,1))-AVERAGE(OFFSET($H$3,0,0,'Données projet'!$E$13+1,1))</f>
        <v>407.76560346703042</v>
      </c>
      <c r="CZ183" s="59">
        <f t="shared" si="150"/>
        <v>319.35531375725202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>
        <f>EXP(-LN(2)/35)*DF182+(1-EXP(-LN(2)/35))/(LN(2)/35)*DB183*DC183*VLOOKUP('Données projet'!$B$13,Paramètres!$A$1:$I$89,3,0)*0.475*44/12</f>
        <v>118.89307877459117</v>
      </c>
      <c r="DG183" s="21">
        <f>EXP(-LN(2)/25)*DG182+(1-EXP(-LN(2)/25))/(LN(2)/25)*Calculateur!DB183*Calculateur!DD183*VLOOKUP('Données projet'!$B$13,Paramètres!$A$1:$I$89,3,0)*0.475*44/12</f>
        <v>0</v>
      </c>
      <c r="DH183" s="21">
        <f>EXP(-LN(2)/2)*DH182+(1-EXP(-LN(2)/2))/(LN(2)/2)*DB183*DE183*VLOOKUP('Données projet'!$B$13,Paramètres!$A$1:$I$89,3,0)*0.475*44/12</f>
        <v>0</v>
      </c>
      <c r="DI183" s="22">
        <f t="shared" si="175"/>
        <v>118.89307877459117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2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160.9451999999998</v>
      </c>
      <c r="D184" s="11">
        <f t="shared" si="140"/>
        <v>41.055634766602871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1559.3046894264069</v>
      </c>
      <c r="H184" s="67">
        <f t="shared" si="110"/>
        <v>608.48478721849972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0</v>
      </c>
      <c r="O184" s="13">
        <f>N184*VLOOKUP('Données projet'!$B$9,Paramètres!$A$1:$I$89,3,0)*VLOOKUP('Données projet'!$B$9,Paramètres!$A$1:$I$89,5,0)</f>
        <v>0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101.15586831191774</v>
      </c>
      <c r="T184" s="59">
        <f t="shared" si="142"/>
        <v>346.96347336689064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2.0483302411637507</v>
      </c>
      <c r="AA184" s="21">
        <f>EXP(-LN(2)/25)*AA183+(1-EXP(-LN(2)/25))/(LN(2)/25)*Calculateur!V184*Calculateur!X184*VLOOKUP('Données projet'!$B$9,Paramètres!$A$1:$I$89,3,0)*0.475*44/12</f>
        <v>0.25062949434840998</v>
      </c>
      <c r="AB184" s="21">
        <f>EXP(-LN(2)/2)*AB183+(1-EXP(-LN(2)/2))/(LN(2)/2)*V184*Y184*VLOOKUP('Données projet'!$B$9,Paramètres!$A$1:$I$89,3,0)*0.475*44/12</f>
        <v>0</v>
      </c>
      <c r="AC184" s="22">
        <f t="shared" si="163"/>
        <v>2.2989597355121605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0</v>
      </c>
      <c r="AJ184" s="13">
        <f>AI184*VLOOKUP('Données projet'!$B$10,Paramètres!$A$1:$I$89,3,0)*VLOOKUP('Données projet'!$B$10,Paramètres!$A$1:$I$89,5,0)</f>
        <v>0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101.15586831191774</v>
      </c>
      <c r="AO184" s="59">
        <f t="shared" si="144"/>
        <v>346.96347336689064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2.0483302411637507</v>
      </c>
      <c r="AV184" s="21">
        <f>EXP(-LN(2)/25)*AV183+(1-EXP(-LN(2)/25))/(LN(2)/25)*Calculateur!AQ184*Calculateur!AS184*VLOOKUP('Données projet'!$B$10,Paramètres!$A$1:$I$89,3,0)*0.475*44/12</f>
        <v>0.25062949434840998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2.2989597355121605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5.6843418860808015E-14</v>
      </c>
      <c r="BE184" s="13">
        <f>BD184*VLOOKUP('Données projet'!$B$11,Paramètres!$A$1:$I$89,3,0)*VLOOKUP('Données projet'!$B$11,Paramètres!$A$1:$I$89,5,0)</f>
        <v>5.1431925385259088E-14</v>
      </c>
      <c r="BF184" s="13">
        <f t="shared" si="167"/>
        <v>8.3482866290946129E-13</v>
      </c>
      <c r="BG184" s="20">
        <f t="shared" si="168"/>
        <v>1.5435705246133045E-12</v>
      </c>
      <c r="BH184" s="59">
        <f t="shared" si="116"/>
        <v>293.33333333333485</v>
      </c>
      <c r="BI184" s="59">
        <f ca="1">AVERAGE(OFFSET($BH$3,0,0,'Données projet'!$E$11+1,1))-AVERAGE(OFFSET($H$3,0,0,'Données projet'!$E$11+1,1))</f>
        <v>352.62747127358324</v>
      </c>
      <c r="BJ184" s="59">
        <f t="shared" si="146"/>
        <v>283.16932763435011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104.00886407709937</v>
      </c>
      <c r="BQ184" s="21">
        <f>EXP(-LN(2)/25)*BQ183+(1-EXP(-LN(2)/25))/(LN(2)/25)*Calculateur!BL184*Calculateur!BN184*VLOOKUP('Données projet'!$B$11,Paramètres!$A$1:$I$89,3,0)*0.475*44/12</f>
        <v>0</v>
      </c>
      <c r="BR184" s="21">
        <f>EXP(-LN(2)/2)*BR183+(1-EXP(-LN(2)/2))/(LN(2)/2)*BL184*BO184*VLOOKUP('Données projet'!$B$11,Paramètres!$A$1:$I$89,3,0)*0.475*44/12</f>
        <v>0</v>
      </c>
      <c r="BS184" s="22">
        <f t="shared" si="169"/>
        <v>104.00886407709937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5.6843418860808015E-14</v>
      </c>
      <c r="BZ184" s="13">
        <f>BY184*VLOOKUP('Données projet'!$B$12,Paramètres!$A$1:$I$89,3,0)*VLOOKUP('Données projet'!$B$12,Paramètres!$A$1:$I$89,5,0)</f>
        <v>5.9412741393316544E-14</v>
      </c>
      <c r="CA184" s="13">
        <f t="shared" si="170"/>
        <v>9.483138037075784E-13</v>
      </c>
      <c r="CB184" s="20">
        <f t="shared" si="171"/>
        <v>1.7551237327173918E-12</v>
      </c>
      <c r="CC184" s="59">
        <f t="shared" si="119"/>
        <v>293.33333333333508</v>
      </c>
      <c r="CD184" s="59">
        <f ca="1">AVERAGE(OFFSET($CC$3,0,0,'Données projet'!$E$12+1,1))-AVERAGE(OFFSET($H$3,0,0,'Données projet'!$E$12+1,1))</f>
        <v>423.49657671419374</v>
      </c>
      <c r="CE184" s="59">
        <f t="shared" si="148"/>
        <v>329.6783569381081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120.14817057182169</v>
      </c>
      <c r="CL184" s="21">
        <f>EXP(-LN(2)/25)*CL183+(1-EXP(-LN(2)/25))/(LN(2)/25)*Calculateur!CG184*Calculateur!CI184*VLOOKUP('Données projet'!$B$12,Paramètres!$A$1:$I$89,3,0)*0.475*44/12</f>
        <v>0</v>
      </c>
      <c r="CM184" s="21">
        <f>EXP(-LN(2)/2)*CM183+(1-EXP(-LN(2)/2))/(LN(2)/2)*CG184*CJ184*VLOOKUP('Données projet'!$B$12,Paramètres!$A$1:$I$89,3,0)*0.475*44/12</f>
        <v>0</v>
      </c>
      <c r="CN184" s="22">
        <f t="shared" si="172"/>
        <v>120.14817057182169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5.6843418860808015E-14</v>
      </c>
      <c r="CU184" s="17">
        <f>CT184*VLOOKUP('Données projet'!$B$13,Paramètres!$A$1:$I$89,3,0)*VLOOKUP('Données projet'!$B$13,Paramètres!$A$1:$I$89,5,0)</f>
        <v>5.7639226724859328E-14</v>
      </c>
      <c r="CV184" s="13">
        <f t="shared" si="173"/>
        <v>9.2325701996134334E-13</v>
      </c>
      <c r="CW184" s="20">
        <f t="shared" si="174"/>
        <v>1.708394296311803E-12</v>
      </c>
      <c r="CX184" s="59">
        <f t="shared" si="122"/>
        <v>293.33333333333502</v>
      </c>
      <c r="CY184" s="59">
        <f ca="1">AVERAGE(OFFSET($CX$3,0,0,'Données projet'!$E$13+1,1))-AVERAGE(OFFSET($H$3,0,0,'Données projet'!$E$13+1,1))</f>
        <v>407.76560346703042</v>
      </c>
      <c r="CZ184" s="59">
        <f t="shared" si="150"/>
        <v>319.35531375725202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116.56165801743897</v>
      </c>
      <c r="DG184" s="21">
        <f>EXP(-LN(2)/25)*DG183+(1-EXP(-LN(2)/25))/(LN(2)/25)*Calculateur!DB184*Calculateur!DD184*VLOOKUP('Données projet'!$B$13,Paramètres!$A$1:$I$89,3,0)*0.475*44/12</f>
        <v>0</v>
      </c>
      <c r="DH184" s="21">
        <f>EXP(-LN(2)/2)*DH183+(1-EXP(-LN(2)/2))/(LN(2)/2)*DB184*DE184*VLOOKUP('Données projet'!$B$13,Paramètres!$A$1:$I$89,3,0)*0.475*44/12</f>
        <v>0</v>
      </c>
      <c r="DI184" s="22">
        <f t="shared" si="175"/>
        <v>116.56165801743897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2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161.83439999999979</v>
      </c>
      <c r="D185" s="11">
        <f t="shared" si="140"/>
        <v>41.255994535170444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1567.7153262364018</v>
      </c>
      <c r="H185" s="67">
        <f t="shared" si="110"/>
        <v>610.38243714875489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0</v>
      </c>
      <c r="O185" s="13">
        <f>N185*VLOOKUP('Données projet'!$B$9,Paramètres!$A$1:$I$89,3,0)*VLOOKUP('Données projet'!$B$9,Paramètres!$A$1:$I$89,5,0)</f>
        <v>0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101.15586831191774</v>
      </c>
      <c r="T185" s="59">
        <f t="shared" si="142"/>
        <v>346.96347336689064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2.0081637344926127</v>
      </c>
      <c r="AA185" s="21">
        <f>EXP(-LN(2)/25)*AA184+(1-EXP(-LN(2)/25))/(LN(2)/25)*Calculateur!V185*Calculateur!X185*VLOOKUP('Données projet'!$B$9,Paramètres!$A$1:$I$89,3,0)*0.475*44/12</f>
        <v>0.24377601764542042</v>
      </c>
      <c r="AB185" s="21">
        <f>EXP(-LN(2)/2)*AB184+(1-EXP(-LN(2)/2))/(LN(2)/2)*V185*Y185*VLOOKUP('Données projet'!$B$9,Paramètres!$A$1:$I$89,3,0)*0.475*44/12</f>
        <v>0</v>
      </c>
      <c r="AC185" s="22">
        <f t="shared" si="163"/>
        <v>2.2519397521380329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0</v>
      </c>
      <c r="AJ185" s="13">
        <f>AI185*VLOOKUP('Données projet'!$B$10,Paramètres!$A$1:$I$89,3,0)*VLOOKUP('Données projet'!$B$10,Paramètres!$A$1:$I$89,5,0)</f>
        <v>0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101.15586831191774</v>
      </c>
      <c r="AO185" s="59">
        <f t="shared" si="144"/>
        <v>346.96347336689064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2.0081637344926127</v>
      </c>
      <c r="AV185" s="21">
        <f>EXP(-LN(2)/25)*AV184+(1-EXP(-LN(2)/25))/(LN(2)/25)*Calculateur!AQ185*Calculateur!AS185*VLOOKUP('Données projet'!$B$10,Paramètres!$A$1:$I$89,3,0)*0.475*44/12</f>
        <v>0.24377601764542042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2.2519397521380329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5.6843418860808015E-14</v>
      </c>
      <c r="BE185" s="13">
        <f>BD185*VLOOKUP('Données projet'!$B$11,Paramètres!$A$1:$I$89,3,0)*VLOOKUP('Données projet'!$B$11,Paramètres!$A$1:$I$89,5,0)</f>
        <v>5.1431925385259088E-14</v>
      </c>
      <c r="BF185" s="13">
        <f t="shared" si="167"/>
        <v>8.3482866290946129E-13</v>
      </c>
      <c r="BG185" s="20">
        <f t="shared" si="168"/>
        <v>1.5435705246133045E-12</v>
      </c>
      <c r="BH185" s="59">
        <f t="shared" si="116"/>
        <v>293.33333333333485</v>
      </c>
      <c r="BI185" s="59">
        <f ca="1">AVERAGE(OFFSET($BH$3,0,0,'Données projet'!$E$11+1,1))-AVERAGE(OFFSET($H$3,0,0,'Données projet'!$E$11+1,1))</f>
        <v>352.62747127358324</v>
      </c>
      <c r="BJ185" s="59">
        <f t="shared" si="146"/>
        <v>283.16932763435011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101.96931369169045</v>
      </c>
      <c r="BQ185" s="21">
        <f>EXP(-LN(2)/25)*BQ184+(1-EXP(-LN(2)/25))/(LN(2)/25)*Calculateur!BL185*Calculateur!BN185*VLOOKUP('Données projet'!$B$11,Paramètres!$A$1:$I$89,3,0)*0.475*44/12</f>
        <v>0</v>
      </c>
      <c r="BR185" s="21">
        <f>EXP(-LN(2)/2)*BR184+(1-EXP(-LN(2)/2))/(LN(2)/2)*BL185*BO185*VLOOKUP('Données projet'!$B$11,Paramètres!$A$1:$I$89,3,0)*0.475*44/12</f>
        <v>0</v>
      </c>
      <c r="BS185" s="22">
        <f t="shared" si="169"/>
        <v>101.96931369169045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5.6843418860808015E-14</v>
      </c>
      <c r="BZ185" s="13">
        <f>BY185*VLOOKUP('Données projet'!$B$12,Paramètres!$A$1:$I$89,3,0)*VLOOKUP('Données projet'!$B$12,Paramètres!$A$1:$I$89,5,0)</f>
        <v>5.9412741393316544E-14</v>
      </c>
      <c r="CA185" s="13">
        <f t="shared" si="170"/>
        <v>9.483138037075784E-13</v>
      </c>
      <c r="CB185" s="20">
        <f t="shared" si="171"/>
        <v>1.7551237327173918E-12</v>
      </c>
      <c r="CC185" s="59">
        <f t="shared" si="119"/>
        <v>293.33333333333508</v>
      </c>
      <c r="CD185" s="59">
        <f ca="1">AVERAGE(OFFSET($CC$3,0,0,'Données projet'!$E$12+1,1))-AVERAGE(OFFSET($H$3,0,0,'Données projet'!$E$12+1,1))</f>
        <v>423.49657671419374</v>
      </c>
      <c r="CE185" s="59">
        <f t="shared" si="148"/>
        <v>329.6783569381081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117.79213823005621</v>
      </c>
      <c r="CL185" s="21">
        <f>EXP(-LN(2)/25)*CL184+(1-EXP(-LN(2)/25))/(LN(2)/25)*Calculateur!CG185*Calculateur!CI185*VLOOKUP('Données projet'!$B$12,Paramètres!$A$1:$I$89,3,0)*0.475*44/12</f>
        <v>0</v>
      </c>
      <c r="CM185" s="21">
        <f>EXP(-LN(2)/2)*CM184+(1-EXP(-LN(2)/2))/(LN(2)/2)*CG185*CJ185*VLOOKUP('Données projet'!$B$12,Paramètres!$A$1:$I$89,3,0)*0.475*44/12</f>
        <v>0</v>
      </c>
      <c r="CN185" s="22">
        <f t="shared" si="172"/>
        <v>117.79213823005621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5.6843418860808015E-14</v>
      </c>
      <c r="CU185" s="17">
        <f>CT185*VLOOKUP('Données projet'!$B$13,Paramètres!$A$1:$I$89,3,0)*VLOOKUP('Données projet'!$B$13,Paramètres!$A$1:$I$89,5,0)</f>
        <v>5.7639226724859328E-14</v>
      </c>
      <c r="CV185" s="13">
        <f t="shared" si="173"/>
        <v>9.2325701996134334E-13</v>
      </c>
      <c r="CW185" s="20">
        <f t="shared" si="174"/>
        <v>1.708394296311803E-12</v>
      </c>
      <c r="CX185" s="59">
        <f t="shared" si="122"/>
        <v>293.33333333333502</v>
      </c>
      <c r="CY185" s="59">
        <f ca="1">AVERAGE(OFFSET($CX$3,0,0,'Données projet'!$E$13+1,1))-AVERAGE(OFFSET($H$3,0,0,'Données projet'!$E$13+1,1))</f>
        <v>407.76560346703042</v>
      </c>
      <c r="CZ185" s="59">
        <f t="shared" si="150"/>
        <v>319.35531375725202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114.27595499930828</v>
      </c>
      <c r="DG185" s="21">
        <f>EXP(-LN(2)/25)*DG184+(1-EXP(-LN(2)/25))/(LN(2)/25)*Calculateur!DB185*Calculateur!DD185*VLOOKUP('Données projet'!$B$13,Paramètres!$A$1:$I$89,3,0)*0.475*44/12</f>
        <v>0</v>
      </c>
      <c r="DH185" s="21">
        <f>EXP(-LN(2)/2)*DH184+(1-EXP(-LN(2)/2))/(LN(2)/2)*DB185*DE185*VLOOKUP('Données projet'!$B$13,Paramètres!$A$1:$I$89,3,0)*0.475*44/12</f>
        <v>0</v>
      </c>
      <c r="DI185" s="22">
        <f t="shared" si="175"/>
        <v>114.27595499930828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2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162.72359999999978</v>
      </c>
      <c r="D186" s="11">
        <f t="shared" si="140"/>
        <v>41.456226201843137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1576.1249741896645</v>
      </c>
      <c r="H186" s="67">
        <f t="shared" si="110"/>
        <v>612.27986396820972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0</v>
      </c>
      <c r="O186" s="13">
        <f>N186*VLOOKUP('Données projet'!$B$9,Paramètres!$A$1:$I$89,3,0)*VLOOKUP('Données projet'!$B$9,Paramètres!$A$1:$I$89,5,0)</f>
        <v>0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101.15586831191774</v>
      </c>
      <c r="T186" s="59">
        <f t="shared" si="142"/>
        <v>346.96347336689064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1.9687848685181457</v>
      </c>
      <c r="AA186" s="21">
        <f>EXP(-LN(2)/25)*AA185+(1-EXP(-LN(2)/25))/(LN(2)/25)*Calculateur!V186*Calculateur!X186*VLOOKUP('Données projet'!$B$9,Paramètres!$A$1:$I$89,3,0)*0.475*44/12</f>
        <v>0.2371099496232828</v>
      </c>
      <c r="AB186" s="21">
        <f>EXP(-LN(2)/2)*AB185+(1-EXP(-LN(2)/2))/(LN(2)/2)*V186*Y186*VLOOKUP('Données projet'!$B$9,Paramètres!$A$1:$I$89,3,0)*0.475*44/12</f>
        <v>0</v>
      </c>
      <c r="AC186" s="22">
        <f t="shared" si="163"/>
        <v>2.2058948181414286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0</v>
      </c>
      <c r="AJ186" s="13">
        <f>AI186*VLOOKUP('Données projet'!$B$10,Paramètres!$A$1:$I$89,3,0)*VLOOKUP('Données projet'!$B$10,Paramètres!$A$1:$I$89,5,0)</f>
        <v>0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101.15586831191774</v>
      </c>
      <c r="AO186" s="59">
        <f t="shared" si="144"/>
        <v>346.96347336689064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1.9687848685181457</v>
      </c>
      <c r="AV186" s="21">
        <f>EXP(-LN(2)/25)*AV185+(1-EXP(-LN(2)/25))/(LN(2)/25)*Calculateur!AQ186*Calculateur!AS186*VLOOKUP('Données projet'!$B$10,Paramètres!$A$1:$I$89,3,0)*0.475*44/12</f>
        <v>0.2371099496232828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2.2058948181414286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5.6843418860808015E-14</v>
      </c>
      <c r="BE186" s="13">
        <f>BD186*VLOOKUP('Données projet'!$B$11,Paramètres!$A$1:$I$89,3,0)*VLOOKUP('Données projet'!$B$11,Paramètres!$A$1:$I$89,5,0)</f>
        <v>5.1431925385259088E-14</v>
      </c>
      <c r="BF186" s="13">
        <f t="shared" si="167"/>
        <v>8.3482866290946129E-13</v>
      </c>
      <c r="BG186" s="20">
        <f t="shared" si="168"/>
        <v>1.5435705246133045E-12</v>
      </c>
      <c r="BH186" s="59">
        <f t="shared" si="116"/>
        <v>293.33333333333485</v>
      </c>
      <c r="BI186" s="59">
        <f ca="1">AVERAGE(OFFSET($BH$3,0,0,'Données projet'!$E$11+1,1))-AVERAGE(OFFSET($H$3,0,0,'Données projet'!$E$11+1,1))</f>
        <v>352.62747127358324</v>
      </c>
      <c r="BJ186" s="59">
        <f t="shared" si="146"/>
        <v>283.16932763435011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99.969757645336486</v>
      </c>
      <c r="BQ186" s="21">
        <f>EXP(-LN(2)/25)*BQ185+(1-EXP(-LN(2)/25))/(LN(2)/25)*Calculateur!BL186*Calculateur!BN186*VLOOKUP('Données projet'!$B$11,Paramètres!$A$1:$I$89,3,0)*0.475*44/12</f>
        <v>0</v>
      </c>
      <c r="BR186" s="21">
        <f>EXP(-LN(2)/2)*BR185+(1-EXP(-LN(2)/2))/(LN(2)/2)*BL186*BO186*VLOOKUP('Données projet'!$B$11,Paramètres!$A$1:$I$89,3,0)*0.475*44/12</f>
        <v>0</v>
      </c>
      <c r="BS186" s="22">
        <f t="shared" si="169"/>
        <v>99.969757645336486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5.6843418860808015E-14</v>
      </c>
      <c r="BZ186" s="13">
        <f>BY186*VLOOKUP('Données projet'!$B$12,Paramètres!$A$1:$I$89,3,0)*VLOOKUP('Données projet'!$B$12,Paramètres!$A$1:$I$89,5,0)</f>
        <v>5.9412741393316544E-14</v>
      </c>
      <c r="CA186" s="13">
        <f t="shared" si="170"/>
        <v>9.483138037075784E-13</v>
      </c>
      <c r="CB186" s="20">
        <f t="shared" si="171"/>
        <v>1.7551237327173918E-12</v>
      </c>
      <c r="CC186" s="59">
        <f t="shared" si="119"/>
        <v>293.33333333333508</v>
      </c>
      <c r="CD186" s="59">
        <f ca="1">AVERAGE(OFFSET($CC$3,0,0,'Données projet'!$E$12+1,1))-AVERAGE(OFFSET($H$3,0,0,'Données projet'!$E$12+1,1))</f>
        <v>423.49657671419374</v>
      </c>
      <c r="CE186" s="59">
        <f t="shared" si="148"/>
        <v>329.6783569381081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115.48230624547492</v>
      </c>
      <c r="CL186" s="21">
        <f>EXP(-LN(2)/25)*CL185+(1-EXP(-LN(2)/25))/(LN(2)/25)*Calculateur!CG186*Calculateur!CI186*VLOOKUP('Données projet'!$B$12,Paramètres!$A$1:$I$89,3,0)*0.475*44/12</f>
        <v>0</v>
      </c>
      <c r="CM186" s="21">
        <f>EXP(-LN(2)/2)*CM185+(1-EXP(-LN(2)/2))/(LN(2)/2)*CG186*CJ186*VLOOKUP('Données projet'!$B$12,Paramètres!$A$1:$I$89,3,0)*0.475*44/12</f>
        <v>0</v>
      </c>
      <c r="CN186" s="22">
        <f t="shared" si="172"/>
        <v>115.48230624547492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5.6843418860808015E-14</v>
      </c>
      <c r="CU186" s="17">
        <f>CT186*VLOOKUP('Données projet'!$B$13,Paramètres!$A$1:$I$89,3,0)*VLOOKUP('Données projet'!$B$13,Paramètres!$A$1:$I$89,5,0)</f>
        <v>5.7639226724859328E-14</v>
      </c>
      <c r="CV186" s="13">
        <f t="shared" si="173"/>
        <v>9.2325701996134334E-13</v>
      </c>
      <c r="CW186" s="20">
        <f t="shared" si="174"/>
        <v>1.708394296311803E-12</v>
      </c>
      <c r="CX186" s="59">
        <f t="shared" si="122"/>
        <v>293.33333333333502</v>
      </c>
      <c r="CY186" s="59">
        <f ca="1">AVERAGE(OFFSET($CX$3,0,0,'Données projet'!$E$13+1,1))-AVERAGE(OFFSET($H$3,0,0,'Données projet'!$E$13+1,1))</f>
        <v>407.76560346703042</v>
      </c>
      <c r="CZ186" s="59">
        <f t="shared" si="150"/>
        <v>319.35531375725202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>
        <f>EXP(-LN(2)/35)*DF185+(1-EXP(-LN(2)/35))/(LN(2)/35)*DB186*DC186*VLOOKUP('Données projet'!$B$13,Paramètres!$A$1:$I$89,3,0)*0.475*44/12</f>
        <v>112.03507322322196</v>
      </c>
      <c r="DG186" s="21">
        <f>EXP(-LN(2)/25)*DG185+(1-EXP(-LN(2)/25))/(LN(2)/25)*Calculateur!DB186*Calculateur!DD186*VLOOKUP('Données projet'!$B$13,Paramètres!$A$1:$I$89,3,0)*0.475*44/12</f>
        <v>0</v>
      </c>
      <c r="DH186" s="21">
        <f>EXP(-LN(2)/2)*DH185+(1-EXP(-LN(2)/2))/(LN(2)/2)*DB186*DE186*VLOOKUP('Données projet'!$B$13,Paramètres!$A$1:$I$89,3,0)*0.475*44/12</f>
        <v>0</v>
      </c>
      <c r="DI186" s="22">
        <f t="shared" si="175"/>
        <v>112.03507322322196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2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163.61279999999977</v>
      </c>
      <c r="D187" s="11">
        <f t="shared" si="140"/>
        <v>41.656330547871768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1584.533639316903</v>
      </c>
      <c r="H187" s="67">
        <f t="shared" si="110"/>
        <v>614.17706903754288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0</v>
      </c>
      <c r="O187" s="13">
        <f>N187*VLOOKUP('Données projet'!$B$9,Paramètres!$A$1:$I$89,3,0)*VLOOKUP('Données projet'!$B$9,Paramètres!$A$1:$I$89,5,0)</f>
        <v>0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101.15586831191774</v>
      </c>
      <c r="T187" s="59">
        <f t="shared" si="142"/>
        <v>346.96347336689064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1.9301781980867017</v>
      </c>
      <c r="AA187" s="21">
        <f>EXP(-LN(2)/25)*AA186+(1-EXP(-LN(2)/25))/(LN(2)/25)*Calculateur!V187*Calculateur!X187*VLOOKUP('Données projet'!$B$9,Paramètres!$A$1:$I$89,3,0)*0.475*44/12</f>
        <v>0.2306261655817638</v>
      </c>
      <c r="AB187" s="21">
        <f>EXP(-LN(2)/2)*AB186+(1-EXP(-LN(2)/2))/(LN(2)/2)*V187*Y187*VLOOKUP('Données projet'!$B$9,Paramètres!$A$1:$I$89,3,0)*0.475*44/12</f>
        <v>0</v>
      </c>
      <c r="AC187" s="22">
        <f t="shared" si="163"/>
        <v>2.1608043636684653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0</v>
      </c>
      <c r="AJ187" s="13">
        <f>AI187*VLOOKUP('Données projet'!$B$10,Paramètres!$A$1:$I$89,3,0)*VLOOKUP('Données projet'!$B$10,Paramètres!$A$1:$I$89,5,0)</f>
        <v>0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101.15586831191774</v>
      </c>
      <c r="AO187" s="59">
        <f t="shared" si="144"/>
        <v>346.96347336689064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1.9301781980867017</v>
      </c>
      <c r="AV187" s="21">
        <f>EXP(-LN(2)/25)*AV186+(1-EXP(-LN(2)/25))/(LN(2)/25)*Calculateur!AQ187*Calculateur!AS187*VLOOKUP('Données projet'!$B$10,Paramètres!$A$1:$I$89,3,0)*0.475*44/12</f>
        <v>0.2306261655817638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2.1608043636684653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5.6843418860808015E-14</v>
      </c>
      <c r="BE187" s="13">
        <f>BD187*VLOOKUP('Données projet'!$B$11,Paramètres!$A$1:$I$89,3,0)*VLOOKUP('Données projet'!$B$11,Paramètres!$A$1:$I$89,5,0)</f>
        <v>5.1431925385259088E-14</v>
      </c>
      <c r="BF187" s="13">
        <f t="shared" si="167"/>
        <v>8.3482866290946129E-13</v>
      </c>
      <c r="BG187" s="20">
        <f t="shared" si="168"/>
        <v>1.5435705246133045E-12</v>
      </c>
      <c r="BH187" s="59">
        <f t="shared" si="116"/>
        <v>293.33333333333485</v>
      </c>
      <c r="BI187" s="59">
        <f ca="1">AVERAGE(OFFSET($BH$3,0,0,'Données projet'!$E$11+1,1))-AVERAGE(OFFSET($H$3,0,0,'Données projet'!$E$11+1,1))</f>
        <v>352.62747127358324</v>
      </c>
      <c r="BJ187" s="59">
        <f t="shared" si="146"/>
        <v>283.16932763435011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98.00941167344277</v>
      </c>
      <c r="BQ187" s="21">
        <f>EXP(-LN(2)/25)*BQ186+(1-EXP(-LN(2)/25))/(LN(2)/25)*Calculateur!BL187*Calculateur!BN187*VLOOKUP('Données projet'!$B$11,Paramètres!$A$1:$I$89,3,0)*0.475*44/12</f>
        <v>0</v>
      </c>
      <c r="BR187" s="21">
        <f>EXP(-LN(2)/2)*BR186+(1-EXP(-LN(2)/2))/(LN(2)/2)*BL187*BO187*VLOOKUP('Données projet'!$B$11,Paramètres!$A$1:$I$89,3,0)*0.475*44/12</f>
        <v>0</v>
      </c>
      <c r="BS187" s="22">
        <f t="shared" si="169"/>
        <v>98.00941167344277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5.6843418860808015E-14</v>
      </c>
      <c r="BZ187" s="13">
        <f>BY187*VLOOKUP('Données projet'!$B$12,Paramètres!$A$1:$I$89,3,0)*VLOOKUP('Données projet'!$B$12,Paramètres!$A$1:$I$89,5,0)</f>
        <v>5.9412741393316544E-14</v>
      </c>
      <c r="CA187" s="13">
        <f t="shared" si="170"/>
        <v>9.483138037075784E-13</v>
      </c>
      <c r="CB187" s="20">
        <f t="shared" si="171"/>
        <v>1.7551237327173918E-12</v>
      </c>
      <c r="CC187" s="59">
        <f t="shared" si="119"/>
        <v>293.33333333333508</v>
      </c>
      <c r="CD187" s="59">
        <f ca="1">AVERAGE(OFFSET($CC$3,0,0,'Données projet'!$E$12+1,1))-AVERAGE(OFFSET($H$3,0,0,'Données projet'!$E$12+1,1))</f>
        <v>423.49657671419374</v>
      </c>
      <c r="CE187" s="59">
        <f t="shared" si="148"/>
        <v>329.6783569381081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113.21776865725286</v>
      </c>
      <c r="CL187" s="21">
        <f>EXP(-LN(2)/25)*CL186+(1-EXP(-LN(2)/25))/(LN(2)/25)*Calculateur!CG187*Calculateur!CI187*VLOOKUP('Données projet'!$B$12,Paramètres!$A$1:$I$89,3,0)*0.475*44/12</f>
        <v>0</v>
      </c>
      <c r="CM187" s="21">
        <f>EXP(-LN(2)/2)*CM186+(1-EXP(-LN(2)/2))/(LN(2)/2)*CG187*CJ187*VLOOKUP('Données projet'!$B$12,Paramètres!$A$1:$I$89,3,0)*0.475*44/12</f>
        <v>0</v>
      </c>
      <c r="CN187" s="22">
        <f t="shared" si="172"/>
        <v>113.21776865725286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5.6843418860808015E-14</v>
      </c>
      <c r="CU187" s="17">
        <f>CT187*VLOOKUP('Données projet'!$B$13,Paramètres!$A$1:$I$89,3,0)*VLOOKUP('Données projet'!$B$13,Paramètres!$A$1:$I$89,5,0)</f>
        <v>5.7639226724859328E-14</v>
      </c>
      <c r="CV187" s="13">
        <f t="shared" si="173"/>
        <v>9.2325701996134334E-13</v>
      </c>
      <c r="CW187" s="20">
        <f t="shared" si="174"/>
        <v>1.708394296311803E-12</v>
      </c>
      <c r="CX187" s="59">
        <f t="shared" si="122"/>
        <v>293.33333333333502</v>
      </c>
      <c r="CY187" s="59">
        <f ca="1">AVERAGE(OFFSET($CX$3,0,0,'Données projet'!$E$13+1,1))-AVERAGE(OFFSET($H$3,0,0,'Données projet'!$E$13+1,1))</f>
        <v>407.76560346703042</v>
      </c>
      <c r="CZ187" s="59">
        <f t="shared" si="150"/>
        <v>319.35531375725202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109.83813377196175</v>
      </c>
      <c r="DG187" s="21">
        <f>EXP(-LN(2)/25)*DG186+(1-EXP(-LN(2)/25))/(LN(2)/25)*Calculateur!DB187*Calculateur!DD187*VLOOKUP('Données projet'!$B$13,Paramètres!$A$1:$I$89,3,0)*0.475*44/12</f>
        <v>0</v>
      </c>
      <c r="DH187" s="21">
        <f>EXP(-LN(2)/2)*DH186+(1-EXP(-LN(2)/2))/(LN(2)/2)*DB187*DE187*VLOOKUP('Données projet'!$B$13,Paramètres!$A$1:$I$89,3,0)*0.475*44/12</f>
        <v>0</v>
      </c>
      <c r="DI187" s="22">
        <f t="shared" si="175"/>
        <v>109.83813377196175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2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164.50199999999975</v>
      </c>
      <c r="D188" s="11">
        <f t="shared" si="140"/>
        <v>41.856308345523843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1592.9413275794805</v>
      </c>
      <c r="H188" s="67">
        <f t="shared" si="110"/>
        <v>616.07405370178697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0</v>
      </c>
      <c r="O188" s="13">
        <f>N188*VLOOKUP('Données projet'!$B$9,Paramètres!$A$1:$I$89,3,0)*VLOOKUP('Données projet'!$B$9,Paramètres!$A$1:$I$89,5,0)</f>
        <v>0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101.15586831191774</v>
      </c>
      <c r="T188" s="59">
        <f t="shared" si="142"/>
        <v>346.96347336689064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1.8923285809146744</v>
      </c>
      <c r="AA188" s="21">
        <f>EXP(-LN(2)/25)*AA187+(1-EXP(-LN(2)/25))/(LN(2)/25)*Calculateur!V188*Calculateur!X188*VLOOKUP('Données projet'!$B$9,Paramètres!$A$1:$I$89,3,0)*0.475*44/12</f>
        <v>0.22431968095582752</v>
      </c>
      <c r="AB188" s="21">
        <f>EXP(-LN(2)/2)*AB187+(1-EXP(-LN(2)/2))/(LN(2)/2)*V188*Y188*VLOOKUP('Données projet'!$B$9,Paramètres!$A$1:$I$89,3,0)*0.475*44/12</f>
        <v>0</v>
      </c>
      <c r="AC188" s="22">
        <f t="shared" si="163"/>
        <v>2.1166482618705018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0</v>
      </c>
      <c r="AJ188" s="13">
        <f>AI188*VLOOKUP('Données projet'!$B$10,Paramètres!$A$1:$I$89,3,0)*VLOOKUP('Données projet'!$B$10,Paramètres!$A$1:$I$89,5,0)</f>
        <v>0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101.15586831191774</v>
      </c>
      <c r="AO188" s="59">
        <f t="shared" si="144"/>
        <v>346.96347336689064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1.8923285809146744</v>
      </c>
      <c r="AV188" s="21">
        <f>EXP(-LN(2)/25)*AV187+(1-EXP(-LN(2)/25))/(LN(2)/25)*Calculateur!AQ188*Calculateur!AS188*VLOOKUP('Données projet'!$B$10,Paramètres!$A$1:$I$89,3,0)*0.475*44/12</f>
        <v>0.22431968095582752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2.1166482618705018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5.6843418860808015E-14</v>
      </c>
      <c r="BE188" s="13">
        <f>BD188*VLOOKUP('Données projet'!$B$11,Paramètres!$A$1:$I$89,3,0)*VLOOKUP('Données projet'!$B$11,Paramètres!$A$1:$I$89,5,0)</f>
        <v>5.1431925385259088E-14</v>
      </c>
      <c r="BF188" s="13">
        <f t="shared" si="167"/>
        <v>8.3482866290946129E-13</v>
      </c>
      <c r="BG188" s="20">
        <f t="shared" si="168"/>
        <v>1.5435705246133045E-12</v>
      </c>
      <c r="BH188" s="59">
        <f t="shared" si="116"/>
        <v>293.33333333333485</v>
      </c>
      <c r="BI188" s="59">
        <f ca="1">AVERAGE(OFFSET($BH$3,0,0,'Données projet'!$E$11+1,1))-AVERAGE(OFFSET($H$3,0,0,'Données projet'!$E$11+1,1))</f>
        <v>352.62747127358324</v>
      </c>
      <c r="BJ188" s="59">
        <f t="shared" si="146"/>
        <v>283.16932763435011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96.087506890364907</v>
      </c>
      <c r="BQ188" s="21">
        <f>EXP(-LN(2)/25)*BQ187+(1-EXP(-LN(2)/25))/(LN(2)/25)*Calculateur!BL188*Calculateur!BN188*VLOOKUP('Données projet'!$B$11,Paramètres!$A$1:$I$89,3,0)*0.475*44/12</f>
        <v>0</v>
      </c>
      <c r="BR188" s="21">
        <f>EXP(-LN(2)/2)*BR187+(1-EXP(-LN(2)/2))/(LN(2)/2)*BL188*BO188*VLOOKUP('Données projet'!$B$11,Paramètres!$A$1:$I$89,3,0)*0.475*44/12</f>
        <v>0</v>
      </c>
      <c r="BS188" s="22">
        <f t="shared" si="169"/>
        <v>96.087506890364907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5.6843418860808015E-14</v>
      </c>
      <c r="BZ188" s="13">
        <f>BY188*VLOOKUP('Données projet'!$B$12,Paramètres!$A$1:$I$89,3,0)*VLOOKUP('Données projet'!$B$12,Paramètres!$A$1:$I$89,5,0)</f>
        <v>5.9412741393316544E-14</v>
      </c>
      <c r="CA188" s="13">
        <f t="shared" si="170"/>
        <v>9.483138037075784E-13</v>
      </c>
      <c r="CB188" s="20">
        <f t="shared" si="171"/>
        <v>1.7551237327173918E-12</v>
      </c>
      <c r="CC188" s="59">
        <f t="shared" si="119"/>
        <v>293.33333333333508</v>
      </c>
      <c r="CD188" s="59">
        <f ca="1">AVERAGE(OFFSET($CC$3,0,0,'Données projet'!$E$12+1,1))-AVERAGE(OFFSET($H$3,0,0,'Données projet'!$E$12+1,1))</f>
        <v>423.49657671419374</v>
      </c>
      <c r="CE188" s="59">
        <f t="shared" si="148"/>
        <v>329.6783569381081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110.9976372699043</v>
      </c>
      <c r="CL188" s="21">
        <f>EXP(-LN(2)/25)*CL187+(1-EXP(-LN(2)/25))/(LN(2)/25)*Calculateur!CG188*Calculateur!CI188*VLOOKUP('Données projet'!$B$12,Paramètres!$A$1:$I$89,3,0)*0.475*44/12</f>
        <v>0</v>
      </c>
      <c r="CM188" s="21">
        <f>EXP(-LN(2)/2)*CM187+(1-EXP(-LN(2)/2))/(LN(2)/2)*CG188*CJ188*VLOOKUP('Données projet'!$B$12,Paramètres!$A$1:$I$89,3,0)*0.475*44/12</f>
        <v>0</v>
      </c>
      <c r="CN188" s="22">
        <f t="shared" si="172"/>
        <v>110.9976372699043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5.6843418860808015E-14</v>
      </c>
      <c r="CU188" s="17">
        <f>CT188*VLOOKUP('Données projet'!$B$13,Paramètres!$A$1:$I$89,3,0)*VLOOKUP('Données projet'!$B$13,Paramètres!$A$1:$I$89,5,0)</f>
        <v>5.7639226724859328E-14</v>
      </c>
      <c r="CV188" s="13">
        <f t="shared" si="173"/>
        <v>9.2325701996134334E-13</v>
      </c>
      <c r="CW188" s="20">
        <f t="shared" si="174"/>
        <v>1.708394296311803E-12</v>
      </c>
      <c r="CX188" s="59">
        <f t="shared" si="122"/>
        <v>293.33333333333502</v>
      </c>
      <c r="CY188" s="59">
        <f ca="1">AVERAGE(OFFSET($CX$3,0,0,'Données projet'!$E$13+1,1))-AVERAGE(OFFSET($H$3,0,0,'Données projet'!$E$13+1,1))</f>
        <v>407.76560346703042</v>
      </c>
      <c r="CZ188" s="59">
        <f t="shared" si="150"/>
        <v>319.35531375725202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107.68427496334002</v>
      </c>
      <c r="DG188" s="21">
        <f>EXP(-LN(2)/25)*DG187+(1-EXP(-LN(2)/25))/(LN(2)/25)*Calculateur!DB188*Calculateur!DD188*VLOOKUP('Données projet'!$B$13,Paramètres!$A$1:$I$89,3,0)*0.475*44/12</f>
        <v>0</v>
      </c>
      <c r="DH188" s="21">
        <f>EXP(-LN(2)/2)*DH187+(1-EXP(-LN(2)/2))/(LN(2)/2)*DB188*DE188*VLOOKUP('Données projet'!$B$13,Paramètres!$A$1:$I$89,3,0)*0.475*44/12</f>
        <v>0</v>
      </c>
      <c r="DI188" s="22">
        <f t="shared" si="175"/>
        <v>107.68427496334002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2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165.39119999999974</v>
      </c>
      <c r="D189" s="11">
        <f t="shared" si="140"/>
        <v>42.056160358234798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1601.3480448705823</v>
      </c>
      <c r="H189" s="67">
        <f t="shared" si="110"/>
        <v>617.97081929059186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0</v>
      </c>
      <c r="O189" s="13">
        <f>N189*VLOOKUP('Données projet'!$B$9,Paramètres!$A$1:$I$89,3,0)*VLOOKUP('Données projet'!$B$9,Paramètres!$A$1:$I$89,5,0)</f>
        <v>0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101.15586831191774</v>
      </c>
      <c r="T189" s="59">
        <f t="shared" si="142"/>
        <v>346.96347336689064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1.8552211716494036</v>
      </c>
      <c r="AA189" s="21">
        <f>EXP(-LN(2)/25)*AA188+(1-EXP(-LN(2)/25))/(LN(2)/25)*Calculateur!V189*Calculateur!X189*VLOOKUP('Données projet'!$B$9,Paramètres!$A$1:$I$89,3,0)*0.475*44/12</f>
        <v>0.21818564748363109</v>
      </c>
      <c r="AB189" s="21">
        <f>EXP(-LN(2)/2)*AB188+(1-EXP(-LN(2)/2))/(LN(2)/2)*V189*Y189*VLOOKUP('Données projet'!$B$9,Paramètres!$A$1:$I$89,3,0)*0.475*44/12</f>
        <v>0</v>
      </c>
      <c r="AC189" s="22">
        <f t="shared" si="163"/>
        <v>2.0734068191330346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0</v>
      </c>
      <c r="AJ189" s="13">
        <f>AI189*VLOOKUP('Données projet'!$B$10,Paramètres!$A$1:$I$89,3,0)*VLOOKUP('Données projet'!$B$10,Paramètres!$A$1:$I$89,5,0)</f>
        <v>0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101.15586831191774</v>
      </c>
      <c r="AO189" s="59">
        <f t="shared" si="144"/>
        <v>346.96347336689064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1.8552211716494036</v>
      </c>
      <c r="AV189" s="21">
        <f>EXP(-LN(2)/25)*AV188+(1-EXP(-LN(2)/25))/(LN(2)/25)*Calculateur!AQ189*Calculateur!AS189*VLOOKUP('Données projet'!$B$10,Paramètres!$A$1:$I$89,3,0)*0.475*44/12</f>
        <v>0.21818564748363109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2.0734068191330346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5.6843418860808015E-14</v>
      </c>
      <c r="BE189" s="13">
        <f>BD189*VLOOKUP('Données projet'!$B$11,Paramètres!$A$1:$I$89,3,0)*VLOOKUP('Données projet'!$B$11,Paramètres!$A$1:$I$89,5,0)</f>
        <v>5.1431925385259088E-14</v>
      </c>
      <c r="BF189" s="13">
        <f t="shared" si="167"/>
        <v>8.3482866290946129E-13</v>
      </c>
      <c r="BG189" s="20">
        <f t="shared" si="168"/>
        <v>1.5435705246133045E-12</v>
      </c>
      <c r="BH189" s="59">
        <f t="shared" si="116"/>
        <v>293.33333333333485</v>
      </c>
      <c r="BI189" s="59">
        <f ca="1">AVERAGE(OFFSET($BH$3,0,0,'Données projet'!$E$11+1,1))-AVERAGE(OFFSET($H$3,0,0,'Données projet'!$E$11+1,1))</f>
        <v>352.62747127358324</v>
      </c>
      <c r="BJ189" s="59">
        <f t="shared" si="146"/>
        <v>283.16932763435011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94.20328948783704</v>
      </c>
      <c r="BQ189" s="21">
        <f>EXP(-LN(2)/25)*BQ188+(1-EXP(-LN(2)/25))/(LN(2)/25)*Calculateur!BL189*Calculateur!BN189*VLOOKUP('Données projet'!$B$11,Paramètres!$A$1:$I$89,3,0)*0.475*44/12</f>
        <v>0</v>
      </c>
      <c r="BR189" s="21">
        <f>EXP(-LN(2)/2)*BR188+(1-EXP(-LN(2)/2))/(LN(2)/2)*BL189*BO189*VLOOKUP('Données projet'!$B$11,Paramètres!$A$1:$I$89,3,0)*0.475*44/12</f>
        <v>0</v>
      </c>
      <c r="BS189" s="22">
        <f t="shared" si="169"/>
        <v>94.20328948783704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5.6843418860808015E-14</v>
      </c>
      <c r="BZ189" s="13">
        <f>BY189*VLOOKUP('Données projet'!$B$12,Paramètres!$A$1:$I$89,3,0)*VLOOKUP('Données projet'!$B$12,Paramètres!$A$1:$I$89,5,0)</f>
        <v>5.9412741393316544E-14</v>
      </c>
      <c r="CA189" s="13">
        <f t="shared" si="170"/>
        <v>9.483138037075784E-13</v>
      </c>
      <c r="CB189" s="20">
        <f t="shared" si="171"/>
        <v>1.7551237327173918E-12</v>
      </c>
      <c r="CC189" s="59">
        <f t="shared" si="119"/>
        <v>293.33333333333508</v>
      </c>
      <c r="CD189" s="59">
        <f ca="1">AVERAGE(OFFSET($CC$3,0,0,'Données projet'!$E$12+1,1))-AVERAGE(OFFSET($H$3,0,0,'Données projet'!$E$12+1,1))</f>
        <v>423.49657671419374</v>
      </c>
      <c r="CE189" s="59">
        <f t="shared" si="148"/>
        <v>329.6783569381081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108.82104130491521</v>
      </c>
      <c r="CL189" s="21">
        <f>EXP(-LN(2)/25)*CL188+(1-EXP(-LN(2)/25))/(LN(2)/25)*Calculateur!CG189*Calculateur!CI189*VLOOKUP('Données projet'!$B$12,Paramètres!$A$1:$I$89,3,0)*0.475*44/12</f>
        <v>0</v>
      </c>
      <c r="CM189" s="21">
        <f>EXP(-LN(2)/2)*CM188+(1-EXP(-LN(2)/2))/(LN(2)/2)*CG189*CJ189*VLOOKUP('Données projet'!$B$12,Paramètres!$A$1:$I$89,3,0)*0.475*44/12</f>
        <v>0</v>
      </c>
      <c r="CN189" s="22">
        <f t="shared" si="172"/>
        <v>108.82104130491521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5.6843418860808015E-14</v>
      </c>
      <c r="CU189" s="17">
        <f>CT189*VLOOKUP('Données projet'!$B$13,Paramètres!$A$1:$I$89,3,0)*VLOOKUP('Données projet'!$B$13,Paramètres!$A$1:$I$89,5,0)</f>
        <v>5.7639226724859328E-14</v>
      </c>
      <c r="CV189" s="13">
        <f t="shared" si="173"/>
        <v>9.2325701996134334E-13</v>
      </c>
      <c r="CW189" s="20">
        <f t="shared" si="174"/>
        <v>1.708394296311803E-12</v>
      </c>
      <c r="CX189" s="59">
        <f t="shared" si="122"/>
        <v>293.33333333333502</v>
      </c>
      <c r="CY189" s="59">
        <f ca="1">AVERAGE(OFFSET($CX$3,0,0,'Données projet'!$E$13+1,1))-AVERAGE(OFFSET($H$3,0,0,'Données projet'!$E$13+1,1))</f>
        <v>407.76560346703042</v>
      </c>
      <c r="CZ189" s="59">
        <f t="shared" si="150"/>
        <v>319.35531375725202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105.57265201223119</v>
      </c>
      <c r="DG189" s="21">
        <f>EXP(-LN(2)/25)*DG188+(1-EXP(-LN(2)/25))/(LN(2)/25)*Calculateur!DB189*Calculateur!DD189*VLOOKUP('Données projet'!$B$13,Paramètres!$A$1:$I$89,3,0)*0.475*44/12</f>
        <v>0</v>
      </c>
      <c r="DH189" s="21">
        <f>EXP(-LN(2)/2)*DH188+(1-EXP(-LN(2)/2))/(LN(2)/2)*DB189*DE189*VLOOKUP('Données projet'!$B$13,Paramètres!$A$1:$I$89,3,0)*0.475*44/12</f>
        <v>0</v>
      </c>
      <c r="DI189" s="22">
        <f t="shared" si="175"/>
        <v>105.57265201223119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2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166.28039999999973</v>
      </c>
      <c r="D190" s="11">
        <f t="shared" si="140"/>
        <v>42.255887340755834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1609.7537970163587</v>
      </c>
      <c r="H190" s="67">
        <f t="shared" si="110"/>
        <v>619.86736711848266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0</v>
      </c>
      <c r="O190" s="13">
        <f>N190*VLOOKUP('Données projet'!$B$9,Paramètres!$A$1:$I$89,3,0)*VLOOKUP('Données projet'!$B$9,Paramètres!$A$1:$I$89,5,0)</f>
        <v>0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101.15586831191774</v>
      </c>
      <c r="T190" s="59">
        <f t="shared" si="142"/>
        <v>346.96347336689064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1.8188414160465398</v>
      </c>
      <c r="AA190" s="21">
        <f>EXP(-LN(2)/25)*AA189+(1-EXP(-LN(2)/25))/(LN(2)/25)*Calculateur!V190*Calculateur!X190*VLOOKUP('Données projet'!$B$9,Paramètres!$A$1:$I$89,3,0)*0.475*44/12</f>
        <v>0.21221934947930668</v>
      </c>
      <c r="AB190" s="21">
        <f>EXP(-LN(2)/2)*AB189+(1-EXP(-LN(2)/2))/(LN(2)/2)*V190*Y190*VLOOKUP('Données projet'!$B$9,Paramètres!$A$1:$I$89,3,0)*0.475*44/12</f>
        <v>0</v>
      </c>
      <c r="AC190" s="22">
        <f t="shared" si="163"/>
        <v>2.0310607655258464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0</v>
      </c>
      <c r="AJ190" s="13">
        <f>AI190*VLOOKUP('Données projet'!$B$10,Paramètres!$A$1:$I$89,3,0)*VLOOKUP('Données projet'!$B$10,Paramètres!$A$1:$I$89,5,0)</f>
        <v>0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101.15586831191774</v>
      </c>
      <c r="AO190" s="59">
        <f t="shared" si="144"/>
        <v>346.96347336689064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1.8188414160465398</v>
      </c>
      <c r="AV190" s="21">
        <f>EXP(-LN(2)/25)*AV189+(1-EXP(-LN(2)/25))/(LN(2)/25)*Calculateur!AQ190*Calculateur!AS190*VLOOKUP('Données projet'!$B$10,Paramètres!$A$1:$I$89,3,0)*0.475*44/12</f>
        <v>0.21221934947930668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2.0310607655258464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5.6843418860808015E-14</v>
      </c>
      <c r="BE190" s="13">
        <f>BD190*VLOOKUP('Données projet'!$B$11,Paramètres!$A$1:$I$89,3,0)*VLOOKUP('Données projet'!$B$11,Paramètres!$A$1:$I$89,5,0)</f>
        <v>5.1431925385259088E-14</v>
      </c>
      <c r="BF190" s="13">
        <f t="shared" si="167"/>
        <v>8.3482866290946129E-13</v>
      </c>
      <c r="BG190" s="20">
        <f t="shared" si="168"/>
        <v>1.5435705246133045E-12</v>
      </c>
      <c r="BH190" s="59">
        <f t="shared" si="116"/>
        <v>293.33333333333485</v>
      </c>
      <c r="BI190" s="59">
        <f ca="1">AVERAGE(OFFSET($BH$3,0,0,'Données projet'!$E$11+1,1))-AVERAGE(OFFSET($H$3,0,0,'Données projet'!$E$11+1,1))</f>
        <v>352.62747127358324</v>
      </c>
      <c r="BJ190" s="59">
        <f t="shared" si="146"/>
        <v>283.16932763435011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92.35602043931361</v>
      </c>
      <c r="BQ190" s="21">
        <f>EXP(-LN(2)/25)*BQ189+(1-EXP(-LN(2)/25))/(LN(2)/25)*Calculateur!BL190*Calculateur!BN190*VLOOKUP('Données projet'!$B$11,Paramètres!$A$1:$I$89,3,0)*0.475*44/12</f>
        <v>0</v>
      </c>
      <c r="BR190" s="21">
        <f>EXP(-LN(2)/2)*BR189+(1-EXP(-LN(2)/2))/(LN(2)/2)*BL190*BO190*VLOOKUP('Données projet'!$B$11,Paramètres!$A$1:$I$89,3,0)*0.475*44/12</f>
        <v>0</v>
      </c>
      <c r="BS190" s="22">
        <f t="shared" si="169"/>
        <v>92.35602043931361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5.6843418860808015E-14</v>
      </c>
      <c r="BZ190" s="13">
        <f>BY190*VLOOKUP('Données projet'!$B$12,Paramètres!$A$1:$I$89,3,0)*VLOOKUP('Données projet'!$B$12,Paramètres!$A$1:$I$89,5,0)</f>
        <v>5.9412741393316544E-14</v>
      </c>
      <c r="CA190" s="13">
        <f t="shared" si="170"/>
        <v>9.483138037075784E-13</v>
      </c>
      <c r="CB190" s="20">
        <f t="shared" si="171"/>
        <v>1.7551237327173918E-12</v>
      </c>
      <c r="CC190" s="59">
        <f t="shared" si="119"/>
        <v>293.33333333333508</v>
      </c>
      <c r="CD190" s="59">
        <f ca="1">AVERAGE(OFFSET($CC$3,0,0,'Données projet'!$E$12+1,1))-AVERAGE(OFFSET($H$3,0,0,'Données projet'!$E$12+1,1))</f>
        <v>423.49657671419374</v>
      </c>
      <c r="CE190" s="59">
        <f t="shared" si="148"/>
        <v>329.6783569381081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106.6871270592071</v>
      </c>
      <c r="CL190" s="21">
        <f>EXP(-LN(2)/25)*CL189+(1-EXP(-LN(2)/25))/(LN(2)/25)*Calculateur!CG190*Calculateur!CI190*VLOOKUP('Données projet'!$B$12,Paramètres!$A$1:$I$89,3,0)*0.475*44/12</f>
        <v>0</v>
      </c>
      <c r="CM190" s="21">
        <f>EXP(-LN(2)/2)*CM189+(1-EXP(-LN(2)/2))/(LN(2)/2)*CG190*CJ190*VLOOKUP('Données projet'!$B$12,Paramètres!$A$1:$I$89,3,0)*0.475*44/12</f>
        <v>0</v>
      </c>
      <c r="CN190" s="22">
        <f t="shared" si="172"/>
        <v>106.6871270592071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5.6843418860808015E-14</v>
      </c>
      <c r="CU190" s="17">
        <f>CT190*VLOOKUP('Données projet'!$B$13,Paramètres!$A$1:$I$89,3,0)*VLOOKUP('Données projet'!$B$13,Paramètres!$A$1:$I$89,5,0)</f>
        <v>5.7639226724859328E-14</v>
      </c>
      <c r="CV190" s="13">
        <f t="shared" si="173"/>
        <v>9.2325701996134334E-13</v>
      </c>
      <c r="CW190" s="20">
        <f t="shared" si="174"/>
        <v>1.708394296311803E-12</v>
      </c>
      <c r="CX190" s="59">
        <f t="shared" si="122"/>
        <v>293.33333333333502</v>
      </c>
      <c r="CY190" s="59">
        <f ca="1">AVERAGE(OFFSET($CX$3,0,0,'Données projet'!$E$13+1,1))-AVERAGE(OFFSET($H$3,0,0,'Données projet'!$E$13+1,1))</f>
        <v>407.76560346703042</v>
      </c>
      <c r="CZ190" s="59">
        <f t="shared" si="150"/>
        <v>319.35531375725202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103.50243669923078</v>
      </c>
      <c r="DG190" s="21">
        <f>EXP(-LN(2)/25)*DG189+(1-EXP(-LN(2)/25))/(LN(2)/25)*Calculateur!DB190*Calculateur!DD190*VLOOKUP('Données projet'!$B$13,Paramètres!$A$1:$I$89,3,0)*0.475*44/12</f>
        <v>0</v>
      </c>
      <c r="DH190" s="21">
        <f>EXP(-LN(2)/2)*DH189+(1-EXP(-LN(2)/2))/(LN(2)/2)*DB190*DE190*VLOOKUP('Données projet'!$B$13,Paramètres!$A$1:$I$89,3,0)*0.475*44/12</f>
        <v>0</v>
      </c>
      <c r="DI190" s="22">
        <f t="shared" si="175"/>
        <v>103.50243669923078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2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167.16959999999972</v>
      </c>
      <c r="D191" s="11">
        <f t="shared" si="140"/>
        <v>42.455490039298816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1618.1585897770412</v>
      </c>
      <c r="H191" s="67">
        <f t="shared" si="110"/>
        <v>621.7636984851116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0</v>
      </c>
      <c r="O191" s="13">
        <f>N191*VLOOKUP('Données projet'!$B$9,Paramètres!$A$1:$I$89,3,0)*VLOOKUP('Données projet'!$B$9,Paramètres!$A$1:$I$89,5,0)</f>
        <v>0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101.15586831191774</v>
      </c>
      <c r="T191" s="59">
        <f t="shared" si="142"/>
        <v>346.96347336689064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1.7831750452615884</v>
      </c>
      <c r="AA191" s="21">
        <f>EXP(-LN(2)/25)*AA190+(1-EXP(-LN(2)/25))/(LN(2)/25)*Calculateur!V191*Calculateur!X191*VLOOKUP('Données projet'!$B$9,Paramètres!$A$1:$I$89,3,0)*0.475*44/12</f>
        <v>0.20641620020766449</v>
      </c>
      <c r="AB191" s="21">
        <f>EXP(-LN(2)/2)*AB190+(1-EXP(-LN(2)/2))/(LN(2)/2)*V191*Y191*VLOOKUP('Données projet'!$B$9,Paramètres!$A$1:$I$89,3,0)*0.475*44/12</f>
        <v>0</v>
      </c>
      <c r="AC191" s="22">
        <f t="shared" si="163"/>
        <v>1.9895912454692528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0</v>
      </c>
      <c r="AJ191" s="13">
        <f>AI191*VLOOKUP('Données projet'!$B$10,Paramètres!$A$1:$I$89,3,0)*VLOOKUP('Données projet'!$B$10,Paramètres!$A$1:$I$89,5,0)</f>
        <v>0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101.15586831191774</v>
      </c>
      <c r="AO191" s="59">
        <f t="shared" si="144"/>
        <v>346.96347336689064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1.7831750452615884</v>
      </c>
      <c r="AV191" s="21">
        <f>EXP(-LN(2)/25)*AV190+(1-EXP(-LN(2)/25))/(LN(2)/25)*Calculateur!AQ191*Calculateur!AS191*VLOOKUP('Données projet'!$B$10,Paramètres!$A$1:$I$89,3,0)*0.475*44/12</f>
        <v>0.20641620020766449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1.9895912454692528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5.6843418860808015E-14</v>
      </c>
      <c r="BE191" s="13">
        <f>BD191*VLOOKUP('Données projet'!$B$11,Paramètres!$A$1:$I$89,3,0)*VLOOKUP('Données projet'!$B$11,Paramètres!$A$1:$I$89,5,0)</f>
        <v>5.1431925385259088E-14</v>
      </c>
      <c r="BF191" s="13">
        <f t="shared" si="167"/>
        <v>8.3482866290946129E-13</v>
      </c>
      <c r="BG191" s="20">
        <f t="shared" si="168"/>
        <v>1.5435705246133045E-12</v>
      </c>
      <c r="BH191" s="59">
        <f t="shared" si="116"/>
        <v>293.33333333333485</v>
      </c>
      <c r="BI191" s="59">
        <f ca="1">AVERAGE(OFFSET($BH$3,0,0,'Données projet'!$E$11+1,1))-AVERAGE(OFFSET($H$3,0,0,'Données projet'!$E$11+1,1))</f>
        <v>352.62747127358324</v>
      </c>
      <c r="BJ191" s="59">
        <f t="shared" si="146"/>
        <v>283.16932763435011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90.544975210108859</v>
      </c>
      <c r="BQ191" s="21">
        <f>EXP(-LN(2)/25)*BQ190+(1-EXP(-LN(2)/25))/(LN(2)/25)*Calculateur!BL191*Calculateur!BN191*VLOOKUP('Données projet'!$B$11,Paramètres!$A$1:$I$89,3,0)*0.475*44/12</f>
        <v>0</v>
      </c>
      <c r="BR191" s="21">
        <f>EXP(-LN(2)/2)*BR190+(1-EXP(-LN(2)/2))/(LN(2)/2)*BL191*BO191*VLOOKUP('Données projet'!$B$11,Paramètres!$A$1:$I$89,3,0)*0.475*44/12</f>
        <v>0</v>
      </c>
      <c r="BS191" s="22">
        <f t="shared" si="169"/>
        <v>90.544975210108859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5.6843418860808015E-14</v>
      </c>
      <c r="BZ191" s="13">
        <f>BY191*VLOOKUP('Données projet'!$B$12,Paramètres!$A$1:$I$89,3,0)*VLOOKUP('Données projet'!$B$12,Paramètres!$A$1:$I$89,5,0)</f>
        <v>5.9412741393316544E-14</v>
      </c>
      <c r="CA191" s="13">
        <f t="shared" si="170"/>
        <v>9.483138037075784E-13</v>
      </c>
      <c r="CB191" s="20">
        <f t="shared" si="171"/>
        <v>1.7551237327173918E-12</v>
      </c>
      <c r="CC191" s="59">
        <f t="shared" si="119"/>
        <v>293.33333333333508</v>
      </c>
      <c r="CD191" s="59">
        <f ca="1">AVERAGE(OFFSET($CC$3,0,0,'Données projet'!$E$12+1,1))-AVERAGE(OFFSET($H$3,0,0,'Données projet'!$E$12+1,1))</f>
        <v>423.49657671419374</v>
      </c>
      <c r="CE191" s="59">
        <f t="shared" si="148"/>
        <v>329.6783569381081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104.59505757029815</v>
      </c>
      <c r="CL191" s="21">
        <f>EXP(-LN(2)/25)*CL190+(1-EXP(-LN(2)/25))/(LN(2)/25)*Calculateur!CG191*Calculateur!CI191*VLOOKUP('Données projet'!$B$12,Paramètres!$A$1:$I$89,3,0)*0.475*44/12</f>
        <v>0</v>
      </c>
      <c r="CM191" s="21">
        <f>EXP(-LN(2)/2)*CM190+(1-EXP(-LN(2)/2))/(LN(2)/2)*CG191*CJ191*VLOOKUP('Données projet'!$B$12,Paramètres!$A$1:$I$89,3,0)*0.475*44/12</f>
        <v>0</v>
      </c>
      <c r="CN191" s="22">
        <f t="shared" si="172"/>
        <v>104.59505757029815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5.6843418860808015E-14</v>
      </c>
      <c r="CU191" s="17">
        <f>CT191*VLOOKUP('Données projet'!$B$13,Paramètres!$A$1:$I$89,3,0)*VLOOKUP('Données projet'!$B$13,Paramètres!$A$1:$I$89,5,0)</f>
        <v>5.7639226724859328E-14</v>
      </c>
      <c r="CV191" s="13">
        <f t="shared" si="173"/>
        <v>9.2325701996134334E-13</v>
      </c>
      <c r="CW191" s="20">
        <f t="shared" si="174"/>
        <v>1.708394296311803E-12</v>
      </c>
      <c r="CX191" s="59">
        <f t="shared" si="122"/>
        <v>293.33333333333502</v>
      </c>
      <c r="CY191" s="59">
        <f ca="1">AVERAGE(OFFSET($CX$3,0,0,'Données projet'!$E$13+1,1))-AVERAGE(OFFSET($H$3,0,0,'Données projet'!$E$13+1,1))</f>
        <v>407.76560346703042</v>
      </c>
      <c r="CZ191" s="59">
        <f t="shared" si="150"/>
        <v>319.35531375725202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101.47281704581167</v>
      </c>
      <c r="DG191" s="21">
        <f>EXP(-LN(2)/25)*DG190+(1-EXP(-LN(2)/25))/(LN(2)/25)*Calculateur!DB191*Calculateur!DD191*VLOOKUP('Données projet'!$B$13,Paramètres!$A$1:$I$89,3,0)*0.475*44/12</f>
        <v>0</v>
      </c>
      <c r="DH191" s="21">
        <f>EXP(-LN(2)/2)*DH190+(1-EXP(-LN(2)/2))/(LN(2)/2)*DB191*DE191*VLOOKUP('Données projet'!$B$13,Paramètres!$A$1:$I$89,3,0)*0.475*44/12</f>
        <v>0</v>
      </c>
      <c r="DI191" s="22">
        <f t="shared" si="175"/>
        <v>101.47281704581167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2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168.05879999999971</v>
      </c>
      <c r="D192" s="11">
        <f t="shared" si="140"/>
        <v>42.65496919167748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1626.5624288480346</v>
      </c>
      <c r="H192" s="67">
        <f t="shared" si="110"/>
        <v>623.65981467550444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0</v>
      </c>
      <c r="O192" s="13">
        <f>N192*VLOOKUP('Données projet'!$B$9,Paramètres!$A$1:$I$89,3,0)*VLOOKUP('Données projet'!$B$9,Paramètres!$A$1:$I$89,5,0)</f>
        <v>0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101.15586831191774</v>
      </c>
      <c r="T192" s="59">
        <f t="shared" si="142"/>
        <v>346.96347336689064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1.7482080702533918</v>
      </c>
      <c r="AA192" s="21">
        <f>EXP(-LN(2)/25)*AA191+(1-EXP(-LN(2)/25))/(LN(2)/25)*Calculateur!V192*Calculateur!X192*VLOOKUP('Données projet'!$B$9,Paramètres!$A$1:$I$89,3,0)*0.475*44/12</f>
        <v>0.20077173835802969</v>
      </c>
      <c r="AB192" s="21">
        <f>EXP(-LN(2)/2)*AB191+(1-EXP(-LN(2)/2))/(LN(2)/2)*V192*Y192*VLOOKUP('Données projet'!$B$9,Paramètres!$A$1:$I$89,3,0)*0.475*44/12</f>
        <v>0</v>
      </c>
      <c r="AC192" s="22">
        <f t="shared" si="163"/>
        <v>1.9489798086114214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0</v>
      </c>
      <c r="AJ192" s="13">
        <f>AI192*VLOOKUP('Données projet'!$B$10,Paramètres!$A$1:$I$89,3,0)*VLOOKUP('Données projet'!$B$10,Paramètres!$A$1:$I$89,5,0)</f>
        <v>0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101.15586831191774</v>
      </c>
      <c r="AO192" s="59">
        <f t="shared" si="144"/>
        <v>346.96347336689064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1.7482080702533918</v>
      </c>
      <c r="AV192" s="21">
        <f>EXP(-LN(2)/25)*AV191+(1-EXP(-LN(2)/25))/(LN(2)/25)*Calculateur!AQ192*Calculateur!AS192*VLOOKUP('Données projet'!$B$10,Paramètres!$A$1:$I$89,3,0)*0.475*44/12</f>
        <v>0.20077173835802969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1.9489798086114214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5.6843418860808015E-14</v>
      </c>
      <c r="BE192" s="13">
        <f>BD192*VLOOKUP('Données projet'!$B$11,Paramètres!$A$1:$I$89,3,0)*VLOOKUP('Données projet'!$B$11,Paramètres!$A$1:$I$89,5,0)</f>
        <v>5.1431925385259088E-14</v>
      </c>
      <c r="BF192" s="13">
        <f t="shared" si="167"/>
        <v>8.3482866290946129E-13</v>
      </c>
      <c r="BG192" s="20">
        <f t="shared" si="168"/>
        <v>1.5435705246133045E-12</v>
      </c>
      <c r="BH192" s="59">
        <f t="shared" si="116"/>
        <v>293.33333333333485</v>
      </c>
      <c r="BI192" s="59">
        <f ca="1">AVERAGE(OFFSET($BH$3,0,0,'Données projet'!$E$11+1,1))-AVERAGE(OFFSET($H$3,0,0,'Données projet'!$E$11+1,1))</f>
        <v>352.62747127358324</v>
      </c>
      <c r="BJ192" s="59">
        <f t="shared" si="146"/>
        <v>283.16932763435011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88.769443473220292</v>
      </c>
      <c r="BQ192" s="21">
        <f>EXP(-LN(2)/25)*BQ191+(1-EXP(-LN(2)/25))/(LN(2)/25)*Calculateur!BL192*Calculateur!BN192*VLOOKUP('Données projet'!$B$11,Paramètres!$A$1:$I$89,3,0)*0.475*44/12</f>
        <v>0</v>
      </c>
      <c r="BR192" s="21">
        <f>EXP(-LN(2)/2)*BR191+(1-EXP(-LN(2)/2))/(LN(2)/2)*BL192*BO192*VLOOKUP('Données projet'!$B$11,Paramètres!$A$1:$I$89,3,0)*0.475*44/12</f>
        <v>0</v>
      </c>
      <c r="BS192" s="22">
        <f t="shared" si="169"/>
        <v>88.769443473220292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5.6843418860808015E-14</v>
      </c>
      <c r="BZ192" s="13">
        <f>BY192*VLOOKUP('Données projet'!$B$12,Paramètres!$A$1:$I$89,3,0)*VLOOKUP('Données projet'!$B$12,Paramètres!$A$1:$I$89,5,0)</f>
        <v>5.9412741393316544E-14</v>
      </c>
      <c r="CA192" s="13">
        <f t="shared" si="170"/>
        <v>9.483138037075784E-13</v>
      </c>
      <c r="CB192" s="20">
        <f t="shared" si="171"/>
        <v>1.7551237327173918E-12</v>
      </c>
      <c r="CC192" s="59">
        <f t="shared" si="119"/>
        <v>293.33333333333508</v>
      </c>
      <c r="CD192" s="59">
        <f ca="1">AVERAGE(OFFSET($CC$3,0,0,'Données projet'!$E$12+1,1))-AVERAGE(OFFSET($H$3,0,0,'Données projet'!$E$12+1,1))</f>
        <v>423.49657671419374</v>
      </c>
      <c r="CE192" s="59">
        <f t="shared" si="148"/>
        <v>329.6783569381081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102.54401228803033</v>
      </c>
      <c r="CL192" s="21">
        <f>EXP(-LN(2)/25)*CL191+(1-EXP(-LN(2)/25))/(LN(2)/25)*Calculateur!CG192*Calculateur!CI192*VLOOKUP('Données projet'!$B$12,Paramètres!$A$1:$I$89,3,0)*0.475*44/12</f>
        <v>0</v>
      </c>
      <c r="CM192" s="21">
        <f>EXP(-LN(2)/2)*CM191+(1-EXP(-LN(2)/2))/(LN(2)/2)*CG192*CJ192*VLOOKUP('Données projet'!$B$12,Paramètres!$A$1:$I$89,3,0)*0.475*44/12</f>
        <v>0</v>
      </c>
      <c r="CN192" s="22">
        <f t="shared" si="172"/>
        <v>102.54401228803033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5.6843418860808015E-14</v>
      </c>
      <c r="CU192" s="17">
        <f>CT192*VLOOKUP('Données projet'!$B$13,Paramètres!$A$1:$I$89,3,0)*VLOOKUP('Données projet'!$B$13,Paramètres!$A$1:$I$89,5,0)</f>
        <v>5.7639226724859328E-14</v>
      </c>
      <c r="CV192" s="13">
        <f t="shared" si="173"/>
        <v>9.2325701996134334E-13</v>
      </c>
      <c r="CW192" s="20">
        <f t="shared" si="174"/>
        <v>1.708394296311803E-12</v>
      </c>
      <c r="CX192" s="59">
        <f t="shared" si="122"/>
        <v>293.33333333333502</v>
      </c>
      <c r="CY192" s="59">
        <f ca="1">AVERAGE(OFFSET($CX$3,0,0,'Données projet'!$E$13+1,1))-AVERAGE(OFFSET($H$3,0,0,'Données projet'!$E$13+1,1))</f>
        <v>407.76560346703042</v>
      </c>
      <c r="CZ192" s="59">
        <f t="shared" si="150"/>
        <v>319.35531375725202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99.482996995850343</v>
      </c>
      <c r="DG192" s="21">
        <f>EXP(-LN(2)/25)*DG191+(1-EXP(-LN(2)/25))/(LN(2)/25)*Calculateur!DB192*Calculateur!DD192*VLOOKUP('Données projet'!$B$13,Paramètres!$A$1:$I$89,3,0)*0.475*44/12</f>
        <v>0</v>
      </c>
      <c r="DH192" s="21">
        <f>EXP(-LN(2)/2)*DH191+(1-EXP(-LN(2)/2))/(LN(2)/2)*DB192*DE192*VLOOKUP('Données projet'!$B$13,Paramètres!$A$1:$I$89,3,0)*0.475*44/12</f>
        <v>0</v>
      </c>
      <c r="DI192" s="22">
        <f t="shared" si="175"/>
        <v>99.482996995850343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2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168.94799999999969</v>
      </c>
      <c r="D193" s="11">
        <f t="shared" si="140"/>
        <v>42.8543255274462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1634.965319860986</v>
      </c>
      <c r="H193" s="67">
        <f t="shared" si="110"/>
        <v>625.55571696030165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0</v>
      </c>
      <c r="O193" s="13">
        <f>N193*VLOOKUP('Données projet'!$B$9,Paramètres!$A$1:$I$89,3,0)*VLOOKUP('Données projet'!$B$9,Paramètres!$A$1:$I$89,5,0)</f>
        <v>0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101.15586831191774</v>
      </c>
      <c r="T193" s="59">
        <f t="shared" si="142"/>
        <v>346.96347336689064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1.7139267762973571</v>
      </c>
      <c r="AA193" s="21">
        <f>EXP(-LN(2)/25)*AA192+(1-EXP(-LN(2)/25))/(LN(2)/25)*Calculateur!V193*Calculateur!X193*VLOOKUP('Données projet'!$B$9,Paramètres!$A$1:$I$89,3,0)*0.475*44/12</f>
        <v>0.19528162461450252</v>
      </c>
      <c r="AB193" s="21">
        <f>EXP(-LN(2)/2)*AB192+(1-EXP(-LN(2)/2))/(LN(2)/2)*V193*Y193*VLOOKUP('Données projet'!$B$9,Paramètres!$A$1:$I$89,3,0)*0.475*44/12</f>
        <v>0</v>
      </c>
      <c r="AC193" s="22">
        <f t="shared" si="163"/>
        <v>1.9092084009118597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0</v>
      </c>
      <c r="AJ193" s="13">
        <f>AI193*VLOOKUP('Données projet'!$B$10,Paramètres!$A$1:$I$89,3,0)*VLOOKUP('Données projet'!$B$10,Paramètres!$A$1:$I$89,5,0)</f>
        <v>0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101.15586831191774</v>
      </c>
      <c r="AO193" s="59">
        <f t="shared" si="144"/>
        <v>346.96347336689064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1.7139267762973571</v>
      </c>
      <c r="AV193" s="21">
        <f>EXP(-LN(2)/25)*AV192+(1-EXP(-LN(2)/25))/(LN(2)/25)*Calculateur!AQ193*Calculateur!AS193*VLOOKUP('Données projet'!$B$10,Paramètres!$A$1:$I$89,3,0)*0.475*44/12</f>
        <v>0.19528162461450252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1.9092084009118597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5.6843418860808015E-14</v>
      </c>
      <c r="BE193" s="13">
        <f>BD193*VLOOKUP('Données projet'!$B$11,Paramètres!$A$1:$I$89,3,0)*VLOOKUP('Données projet'!$B$11,Paramètres!$A$1:$I$89,5,0)</f>
        <v>5.1431925385259088E-14</v>
      </c>
      <c r="BF193" s="13">
        <f t="shared" si="167"/>
        <v>8.3482866290946129E-13</v>
      </c>
      <c r="BG193" s="20">
        <f t="shared" si="168"/>
        <v>1.5435705246133045E-12</v>
      </c>
      <c r="BH193" s="59">
        <f t="shared" si="116"/>
        <v>293.33333333333485</v>
      </c>
      <c r="BI193" s="59">
        <f ca="1">AVERAGE(OFFSET($BH$3,0,0,'Données projet'!$E$11+1,1))-AVERAGE(OFFSET($H$3,0,0,'Données projet'!$E$11+1,1))</f>
        <v>352.62747127358324</v>
      </c>
      <c r="BJ193" s="59">
        <f t="shared" si="146"/>
        <v>283.16932763435011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87.028728830724688</v>
      </c>
      <c r="BQ193" s="21">
        <f>EXP(-LN(2)/25)*BQ192+(1-EXP(-LN(2)/25))/(LN(2)/25)*Calculateur!BL193*Calculateur!BN193*VLOOKUP('Données projet'!$B$11,Paramètres!$A$1:$I$89,3,0)*0.475*44/12</f>
        <v>0</v>
      </c>
      <c r="BR193" s="21">
        <f>EXP(-LN(2)/2)*BR192+(1-EXP(-LN(2)/2))/(LN(2)/2)*BL193*BO193*VLOOKUP('Données projet'!$B$11,Paramètres!$A$1:$I$89,3,0)*0.475*44/12</f>
        <v>0</v>
      </c>
      <c r="BS193" s="22">
        <f t="shared" si="169"/>
        <v>87.028728830724688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5.6843418860808015E-14</v>
      </c>
      <c r="BZ193" s="13">
        <f>BY193*VLOOKUP('Données projet'!$B$12,Paramètres!$A$1:$I$89,3,0)*VLOOKUP('Données projet'!$B$12,Paramètres!$A$1:$I$89,5,0)</f>
        <v>5.9412741393316544E-14</v>
      </c>
      <c r="CA193" s="13">
        <f t="shared" si="170"/>
        <v>9.483138037075784E-13</v>
      </c>
      <c r="CB193" s="20">
        <f t="shared" si="171"/>
        <v>1.7551237327173918E-12</v>
      </c>
      <c r="CC193" s="59">
        <f t="shared" si="119"/>
        <v>293.33333333333508</v>
      </c>
      <c r="CD193" s="59">
        <f ca="1">AVERAGE(OFFSET($CC$3,0,0,'Données projet'!$E$12+1,1))-AVERAGE(OFFSET($H$3,0,0,'Données projet'!$E$12+1,1))</f>
        <v>423.49657671419374</v>
      </c>
      <c r="CE193" s="59">
        <f t="shared" si="148"/>
        <v>329.6783569381081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100.53318675273368</v>
      </c>
      <c r="CL193" s="21">
        <f>EXP(-LN(2)/25)*CL192+(1-EXP(-LN(2)/25))/(LN(2)/25)*Calculateur!CG193*Calculateur!CI193*VLOOKUP('Données projet'!$B$12,Paramètres!$A$1:$I$89,3,0)*0.475*44/12</f>
        <v>0</v>
      </c>
      <c r="CM193" s="21">
        <f>EXP(-LN(2)/2)*CM192+(1-EXP(-LN(2)/2))/(LN(2)/2)*CG193*CJ193*VLOOKUP('Données projet'!$B$12,Paramètres!$A$1:$I$89,3,0)*0.475*44/12</f>
        <v>0</v>
      </c>
      <c r="CN193" s="22">
        <f t="shared" si="172"/>
        <v>100.53318675273368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5.6843418860808015E-14</v>
      </c>
      <c r="CU193" s="17">
        <f>CT193*VLOOKUP('Données projet'!$B$13,Paramètres!$A$1:$I$89,3,0)*VLOOKUP('Données projet'!$B$13,Paramètres!$A$1:$I$89,5,0)</f>
        <v>5.7639226724859328E-14</v>
      </c>
      <c r="CV193" s="13">
        <f t="shared" si="173"/>
        <v>9.2325701996134334E-13</v>
      </c>
      <c r="CW193" s="20">
        <f t="shared" si="174"/>
        <v>1.708394296311803E-12</v>
      </c>
      <c r="CX193" s="59">
        <f t="shared" si="122"/>
        <v>293.33333333333502</v>
      </c>
      <c r="CY193" s="59">
        <f ca="1">AVERAGE(OFFSET($CX$3,0,0,'Données projet'!$E$13+1,1))-AVERAGE(OFFSET($H$3,0,0,'Données projet'!$E$13+1,1))</f>
        <v>407.76560346703042</v>
      </c>
      <c r="CZ193" s="59">
        <f t="shared" si="150"/>
        <v>319.35531375725202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97.532196103398363</v>
      </c>
      <c r="DG193" s="21">
        <f>EXP(-LN(2)/25)*DG192+(1-EXP(-LN(2)/25))/(LN(2)/25)*Calculateur!DB193*Calculateur!DD193*VLOOKUP('Données projet'!$B$13,Paramètres!$A$1:$I$89,3,0)*0.475*44/12</f>
        <v>0</v>
      </c>
      <c r="DH193" s="21">
        <f>EXP(-LN(2)/2)*DH192+(1-EXP(-LN(2)/2))/(LN(2)/2)*DB193*DE193*VLOOKUP('Données projet'!$B$13,Paramètres!$A$1:$I$89,3,0)*0.475*44/12</f>
        <v>0</v>
      </c>
      <c r="DI193" s="22">
        <f t="shared" si="175"/>
        <v>97.532196103398363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2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169.83719999999968</v>
      </c>
      <c r="D194" s="11">
        <f t="shared" si="140"/>
        <v>43.053559768035143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1643.3672683848301</v>
      </c>
      <c r="H194" s="67">
        <f t="shared" si="110"/>
        <v>627.45140659599406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0</v>
      </c>
      <c r="O194" s="13">
        <f>N194*VLOOKUP('Données projet'!$B$9,Paramètres!$A$1:$I$89,3,0)*VLOOKUP('Données projet'!$B$9,Paramètres!$A$1:$I$89,5,0)</f>
        <v>0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101.15586831191774</v>
      </c>
      <c r="T194" s="59">
        <f t="shared" si="142"/>
        <v>346.96347336689064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1.6803177176062756</v>
      </c>
      <c r="AA194" s="21">
        <f>EXP(-LN(2)/25)*AA193+(1-EXP(-LN(2)/25))/(LN(2)/25)*Calculateur!V194*Calculateur!X194*VLOOKUP('Données projet'!$B$9,Paramètres!$A$1:$I$89,3,0)*0.475*44/12</f>
        <v>0.18994163832000463</v>
      </c>
      <c r="AB194" s="21">
        <f>EXP(-LN(2)/2)*AB193+(1-EXP(-LN(2)/2))/(LN(2)/2)*V194*Y194*VLOOKUP('Données projet'!$B$9,Paramètres!$A$1:$I$89,3,0)*0.475*44/12</f>
        <v>0</v>
      </c>
      <c r="AC194" s="22">
        <f t="shared" si="163"/>
        <v>1.8702593559262801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0</v>
      </c>
      <c r="AJ194" s="13">
        <f>AI194*VLOOKUP('Données projet'!$B$10,Paramètres!$A$1:$I$89,3,0)*VLOOKUP('Données projet'!$B$10,Paramètres!$A$1:$I$89,5,0)</f>
        <v>0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101.15586831191774</v>
      </c>
      <c r="AO194" s="59">
        <f t="shared" si="144"/>
        <v>346.96347336689064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1.6803177176062756</v>
      </c>
      <c r="AV194" s="21">
        <f>EXP(-LN(2)/25)*AV193+(1-EXP(-LN(2)/25))/(LN(2)/25)*Calculateur!AQ194*Calculateur!AS194*VLOOKUP('Données projet'!$B$10,Paramètres!$A$1:$I$89,3,0)*0.475*44/12</f>
        <v>0.18994163832000463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1.8702593559262801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5.6843418860808015E-14</v>
      </c>
      <c r="BE194" s="13">
        <f>BD194*VLOOKUP('Données projet'!$B$11,Paramètres!$A$1:$I$89,3,0)*VLOOKUP('Données projet'!$B$11,Paramètres!$A$1:$I$89,5,0)</f>
        <v>5.1431925385259088E-14</v>
      </c>
      <c r="BF194" s="13">
        <f t="shared" si="167"/>
        <v>8.3482866290946129E-13</v>
      </c>
      <c r="BG194" s="20">
        <f t="shared" si="168"/>
        <v>1.5435705246133045E-12</v>
      </c>
      <c r="BH194" s="59">
        <f t="shared" si="116"/>
        <v>293.33333333333485</v>
      </c>
      <c r="BI194" s="59">
        <f ca="1">AVERAGE(OFFSET($BH$3,0,0,'Données projet'!$E$11+1,1))-AVERAGE(OFFSET($H$3,0,0,'Données projet'!$E$11+1,1))</f>
        <v>352.62747127358324</v>
      </c>
      <c r="BJ194" s="59">
        <f t="shared" si="146"/>
        <v>283.16932763435011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85.322148540637329</v>
      </c>
      <c r="BQ194" s="21">
        <f>EXP(-LN(2)/25)*BQ193+(1-EXP(-LN(2)/25))/(LN(2)/25)*Calculateur!BL194*Calculateur!BN194*VLOOKUP('Données projet'!$B$11,Paramètres!$A$1:$I$89,3,0)*0.475*44/12</f>
        <v>0</v>
      </c>
      <c r="BR194" s="21">
        <f>EXP(-LN(2)/2)*BR193+(1-EXP(-LN(2)/2))/(LN(2)/2)*BL194*BO194*VLOOKUP('Données projet'!$B$11,Paramètres!$A$1:$I$89,3,0)*0.475*44/12</f>
        <v>0</v>
      </c>
      <c r="BS194" s="22">
        <f t="shared" si="169"/>
        <v>85.322148540637329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5.6843418860808015E-14</v>
      </c>
      <c r="BZ194" s="13">
        <f>BY194*VLOOKUP('Données projet'!$B$12,Paramètres!$A$1:$I$89,3,0)*VLOOKUP('Données projet'!$B$12,Paramètres!$A$1:$I$89,5,0)</f>
        <v>5.9412741393316544E-14</v>
      </c>
      <c r="CA194" s="13">
        <f t="shared" si="170"/>
        <v>9.483138037075784E-13</v>
      </c>
      <c r="CB194" s="20">
        <f t="shared" si="171"/>
        <v>1.7551237327173918E-12</v>
      </c>
      <c r="CC194" s="59">
        <f t="shared" si="119"/>
        <v>293.33333333333508</v>
      </c>
      <c r="CD194" s="59">
        <f ca="1">AVERAGE(OFFSET($CC$3,0,0,'Données projet'!$E$12+1,1))-AVERAGE(OFFSET($H$3,0,0,'Données projet'!$E$12+1,1))</f>
        <v>423.49657671419374</v>
      </c>
      <c r="CE194" s="59">
        <f t="shared" si="148"/>
        <v>329.6783569381081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98.561792279701734</v>
      </c>
      <c r="CL194" s="21">
        <f>EXP(-LN(2)/25)*CL193+(1-EXP(-LN(2)/25))/(LN(2)/25)*Calculateur!CG194*Calculateur!CI194*VLOOKUP('Données projet'!$B$12,Paramètres!$A$1:$I$89,3,0)*0.475*44/12</f>
        <v>0</v>
      </c>
      <c r="CM194" s="21">
        <f>EXP(-LN(2)/2)*CM193+(1-EXP(-LN(2)/2))/(LN(2)/2)*CG194*CJ194*VLOOKUP('Données projet'!$B$12,Paramètres!$A$1:$I$89,3,0)*0.475*44/12</f>
        <v>0</v>
      </c>
      <c r="CN194" s="22">
        <f t="shared" si="172"/>
        <v>98.561792279701734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5.6843418860808015E-14</v>
      </c>
      <c r="CU194" s="17">
        <f>CT194*VLOOKUP('Données projet'!$B$13,Paramètres!$A$1:$I$89,3,0)*VLOOKUP('Données projet'!$B$13,Paramètres!$A$1:$I$89,5,0)</f>
        <v>5.7639226724859328E-14</v>
      </c>
      <c r="CV194" s="13">
        <f t="shared" si="173"/>
        <v>9.2325701996134334E-13</v>
      </c>
      <c r="CW194" s="20">
        <f t="shared" si="174"/>
        <v>1.708394296311803E-12</v>
      </c>
      <c r="CX194" s="59">
        <f t="shared" si="122"/>
        <v>293.33333333333502</v>
      </c>
      <c r="CY194" s="59">
        <f ca="1">AVERAGE(OFFSET($CX$3,0,0,'Données projet'!$E$13+1,1))-AVERAGE(OFFSET($H$3,0,0,'Données projet'!$E$13+1,1))</f>
        <v>407.76560346703042</v>
      </c>
      <c r="CZ194" s="59">
        <f t="shared" si="150"/>
        <v>319.35531375725202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95.619649226576314</v>
      </c>
      <c r="DG194" s="21">
        <f>EXP(-LN(2)/25)*DG193+(1-EXP(-LN(2)/25))/(LN(2)/25)*Calculateur!DB194*Calculateur!DD194*VLOOKUP('Données projet'!$B$13,Paramètres!$A$1:$I$89,3,0)*0.475*44/12</f>
        <v>0</v>
      </c>
      <c r="DH194" s="21">
        <f>EXP(-LN(2)/2)*DH193+(1-EXP(-LN(2)/2))/(LN(2)/2)*DB194*DE194*VLOOKUP('Données projet'!$B$13,Paramètres!$A$1:$I$89,3,0)*0.475*44/12</f>
        <v>0</v>
      </c>
      <c r="DI194" s="22">
        <f t="shared" si="175"/>
        <v>95.619649226576314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2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170.72639999999967</v>
      </c>
      <c r="D195" s="11">
        <f t="shared" si="140"/>
        <v>43.252672626882983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1651.7682799268139</v>
      </c>
      <c r="H195" s="67">
        <f t="shared" si="110"/>
        <v>629.34688482515401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0</v>
      </c>
      <c r="O195" s="13">
        <f>N195*VLOOKUP('Données projet'!$B$9,Paramètres!$A$1:$I$89,3,0)*VLOOKUP('Données projet'!$B$9,Paramètres!$A$1:$I$89,5,0)</f>
        <v>0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101.15586831191774</v>
      </c>
      <c r="T195" s="59">
        <f t="shared" si="142"/>
        <v>346.96347336689064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1.6473677120566246</v>
      </c>
      <c r="AA195" s="21">
        <f>EXP(-LN(2)/25)*AA194+(1-EXP(-LN(2)/25))/(LN(2)/25)*Calculateur!V195*Calculateur!X195*VLOOKUP('Données projet'!$B$9,Paramètres!$A$1:$I$89,3,0)*0.475*44/12</f>
        <v>0.18474767423154745</v>
      </c>
      <c r="AB195" s="21">
        <f>EXP(-LN(2)/2)*AB194+(1-EXP(-LN(2)/2))/(LN(2)/2)*V195*Y195*VLOOKUP('Données projet'!$B$9,Paramètres!$A$1:$I$89,3,0)*0.475*44/12</f>
        <v>0</v>
      </c>
      <c r="AC195" s="22">
        <f t="shared" si="163"/>
        <v>1.8321153862881721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0</v>
      </c>
      <c r="AJ195" s="13">
        <f>AI195*VLOOKUP('Données projet'!$B$10,Paramètres!$A$1:$I$89,3,0)*VLOOKUP('Données projet'!$B$10,Paramètres!$A$1:$I$89,5,0)</f>
        <v>0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101.15586831191774</v>
      </c>
      <c r="AO195" s="59">
        <f t="shared" si="144"/>
        <v>346.96347336689064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1.6473677120566246</v>
      </c>
      <c r="AV195" s="21">
        <f>EXP(-LN(2)/25)*AV194+(1-EXP(-LN(2)/25))/(LN(2)/25)*Calculateur!AQ195*Calculateur!AS195*VLOOKUP('Données projet'!$B$10,Paramètres!$A$1:$I$89,3,0)*0.475*44/12</f>
        <v>0.18474767423154745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1.8321153862881721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5.6843418860808015E-14</v>
      </c>
      <c r="BE195" s="13">
        <f>BD195*VLOOKUP('Données projet'!$B$11,Paramètres!$A$1:$I$89,3,0)*VLOOKUP('Données projet'!$B$11,Paramètres!$A$1:$I$89,5,0)</f>
        <v>5.1431925385259088E-14</v>
      </c>
      <c r="BF195" s="13">
        <f t="shared" si="167"/>
        <v>8.3482866290946129E-13</v>
      </c>
      <c r="BG195" s="20">
        <f t="shared" si="168"/>
        <v>1.5435705246133045E-12</v>
      </c>
      <c r="BH195" s="59">
        <f t="shared" si="116"/>
        <v>293.33333333333485</v>
      </c>
      <c r="BI195" s="59">
        <f ca="1">AVERAGE(OFFSET($BH$3,0,0,'Données projet'!$E$11+1,1))-AVERAGE(OFFSET($H$3,0,0,'Données projet'!$E$11+1,1))</f>
        <v>352.62747127358324</v>
      </c>
      <c r="BJ195" s="59">
        <f t="shared" si="146"/>
        <v>283.16932763435011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83.649033249127385</v>
      </c>
      <c r="BQ195" s="21">
        <f>EXP(-LN(2)/25)*BQ194+(1-EXP(-LN(2)/25))/(LN(2)/25)*Calculateur!BL195*Calculateur!BN195*VLOOKUP('Données projet'!$B$11,Paramètres!$A$1:$I$89,3,0)*0.475*44/12</f>
        <v>0</v>
      </c>
      <c r="BR195" s="21">
        <f>EXP(-LN(2)/2)*BR194+(1-EXP(-LN(2)/2))/(LN(2)/2)*BL195*BO195*VLOOKUP('Données projet'!$B$11,Paramètres!$A$1:$I$89,3,0)*0.475*44/12</f>
        <v>0</v>
      </c>
      <c r="BS195" s="22">
        <f t="shared" si="169"/>
        <v>83.649033249127385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5.6843418860808015E-14</v>
      </c>
      <c r="BZ195" s="13">
        <f>BY195*VLOOKUP('Données projet'!$B$12,Paramètres!$A$1:$I$89,3,0)*VLOOKUP('Données projet'!$B$12,Paramètres!$A$1:$I$89,5,0)</f>
        <v>5.9412741393316544E-14</v>
      </c>
      <c r="CA195" s="13">
        <f t="shared" si="170"/>
        <v>9.483138037075784E-13</v>
      </c>
      <c r="CB195" s="20">
        <f t="shared" si="171"/>
        <v>1.7551237327173918E-12</v>
      </c>
      <c r="CC195" s="59">
        <f t="shared" si="119"/>
        <v>293.33333333333508</v>
      </c>
      <c r="CD195" s="59">
        <f ca="1">AVERAGE(OFFSET($CC$3,0,0,'Données projet'!$E$12+1,1))-AVERAGE(OFFSET($H$3,0,0,'Données projet'!$E$12+1,1))</f>
        <v>423.49657671419374</v>
      </c>
      <c r="CE195" s="59">
        <f t="shared" si="148"/>
        <v>329.6783569381081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96.629055649854038</v>
      </c>
      <c r="CL195" s="21">
        <f>EXP(-LN(2)/25)*CL194+(1-EXP(-LN(2)/25))/(LN(2)/25)*Calculateur!CG195*Calculateur!CI195*VLOOKUP('Données projet'!$B$12,Paramètres!$A$1:$I$89,3,0)*0.475*44/12</f>
        <v>0</v>
      </c>
      <c r="CM195" s="21">
        <f>EXP(-LN(2)/2)*CM194+(1-EXP(-LN(2)/2))/(LN(2)/2)*CG195*CJ195*VLOOKUP('Données projet'!$B$12,Paramètres!$A$1:$I$89,3,0)*0.475*44/12</f>
        <v>0</v>
      </c>
      <c r="CN195" s="22">
        <f t="shared" si="172"/>
        <v>96.629055649854038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5.6843418860808015E-14</v>
      </c>
      <c r="CU195" s="17">
        <f>CT195*VLOOKUP('Données projet'!$B$13,Paramètres!$A$1:$I$89,3,0)*VLOOKUP('Données projet'!$B$13,Paramètres!$A$1:$I$89,5,0)</f>
        <v>5.7639226724859328E-14</v>
      </c>
      <c r="CV195" s="13">
        <f t="shared" si="173"/>
        <v>9.2325701996134334E-13</v>
      </c>
      <c r="CW195" s="20">
        <f t="shared" si="174"/>
        <v>1.708394296311803E-12</v>
      </c>
      <c r="CX195" s="59">
        <f t="shared" si="122"/>
        <v>293.33333333333502</v>
      </c>
      <c r="CY195" s="59">
        <f ca="1">AVERAGE(OFFSET($CX$3,0,0,'Données projet'!$E$13+1,1))-AVERAGE(OFFSET($H$3,0,0,'Données projet'!$E$13+1,1))</f>
        <v>407.76560346703042</v>
      </c>
      <c r="CZ195" s="59">
        <f t="shared" si="150"/>
        <v>319.35531375725202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93.744606227470342</v>
      </c>
      <c r="DG195" s="21">
        <f>EXP(-LN(2)/25)*DG194+(1-EXP(-LN(2)/25))/(LN(2)/25)*Calculateur!DB195*Calculateur!DD195*VLOOKUP('Données projet'!$B$13,Paramètres!$A$1:$I$89,3,0)*0.475*44/12</f>
        <v>0</v>
      </c>
      <c r="DH195" s="21">
        <f>EXP(-LN(2)/2)*DH194+(1-EXP(-LN(2)/2))/(LN(2)/2)*DB195*DE195*VLOOKUP('Données projet'!$B$13,Paramètres!$A$1:$I$89,3,0)*0.475*44/12</f>
        <v>0</v>
      </c>
      <c r="DI195" s="22">
        <f t="shared" si="175"/>
        <v>93.744606227470342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2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171.61559999999966</v>
      </c>
      <c r="D196" s="11">
        <f t="shared" si="140"/>
        <v>43.451664809566452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1660.1683599334929</v>
      </c>
      <c r="H196" s="67">
        <f t="shared" ref="H196:H203" si="192">(B196+E196+F196)*44/12+(C196+D196)*0.475*44/12</f>
        <v>631.24215287666095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0</v>
      </c>
      <c r="O196" s="13">
        <f>N196*VLOOKUP('Données projet'!$B$9,Paramètres!$A$1:$I$89,3,0)*VLOOKUP('Données projet'!$B$9,Paramètres!$A$1:$I$89,5,0)</f>
        <v>0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101.15586831191774</v>
      </c>
      <c r="T196" s="59">
        <f t="shared" si="142"/>
        <v>346.96347336689064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1.6150638360182832</v>
      </c>
      <c r="AA196" s="21">
        <f>EXP(-LN(2)/25)*AA195+(1-EXP(-LN(2)/25))/(LN(2)/25)*Calculateur!V196*Calculateur!X196*VLOOKUP('Données projet'!$B$9,Paramètres!$A$1:$I$89,3,0)*0.475*44/12</f>
        <v>0.17969573936422784</v>
      </c>
      <c r="AB196" s="21">
        <f>EXP(-LN(2)/2)*AB195+(1-EXP(-LN(2)/2))/(LN(2)/2)*V196*Y196*VLOOKUP('Données projet'!$B$9,Paramètres!$A$1:$I$89,3,0)*0.475*44/12</f>
        <v>0</v>
      </c>
      <c r="AC196" s="22">
        <f t="shared" si="163"/>
        <v>1.794759575382511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0</v>
      </c>
      <c r="AJ196" s="13">
        <f>AI196*VLOOKUP('Données projet'!$B$10,Paramètres!$A$1:$I$89,3,0)*VLOOKUP('Données projet'!$B$10,Paramètres!$A$1:$I$89,5,0)</f>
        <v>0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101.15586831191774</v>
      </c>
      <c r="AO196" s="59">
        <f t="shared" si="144"/>
        <v>346.96347336689064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1.6150638360182832</v>
      </c>
      <c r="AV196" s="21">
        <f>EXP(-LN(2)/25)*AV195+(1-EXP(-LN(2)/25))/(LN(2)/25)*Calculateur!AQ196*Calculateur!AS196*VLOOKUP('Données projet'!$B$10,Paramètres!$A$1:$I$89,3,0)*0.475*44/12</f>
        <v>0.17969573936422784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1.794759575382511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5.6843418860808015E-14</v>
      </c>
      <c r="BE196" s="13">
        <f>BD196*VLOOKUP('Données projet'!$B$11,Paramètres!$A$1:$I$89,3,0)*VLOOKUP('Données projet'!$B$11,Paramètres!$A$1:$I$89,5,0)</f>
        <v>5.1431925385259088E-14</v>
      </c>
      <c r="BF196" s="13">
        <f t="shared" si="167"/>
        <v>8.3482866290946129E-13</v>
      </c>
      <c r="BG196" s="20">
        <f t="shared" si="168"/>
        <v>1.5435705246133045E-12</v>
      </c>
      <c r="BH196" s="59">
        <f t="shared" ref="BH196:BH203" si="194">BG196+(AY196+AZ196)*44/12</f>
        <v>293.33333333333485</v>
      </c>
      <c r="BI196" s="59">
        <f ca="1">AVERAGE(OFFSET($BH$3,0,0,'Données projet'!$E$11+1,1))-AVERAGE(OFFSET($H$3,0,0,'Données projet'!$E$11+1,1))</f>
        <v>352.62747127358324</v>
      </c>
      <c r="BJ196" s="59">
        <f t="shared" si="146"/>
        <v>283.16932763435011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82.008726727984381</v>
      </c>
      <c r="BQ196" s="21">
        <f>EXP(-LN(2)/25)*BQ195+(1-EXP(-LN(2)/25))/(LN(2)/25)*Calculateur!BL196*Calculateur!BN196*VLOOKUP('Données projet'!$B$11,Paramètres!$A$1:$I$89,3,0)*0.475*44/12</f>
        <v>0</v>
      </c>
      <c r="BR196" s="21">
        <f>EXP(-LN(2)/2)*BR195+(1-EXP(-LN(2)/2))/(LN(2)/2)*BL196*BO196*VLOOKUP('Données projet'!$B$11,Paramètres!$A$1:$I$89,3,0)*0.475*44/12</f>
        <v>0</v>
      </c>
      <c r="BS196" s="22">
        <f t="shared" si="169"/>
        <v>82.008726727984381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5.6843418860808015E-14</v>
      </c>
      <c r="BZ196" s="13">
        <f>BY196*VLOOKUP('Données projet'!$B$12,Paramètres!$A$1:$I$89,3,0)*VLOOKUP('Données projet'!$B$12,Paramètres!$A$1:$I$89,5,0)</f>
        <v>5.9412741393316544E-14</v>
      </c>
      <c r="CA196" s="13">
        <f t="shared" si="170"/>
        <v>9.483138037075784E-13</v>
      </c>
      <c r="CB196" s="20">
        <f t="shared" si="171"/>
        <v>1.7551237327173918E-12</v>
      </c>
      <c r="CC196" s="59">
        <f t="shared" ref="CC196:CC203" si="195">CB196+(BT196+BU196)*44/12</f>
        <v>293.33333333333508</v>
      </c>
      <c r="CD196" s="59">
        <f ca="1">AVERAGE(OFFSET($CC$3,0,0,'Données projet'!$E$12+1,1))-AVERAGE(OFFSET($H$3,0,0,'Données projet'!$E$12+1,1))</f>
        <v>423.49657671419374</v>
      </c>
      <c r="CE196" s="59">
        <f t="shared" si="148"/>
        <v>329.6783569381081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94.73421880646471</v>
      </c>
      <c r="CL196" s="21">
        <f>EXP(-LN(2)/25)*CL195+(1-EXP(-LN(2)/25))/(LN(2)/25)*Calculateur!CG196*Calculateur!CI196*VLOOKUP('Données projet'!$B$12,Paramètres!$A$1:$I$89,3,0)*0.475*44/12</f>
        <v>0</v>
      </c>
      <c r="CM196" s="21">
        <f>EXP(-LN(2)/2)*CM195+(1-EXP(-LN(2)/2))/(LN(2)/2)*CG196*CJ196*VLOOKUP('Données projet'!$B$12,Paramètres!$A$1:$I$89,3,0)*0.475*44/12</f>
        <v>0</v>
      </c>
      <c r="CN196" s="22">
        <f t="shared" si="172"/>
        <v>94.73421880646471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5.6843418860808015E-14</v>
      </c>
      <c r="CU196" s="17">
        <f>CT196*VLOOKUP('Données projet'!$B$13,Paramètres!$A$1:$I$89,3,0)*VLOOKUP('Données projet'!$B$13,Paramètres!$A$1:$I$89,5,0)</f>
        <v>5.7639226724859328E-14</v>
      </c>
      <c r="CV196" s="13">
        <f t="shared" si="173"/>
        <v>9.2325701996134334E-13</v>
      </c>
      <c r="CW196" s="20">
        <f t="shared" si="174"/>
        <v>1.708394296311803E-12</v>
      </c>
      <c r="CX196" s="59">
        <f t="shared" ref="CX196:CX203" si="196">CW196+(CO196+CP196)*44/12</f>
        <v>293.33333333333502</v>
      </c>
      <c r="CY196" s="59">
        <f ca="1">AVERAGE(OFFSET($CX$3,0,0,'Données projet'!$E$13+1,1))-AVERAGE(OFFSET($H$3,0,0,'Données projet'!$E$13+1,1))</f>
        <v>407.76560346703042</v>
      </c>
      <c r="CZ196" s="59">
        <f t="shared" si="150"/>
        <v>319.35531375725202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91.906331677913528</v>
      </c>
      <c r="DG196" s="21">
        <f>EXP(-LN(2)/25)*DG195+(1-EXP(-LN(2)/25))/(LN(2)/25)*Calculateur!DB196*Calculateur!DD196*VLOOKUP('Données projet'!$B$13,Paramètres!$A$1:$I$89,3,0)*0.475*44/12</f>
        <v>0</v>
      </c>
      <c r="DH196" s="21">
        <f>EXP(-LN(2)/2)*DH195+(1-EXP(-LN(2)/2))/(LN(2)/2)*DB196*DE196*VLOOKUP('Données projet'!$B$13,Paramètres!$A$1:$I$89,3,0)*0.475*44/12</f>
        <v>0</v>
      </c>
      <c r="DI196" s="22">
        <f t="shared" si="175"/>
        <v>91.906331677913528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2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172.50479999999965</v>
      </c>
      <c r="D197" s="11">
        <f t="shared" ref="D197:D203" si="202">IFERROR(EXP(-1.0587+0.8836*LN(C197)+0.284),0)</f>
        <v>43.650537013927277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1668.5675137917167</v>
      </c>
      <c r="H197" s="67">
        <f t="shared" si="192"/>
        <v>633.13721196592269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0</v>
      </c>
      <c r="O197" s="13">
        <f>N197*VLOOKUP('Données projet'!$B$9,Paramètres!$A$1:$I$89,3,0)*VLOOKUP('Données projet'!$B$9,Paramètres!$A$1:$I$89,5,0)</f>
        <v>0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101.15586831191774</v>
      </c>
      <c r="T197" s="59">
        <f t="shared" ref="T197:T203" si="204">$T$3</f>
        <v>346.96347336689064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1.5833934192856349</v>
      </c>
      <c r="AA197" s="21">
        <f>EXP(-LN(2)/25)*AA196+(1-EXP(-LN(2)/25))/(LN(2)/25)*Calculateur!V197*Calculateur!X197*VLOOKUP('Données projet'!$B$9,Paramètres!$A$1:$I$89,3,0)*0.475*44/12</f>
        <v>0.17478194992152479</v>
      </c>
      <c r="AB197" s="21">
        <f>EXP(-LN(2)/2)*AB196+(1-EXP(-LN(2)/2))/(LN(2)/2)*V197*Y197*VLOOKUP('Données projet'!$B$9,Paramètres!$A$1:$I$89,3,0)*0.475*44/12</f>
        <v>0</v>
      </c>
      <c r="AC197" s="22">
        <f t="shared" si="163"/>
        <v>1.7581753692071598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0</v>
      </c>
      <c r="AJ197" s="13">
        <f>AI197*VLOOKUP('Données projet'!$B$10,Paramètres!$A$1:$I$89,3,0)*VLOOKUP('Données projet'!$B$10,Paramètres!$A$1:$I$89,5,0)</f>
        <v>0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101.15586831191774</v>
      </c>
      <c r="AO197" s="59">
        <f t="shared" ref="AO197:AO203" si="205">$AO$3</f>
        <v>346.96347336689064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1.5833934192856349</v>
      </c>
      <c r="AV197" s="21">
        <f>EXP(-LN(2)/25)*AV196+(1-EXP(-LN(2)/25))/(LN(2)/25)*Calculateur!AQ197*Calculateur!AS197*VLOOKUP('Données projet'!$B$10,Paramètres!$A$1:$I$89,3,0)*0.475*44/12</f>
        <v>0.17478194992152479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1.7581753692071598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5.6843418860808015E-14</v>
      </c>
      <c r="BE197" s="13">
        <f>BD197*VLOOKUP('Données projet'!$B$11,Paramètres!$A$1:$I$89,3,0)*VLOOKUP('Données projet'!$B$11,Paramètres!$A$1:$I$89,5,0)</f>
        <v>5.1431925385259088E-14</v>
      </c>
      <c r="BF197" s="13">
        <f t="shared" si="167"/>
        <v>8.3482866290946129E-13</v>
      </c>
      <c r="BG197" s="20">
        <f t="shared" si="168"/>
        <v>1.5435705246133045E-12</v>
      </c>
      <c r="BH197" s="59">
        <f t="shared" si="194"/>
        <v>293.33333333333485</v>
      </c>
      <c r="BI197" s="59">
        <f ca="1">AVERAGE(OFFSET($BH$3,0,0,'Données projet'!$E$11+1,1))-AVERAGE(OFFSET($H$3,0,0,'Données projet'!$E$11+1,1))</f>
        <v>352.62747127358324</v>
      </c>
      <c r="BJ197" s="59">
        <f t="shared" ref="BJ197:BJ203" si="206">$BJ$3</f>
        <v>283.16932763435011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80.400585617232807</v>
      </c>
      <c r="BQ197" s="21">
        <f>EXP(-LN(2)/25)*BQ196+(1-EXP(-LN(2)/25))/(LN(2)/25)*Calculateur!BL197*Calculateur!BN197*VLOOKUP('Données projet'!$B$11,Paramètres!$A$1:$I$89,3,0)*0.475*44/12</f>
        <v>0</v>
      </c>
      <c r="BR197" s="21">
        <f>EXP(-LN(2)/2)*BR196+(1-EXP(-LN(2)/2))/(LN(2)/2)*BL197*BO197*VLOOKUP('Données projet'!$B$11,Paramètres!$A$1:$I$89,3,0)*0.475*44/12</f>
        <v>0</v>
      </c>
      <c r="BS197" s="22">
        <f t="shared" si="169"/>
        <v>80.400585617232807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5.6843418860808015E-14</v>
      </c>
      <c r="BZ197" s="13">
        <f>BY197*VLOOKUP('Données projet'!$B$12,Paramètres!$A$1:$I$89,3,0)*VLOOKUP('Données projet'!$B$12,Paramètres!$A$1:$I$89,5,0)</f>
        <v>5.9412741393316544E-14</v>
      </c>
      <c r="CA197" s="13">
        <f t="shared" si="170"/>
        <v>9.483138037075784E-13</v>
      </c>
      <c r="CB197" s="20">
        <f t="shared" si="171"/>
        <v>1.7551237327173918E-12</v>
      </c>
      <c r="CC197" s="59">
        <f t="shared" si="195"/>
        <v>293.33333333333508</v>
      </c>
      <c r="CD197" s="59">
        <f ca="1">AVERAGE(OFFSET($CC$3,0,0,'Données projet'!$E$12+1,1))-AVERAGE(OFFSET($H$3,0,0,'Données projet'!$E$12+1,1))</f>
        <v>423.49657671419374</v>
      </c>
      <c r="CE197" s="59">
        <f t="shared" ref="CE197:CE203" si="207">$CE$3</f>
        <v>329.6783569381081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92.87653855783789</v>
      </c>
      <c r="CL197" s="21">
        <f>EXP(-LN(2)/25)*CL196+(1-EXP(-LN(2)/25))/(LN(2)/25)*Calculateur!CG197*Calculateur!CI197*VLOOKUP('Données projet'!$B$12,Paramètres!$A$1:$I$89,3,0)*0.475*44/12</f>
        <v>0</v>
      </c>
      <c r="CM197" s="21">
        <f>EXP(-LN(2)/2)*CM196+(1-EXP(-LN(2)/2))/(LN(2)/2)*CG197*CJ197*VLOOKUP('Données projet'!$B$12,Paramètres!$A$1:$I$89,3,0)*0.475*44/12</f>
        <v>0</v>
      </c>
      <c r="CN197" s="22">
        <f t="shared" si="172"/>
        <v>92.87653855783789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5.6843418860808015E-14</v>
      </c>
      <c r="CU197" s="17">
        <f>CT197*VLOOKUP('Données projet'!$B$13,Paramètres!$A$1:$I$89,3,0)*VLOOKUP('Données projet'!$B$13,Paramètres!$A$1:$I$89,5,0)</f>
        <v>5.7639226724859328E-14</v>
      </c>
      <c r="CV197" s="13">
        <f t="shared" si="173"/>
        <v>9.2325701996134334E-13</v>
      </c>
      <c r="CW197" s="20">
        <f t="shared" si="174"/>
        <v>1.708394296311803E-12</v>
      </c>
      <c r="CX197" s="59">
        <f t="shared" si="196"/>
        <v>293.33333333333502</v>
      </c>
      <c r="CY197" s="59">
        <f ca="1">AVERAGE(OFFSET($CX$3,0,0,'Données projet'!$E$13+1,1))-AVERAGE(OFFSET($H$3,0,0,'Données projet'!$E$13+1,1))</f>
        <v>407.76560346703042</v>
      </c>
      <c r="CZ197" s="59">
        <f t="shared" ref="CZ197:CZ203" si="208">$CZ$3</f>
        <v>319.35531375725202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90.104104571036771</v>
      </c>
      <c r="DG197" s="21">
        <f>EXP(-LN(2)/25)*DG196+(1-EXP(-LN(2)/25))/(LN(2)/25)*Calculateur!DB197*Calculateur!DD197*VLOOKUP('Données projet'!$B$13,Paramètres!$A$1:$I$89,3,0)*0.475*44/12</f>
        <v>0</v>
      </c>
      <c r="DH197" s="21">
        <f>EXP(-LN(2)/2)*DH196+(1-EXP(-LN(2)/2))/(LN(2)/2)*DB197*DE197*VLOOKUP('Données projet'!$B$13,Paramètres!$A$1:$I$89,3,0)*0.475*44/12</f>
        <v>0</v>
      </c>
      <c r="DI197" s="22">
        <f t="shared" si="175"/>
        <v>90.104104571036771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2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173.39399999999964</v>
      </c>
      <c r="D198" s="11">
        <f t="shared" si="202"/>
        <v>43.849289930196555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1676.9657468295848</v>
      </c>
      <c r="H198" s="67">
        <f t="shared" si="192"/>
        <v>635.0320632950918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0</v>
      </c>
      <c r="O198" s="13">
        <f>N198*VLOOKUP('Données projet'!$B$9,Paramètres!$A$1:$I$89,3,0)*VLOOKUP('Données projet'!$B$9,Paramètres!$A$1:$I$89,5,0)</f>
        <v>0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101.15586831191774</v>
      </c>
      <c r="T198" s="59">
        <f t="shared" si="204"/>
        <v>346.96347336689064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1.552344040108067</v>
      </c>
      <c r="AA198" s="21">
        <f>EXP(-LN(2)/25)*AA197+(1-EXP(-LN(2)/25))/(LN(2)/25)*Calculateur!V198*Calculateur!X198*VLOOKUP('Données projet'!$B$9,Paramètres!$A$1:$I$89,3,0)*0.475*44/12</f>
        <v>0.17000252830953741</v>
      </c>
      <c r="AB198" s="21">
        <f>EXP(-LN(2)/2)*AB197+(1-EXP(-LN(2)/2))/(LN(2)/2)*V198*Y198*VLOOKUP('Données projet'!$B$9,Paramètres!$A$1:$I$89,3,0)*0.475*44/12</f>
        <v>0</v>
      </c>
      <c r="AC198" s="22">
        <f t="shared" si="163"/>
        <v>1.7223465684176045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0</v>
      </c>
      <c r="AJ198" s="13">
        <f>AI198*VLOOKUP('Données projet'!$B$10,Paramètres!$A$1:$I$89,3,0)*VLOOKUP('Données projet'!$B$10,Paramètres!$A$1:$I$89,5,0)</f>
        <v>0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101.15586831191774</v>
      </c>
      <c r="AO198" s="59">
        <f t="shared" si="205"/>
        <v>346.96347336689064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1.552344040108067</v>
      </c>
      <c r="AV198" s="21">
        <f>EXP(-LN(2)/25)*AV197+(1-EXP(-LN(2)/25))/(LN(2)/25)*Calculateur!AQ198*Calculateur!AS198*VLOOKUP('Données projet'!$B$10,Paramètres!$A$1:$I$89,3,0)*0.475*44/12</f>
        <v>0.17000252830953741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1.7223465684176045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5.6843418860808015E-14</v>
      </c>
      <c r="BE198" s="13">
        <f>BD198*VLOOKUP('Données projet'!$B$11,Paramètres!$A$1:$I$89,3,0)*VLOOKUP('Données projet'!$B$11,Paramètres!$A$1:$I$89,5,0)</f>
        <v>5.1431925385259088E-14</v>
      </c>
      <c r="BF198" s="13">
        <f t="shared" si="167"/>
        <v>8.3482866290946129E-13</v>
      </c>
      <c r="BG198" s="20">
        <f t="shared" si="168"/>
        <v>1.5435705246133045E-12</v>
      </c>
      <c r="BH198" s="59">
        <f t="shared" si="194"/>
        <v>293.33333333333485</v>
      </c>
      <c r="BI198" s="59">
        <f ca="1">AVERAGE(OFFSET($BH$3,0,0,'Données projet'!$E$11+1,1))-AVERAGE(OFFSET($H$3,0,0,'Données projet'!$E$11+1,1))</f>
        <v>352.62747127358324</v>
      </c>
      <c r="BJ198" s="59">
        <f t="shared" si="206"/>
        <v>283.16932763435011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78.823979172793841</v>
      </c>
      <c r="BQ198" s="21">
        <f>EXP(-LN(2)/25)*BQ197+(1-EXP(-LN(2)/25))/(LN(2)/25)*Calculateur!BL198*Calculateur!BN198*VLOOKUP('Données projet'!$B$11,Paramètres!$A$1:$I$89,3,0)*0.475*44/12</f>
        <v>0</v>
      </c>
      <c r="BR198" s="21">
        <f>EXP(-LN(2)/2)*BR197+(1-EXP(-LN(2)/2))/(LN(2)/2)*BL198*BO198*VLOOKUP('Données projet'!$B$11,Paramètres!$A$1:$I$89,3,0)*0.475*44/12</f>
        <v>0</v>
      </c>
      <c r="BS198" s="22">
        <f t="shared" si="169"/>
        <v>78.823979172793841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5.6843418860808015E-14</v>
      </c>
      <c r="BZ198" s="13">
        <f>BY198*VLOOKUP('Données projet'!$B$12,Paramètres!$A$1:$I$89,3,0)*VLOOKUP('Données projet'!$B$12,Paramètres!$A$1:$I$89,5,0)</f>
        <v>5.9412741393316544E-14</v>
      </c>
      <c r="CA198" s="13">
        <f t="shared" si="170"/>
        <v>9.483138037075784E-13</v>
      </c>
      <c r="CB198" s="20">
        <f t="shared" si="171"/>
        <v>1.7551237327173918E-12</v>
      </c>
      <c r="CC198" s="59">
        <f t="shared" si="195"/>
        <v>293.33333333333508</v>
      </c>
      <c r="CD198" s="59">
        <f ca="1">AVERAGE(OFFSET($CC$3,0,0,'Données projet'!$E$12+1,1))-AVERAGE(OFFSET($H$3,0,0,'Données projet'!$E$12+1,1))</f>
        <v>423.49657671419374</v>
      </c>
      <c r="CE198" s="59">
        <f t="shared" si="207"/>
        <v>329.6783569381081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91.05528628581358</v>
      </c>
      <c r="CL198" s="21">
        <f>EXP(-LN(2)/25)*CL197+(1-EXP(-LN(2)/25))/(LN(2)/25)*Calculateur!CG198*Calculateur!CI198*VLOOKUP('Données projet'!$B$12,Paramètres!$A$1:$I$89,3,0)*0.475*44/12</f>
        <v>0</v>
      </c>
      <c r="CM198" s="21">
        <f>EXP(-LN(2)/2)*CM197+(1-EXP(-LN(2)/2))/(LN(2)/2)*CG198*CJ198*VLOOKUP('Données projet'!$B$12,Paramètres!$A$1:$I$89,3,0)*0.475*44/12</f>
        <v>0</v>
      </c>
      <c r="CN198" s="22">
        <f t="shared" si="172"/>
        <v>91.05528628581358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5.6843418860808015E-14</v>
      </c>
      <c r="CU198" s="17">
        <f>CT198*VLOOKUP('Données projet'!$B$13,Paramètres!$A$1:$I$89,3,0)*VLOOKUP('Données projet'!$B$13,Paramètres!$A$1:$I$89,5,0)</f>
        <v>5.7639226724859328E-14</v>
      </c>
      <c r="CV198" s="13">
        <f t="shared" si="173"/>
        <v>9.2325701996134334E-13</v>
      </c>
      <c r="CW198" s="20">
        <f t="shared" si="174"/>
        <v>1.708394296311803E-12</v>
      </c>
      <c r="CX198" s="59">
        <f t="shared" si="196"/>
        <v>293.33333333333502</v>
      </c>
      <c r="CY198" s="59">
        <f ca="1">AVERAGE(OFFSET($CX$3,0,0,'Données projet'!$E$13+1,1))-AVERAGE(OFFSET($H$3,0,0,'Données projet'!$E$13+1,1))</f>
        <v>407.76560346703042</v>
      </c>
      <c r="CZ198" s="59">
        <f t="shared" si="208"/>
        <v>319.35531375725202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88.337218038475868</v>
      </c>
      <c r="DG198" s="21">
        <f>EXP(-LN(2)/25)*DG197+(1-EXP(-LN(2)/25))/(LN(2)/25)*Calculateur!DB198*Calculateur!DD198*VLOOKUP('Données projet'!$B$13,Paramètres!$A$1:$I$89,3,0)*0.475*44/12</f>
        <v>0</v>
      </c>
      <c r="DH198" s="21">
        <f>EXP(-LN(2)/2)*DH197+(1-EXP(-LN(2)/2))/(LN(2)/2)*DB198*DE198*VLOOKUP('Données projet'!$B$13,Paramètres!$A$1:$I$89,3,0)*0.475*44/12</f>
        <v>0</v>
      </c>
      <c r="DI198" s="22">
        <f t="shared" si="175"/>
        <v>88.337218038475868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2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174.28319999999962</v>
      </c>
      <c r="D199" s="11">
        <f t="shared" si="202"/>
        <v>44.047924241116036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1685.3630643173844</v>
      </c>
      <c r="H199" s="67">
        <f t="shared" si="192"/>
        <v>636.92670805327657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0</v>
      </c>
      <c r="O199" s="13">
        <f>N199*VLOOKUP('Données projet'!$B$9,Paramètres!$A$1:$I$89,3,0)*VLOOKUP('Données projet'!$B$9,Paramètres!$A$1:$I$89,5,0)</f>
        <v>0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101.15586831191774</v>
      </c>
      <c r="T199" s="59">
        <f t="shared" si="204"/>
        <v>346.96347336689064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1.5219035203179201</v>
      </c>
      <c r="AA199" s="21">
        <f>EXP(-LN(2)/25)*AA198+(1-EXP(-LN(2)/25))/(LN(2)/25)*Calculateur!V199*Calculateur!X199*VLOOKUP('Données projet'!$B$9,Paramètres!$A$1:$I$89,3,0)*0.475*44/12</f>
        <v>0.16535380023286869</v>
      </c>
      <c r="AB199" s="21">
        <f>EXP(-LN(2)/2)*AB198+(1-EXP(-LN(2)/2))/(LN(2)/2)*V199*Y199*VLOOKUP('Données projet'!$B$9,Paramètres!$A$1:$I$89,3,0)*0.475*44/12</f>
        <v>0</v>
      </c>
      <c r="AC199" s="22">
        <f t="shared" si="163"/>
        <v>1.6872573205507888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0</v>
      </c>
      <c r="AJ199" s="13">
        <f>AI199*VLOOKUP('Données projet'!$B$10,Paramètres!$A$1:$I$89,3,0)*VLOOKUP('Données projet'!$B$10,Paramètres!$A$1:$I$89,5,0)</f>
        <v>0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101.15586831191774</v>
      </c>
      <c r="AO199" s="59">
        <f t="shared" si="205"/>
        <v>346.96347336689064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1.5219035203179201</v>
      </c>
      <c r="AV199" s="21">
        <f>EXP(-LN(2)/25)*AV198+(1-EXP(-LN(2)/25))/(LN(2)/25)*Calculateur!AQ199*Calculateur!AS199*VLOOKUP('Données projet'!$B$10,Paramètres!$A$1:$I$89,3,0)*0.475*44/12</f>
        <v>0.16535380023286869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1.6872573205507888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5.6843418860808015E-14</v>
      </c>
      <c r="BE199" s="13">
        <f>BD199*VLOOKUP('Données projet'!$B$11,Paramètres!$A$1:$I$89,3,0)*VLOOKUP('Données projet'!$B$11,Paramètres!$A$1:$I$89,5,0)</f>
        <v>5.1431925385259088E-14</v>
      </c>
      <c r="BF199" s="13">
        <f t="shared" si="167"/>
        <v>8.3482866290946129E-13</v>
      </c>
      <c r="BG199" s="20">
        <f t="shared" si="168"/>
        <v>1.5435705246133045E-12</v>
      </c>
      <c r="BH199" s="59">
        <f t="shared" si="194"/>
        <v>293.33333333333485</v>
      </c>
      <c r="BI199" s="59">
        <f ca="1">AVERAGE(OFFSET($BH$3,0,0,'Données projet'!$E$11+1,1))-AVERAGE(OFFSET($H$3,0,0,'Données projet'!$E$11+1,1))</f>
        <v>352.62747127358324</v>
      </c>
      <c r="BJ199" s="59">
        <f t="shared" si="206"/>
        <v>283.16932763435011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77.278289019095354</v>
      </c>
      <c r="BQ199" s="21">
        <f>EXP(-LN(2)/25)*BQ198+(1-EXP(-LN(2)/25))/(LN(2)/25)*Calculateur!BL199*Calculateur!BN199*VLOOKUP('Données projet'!$B$11,Paramètres!$A$1:$I$89,3,0)*0.475*44/12</f>
        <v>0</v>
      </c>
      <c r="BR199" s="21">
        <f>EXP(-LN(2)/2)*BR198+(1-EXP(-LN(2)/2))/(LN(2)/2)*BL199*BO199*VLOOKUP('Données projet'!$B$11,Paramètres!$A$1:$I$89,3,0)*0.475*44/12</f>
        <v>0</v>
      </c>
      <c r="BS199" s="22">
        <f t="shared" si="169"/>
        <v>77.278289019095354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5.6843418860808015E-14</v>
      </c>
      <c r="BZ199" s="13">
        <f>BY199*VLOOKUP('Données projet'!$B$12,Paramètres!$A$1:$I$89,3,0)*VLOOKUP('Données projet'!$B$12,Paramètres!$A$1:$I$89,5,0)</f>
        <v>5.9412741393316544E-14</v>
      </c>
      <c r="CA199" s="13">
        <f t="shared" si="170"/>
        <v>9.483138037075784E-13</v>
      </c>
      <c r="CB199" s="20">
        <f t="shared" si="171"/>
        <v>1.7551237327173918E-12</v>
      </c>
      <c r="CC199" s="59">
        <f t="shared" si="195"/>
        <v>293.33333333333508</v>
      </c>
      <c r="CD199" s="59">
        <f ca="1">AVERAGE(OFFSET($CC$3,0,0,'Données projet'!$E$12+1,1))-AVERAGE(OFFSET($H$3,0,0,'Données projet'!$E$12+1,1))</f>
        <v>423.49657671419374</v>
      </c>
      <c r="CE199" s="59">
        <f t="shared" si="207"/>
        <v>329.6783569381081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89.269747659989463</v>
      </c>
      <c r="CL199" s="21">
        <f>EXP(-LN(2)/25)*CL198+(1-EXP(-LN(2)/25))/(LN(2)/25)*Calculateur!CG199*Calculateur!CI199*VLOOKUP('Données projet'!$B$12,Paramètres!$A$1:$I$89,3,0)*0.475*44/12</f>
        <v>0</v>
      </c>
      <c r="CM199" s="21">
        <f>EXP(-LN(2)/2)*CM198+(1-EXP(-LN(2)/2))/(LN(2)/2)*CG199*CJ199*VLOOKUP('Données projet'!$B$12,Paramètres!$A$1:$I$89,3,0)*0.475*44/12</f>
        <v>0</v>
      </c>
      <c r="CN199" s="22">
        <f t="shared" si="172"/>
        <v>89.269747659989463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5.6843418860808015E-14</v>
      </c>
      <c r="CU199" s="17">
        <f>CT199*VLOOKUP('Données projet'!$B$13,Paramètres!$A$1:$I$89,3,0)*VLOOKUP('Données projet'!$B$13,Paramètres!$A$1:$I$89,5,0)</f>
        <v>5.7639226724859328E-14</v>
      </c>
      <c r="CV199" s="13">
        <f t="shared" si="173"/>
        <v>9.2325701996134334E-13</v>
      </c>
      <c r="CW199" s="20">
        <f t="shared" si="174"/>
        <v>1.708394296311803E-12</v>
      </c>
      <c r="CX199" s="59">
        <f t="shared" si="196"/>
        <v>293.33333333333502</v>
      </c>
      <c r="CY199" s="59">
        <f ca="1">AVERAGE(OFFSET($CX$3,0,0,'Données projet'!$E$13+1,1))-AVERAGE(OFFSET($H$3,0,0,'Données projet'!$E$13+1,1))</f>
        <v>407.76560346703042</v>
      </c>
      <c r="CZ199" s="59">
        <f t="shared" si="208"/>
        <v>319.35531375725202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86.604979073124113</v>
      </c>
      <c r="DG199" s="21">
        <f>EXP(-LN(2)/25)*DG198+(1-EXP(-LN(2)/25))/(LN(2)/25)*Calculateur!DB199*Calculateur!DD199*VLOOKUP('Données projet'!$B$13,Paramètres!$A$1:$I$89,3,0)*0.475*44/12</f>
        <v>0</v>
      </c>
      <c r="DH199" s="21">
        <f>EXP(-LN(2)/2)*DH198+(1-EXP(-LN(2)/2))/(LN(2)/2)*DB199*DE199*VLOOKUP('Données projet'!$B$13,Paramètres!$A$1:$I$89,3,0)*0.475*44/12</f>
        <v>0</v>
      </c>
      <c r="DI199" s="22">
        <f t="shared" si="175"/>
        <v>86.604979073124113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2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175.17239999999961</v>
      </c>
      <c r="D200" s="11">
        <f t="shared" si="202"/>
        <v>44.246440622057428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1693.7594714685104</v>
      </c>
      <c r="H200" s="67">
        <f t="shared" si="192"/>
        <v>638.82114741674945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0</v>
      </c>
      <c r="O200" s="13">
        <f>N200*VLOOKUP('Données projet'!$B$9,Paramètres!$A$1:$I$89,3,0)*VLOOKUP('Données projet'!$B$9,Paramètres!$A$1:$I$89,5,0)</f>
        <v>0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101.15586831191774</v>
      </c>
      <c r="T200" s="59">
        <f t="shared" si="204"/>
        <v>346.96347336689064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1.492059920553974</v>
      </c>
      <c r="AA200" s="21">
        <f>EXP(-LN(2)/25)*AA199+(1-EXP(-LN(2)/25))/(LN(2)/25)*Calculateur!V200*Calculateur!X200*VLOOKUP('Données projet'!$B$9,Paramètres!$A$1:$I$89,3,0)*0.475*44/12</f>
        <v>0.16083219186992245</v>
      </c>
      <c r="AB200" s="21">
        <f>EXP(-LN(2)/2)*AB199+(1-EXP(-LN(2)/2))/(LN(2)/2)*V200*Y200*VLOOKUP('Données projet'!$B$9,Paramètres!$A$1:$I$89,3,0)*0.475*44/12</f>
        <v>0</v>
      </c>
      <c r="AC200" s="22">
        <f t="shared" si="163"/>
        <v>1.6528921124238964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0</v>
      </c>
      <c r="AJ200" s="13">
        <f>AI200*VLOOKUP('Données projet'!$B$10,Paramètres!$A$1:$I$89,3,0)*VLOOKUP('Données projet'!$B$10,Paramètres!$A$1:$I$89,5,0)</f>
        <v>0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101.15586831191774</v>
      </c>
      <c r="AO200" s="59">
        <f t="shared" si="205"/>
        <v>346.96347336689064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1.492059920553974</v>
      </c>
      <c r="AV200" s="21">
        <f>EXP(-LN(2)/25)*AV199+(1-EXP(-LN(2)/25))/(LN(2)/25)*Calculateur!AQ200*Calculateur!AS200*VLOOKUP('Données projet'!$B$10,Paramètres!$A$1:$I$89,3,0)*0.475*44/12</f>
        <v>0.16083219186992245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1.6528921124238964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5.6843418860808015E-14</v>
      </c>
      <c r="BE200" s="13">
        <f>BD200*VLOOKUP('Données projet'!$B$11,Paramètres!$A$1:$I$89,3,0)*VLOOKUP('Données projet'!$B$11,Paramètres!$A$1:$I$89,5,0)</f>
        <v>5.1431925385259088E-14</v>
      </c>
      <c r="BF200" s="13">
        <f t="shared" si="167"/>
        <v>8.3482866290946129E-13</v>
      </c>
      <c r="BG200" s="20">
        <f t="shared" si="168"/>
        <v>1.5435705246133045E-12</v>
      </c>
      <c r="BH200" s="59">
        <f t="shared" si="194"/>
        <v>293.33333333333485</v>
      </c>
      <c r="BI200" s="59">
        <f ca="1">AVERAGE(OFFSET($BH$3,0,0,'Données projet'!$E$11+1,1))-AVERAGE(OFFSET($H$3,0,0,'Données projet'!$E$11+1,1))</f>
        <v>352.62747127358324</v>
      </c>
      <c r="BJ200" s="59">
        <f t="shared" si="206"/>
        <v>283.16932763435011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75.762908906532985</v>
      </c>
      <c r="BQ200" s="21">
        <f>EXP(-LN(2)/25)*BQ199+(1-EXP(-LN(2)/25))/(LN(2)/25)*Calculateur!BL200*Calculateur!BN200*VLOOKUP('Données projet'!$B$11,Paramètres!$A$1:$I$89,3,0)*0.475*44/12</f>
        <v>0</v>
      </c>
      <c r="BR200" s="21">
        <f>EXP(-LN(2)/2)*BR199+(1-EXP(-LN(2)/2))/(LN(2)/2)*BL200*BO200*VLOOKUP('Données projet'!$B$11,Paramètres!$A$1:$I$89,3,0)*0.475*44/12</f>
        <v>0</v>
      </c>
      <c r="BS200" s="22">
        <f t="shared" si="169"/>
        <v>75.762908906532985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5.6843418860808015E-14</v>
      </c>
      <c r="BZ200" s="13">
        <f>BY200*VLOOKUP('Données projet'!$B$12,Paramètres!$A$1:$I$89,3,0)*VLOOKUP('Données projet'!$B$12,Paramètres!$A$1:$I$89,5,0)</f>
        <v>5.9412741393316544E-14</v>
      </c>
      <c r="CA200" s="13">
        <f t="shared" si="170"/>
        <v>9.483138037075784E-13</v>
      </c>
      <c r="CB200" s="20">
        <f t="shared" si="171"/>
        <v>1.7551237327173918E-12</v>
      </c>
      <c r="CC200" s="59">
        <f t="shared" si="195"/>
        <v>293.33333333333508</v>
      </c>
      <c r="CD200" s="59">
        <f ca="1">AVERAGE(OFFSET($CC$3,0,0,'Données projet'!$E$12+1,1))-AVERAGE(OFFSET($H$3,0,0,'Données projet'!$E$12+1,1))</f>
        <v>423.49657671419374</v>
      </c>
      <c r="CE200" s="59">
        <f t="shared" si="207"/>
        <v>329.6783569381081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87.519222357546738</v>
      </c>
      <c r="CL200" s="21">
        <f>EXP(-LN(2)/25)*CL199+(1-EXP(-LN(2)/25))/(LN(2)/25)*Calculateur!CG200*Calculateur!CI200*VLOOKUP('Données projet'!$B$12,Paramètres!$A$1:$I$89,3,0)*0.475*44/12</f>
        <v>0</v>
      </c>
      <c r="CM200" s="21">
        <f>EXP(-LN(2)/2)*CM199+(1-EXP(-LN(2)/2))/(LN(2)/2)*CG200*CJ200*VLOOKUP('Données projet'!$B$12,Paramètres!$A$1:$I$89,3,0)*0.475*44/12</f>
        <v>0</v>
      </c>
      <c r="CN200" s="22">
        <f t="shared" si="172"/>
        <v>87.519222357546738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5.6843418860808015E-14</v>
      </c>
      <c r="CU200" s="17">
        <f>CT200*VLOOKUP('Données projet'!$B$13,Paramètres!$A$1:$I$89,3,0)*VLOOKUP('Données projet'!$B$13,Paramètres!$A$1:$I$89,5,0)</f>
        <v>5.7639226724859328E-14</v>
      </c>
      <c r="CV200" s="13">
        <f t="shared" si="173"/>
        <v>9.2325701996134334E-13</v>
      </c>
      <c r="CW200" s="20">
        <f t="shared" si="174"/>
        <v>1.708394296311803E-12</v>
      </c>
      <c r="CX200" s="59">
        <f t="shared" si="196"/>
        <v>293.33333333333502</v>
      </c>
      <c r="CY200" s="59">
        <f ca="1">AVERAGE(OFFSET($CX$3,0,0,'Données projet'!$E$13+1,1))-AVERAGE(OFFSET($H$3,0,0,'Données projet'!$E$13+1,1))</f>
        <v>407.76560346703042</v>
      </c>
      <c r="CZ200" s="59">
        <f t="shared" si="208"/>
        <v>319.35531375725202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84.906708257321469</v>
      </c>
      <c r="DG200" s="21">
        <f>EXP(-LN(2)/25)*DG199+(1-EXP(-LN(2)/25))/(LN(2)/25)*Calculateur!DB200*Calculateur!DD200*VLOOKUP('Données projet'!$B$13,Paramètres!$A$1:$I$89,3,0)*0.475*44/12</f>
        <v>0</v>
      </c>
      <c r="DH200" s="21">
        <f>EXP(-LN(2)/2)*DH199+(1-EXP(-LN(2)/2))/(LN(2)/2)*DB200*DE200*VLOOKUP('Données projet'!$B$13,Paramètres!$A$1:$I$89,3,0)*0.475*44/12</f>
        <v>0</v>
      </c>
      <c r="DI200" s="22">
        <f t="shared" si="175"/>
        <v>84.906708257321469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2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176.0615999999996</v>
      </c>
      <c r="D201" s="11">
        <f t="shared" si="202"/>
        <v>44.44483974113885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1702.154973440367</v>
      </c>
      <c r="H201" s="67">
        <f t="shared" si="192"/>
        <v>640.71538254914947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0</v>
      </c>
      <c r="O201" s="13">
        <f>N201*VLOOKUP('Données projet'!$B$9,Paramètres!$A$1:$I$89,3,0)*VLOOKUP('Données projet'!$B$9,Paramètres!$A$1:$I$89,5,0)</f>
        <v>0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101.15586831191774</v>
      </c>
      <c r="T201" s="59">
        <f t="shared" si="204"/>
        <v>346.96347336689064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1.4628015355786004</v>
      </c>
      <c r="AA201" s="21">
        <f>EXP(-LN(2)/25)*AA200+(1-EXP(-LN(2)/25))/(LN(2)/25)*Calculateur!V201*Calculateur!X201*VLOOKUP('Données projet'!$B$9,Paramètres!$A$1:$I$89,3,0)*0.475*44/12</f>
        <v>0.15643422712544203</v>
      </c>
      <c r="AB201" s="21">
        <f>EXP(-LN(2)/2)*AB200+(1-EXP(-LN(2)/2))/(LN(2)/2)*V201*Y201*VLOOKUP('Données projet'!$B$9,Paramètres!$A$1:$I$89,3,0)*0.475*44/12</f>
        <v>0</v>
      </c>
      <c r="AC201" s="22">
        <f t="shared" si="163"/>
        <v>1.6192357627040423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0</v>
      </c>
      <c r="AJ201" s="13">
        <f>AI201*VLOOKUP('Données projet'!$B$10,Paramètres!$A$1:$I$89,3,0)*VLOOKUP('Données projet'!$B$10,Paramètres!$A$1:$I$89,5,0)</f>
        <v>0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101.15586831191774</v>
      </c>
      <c r="AO201" s="59">
        <f t="shared" si="205"/>
        <v>346.96347336689064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1.4628015355786004</v>
      </c>
      <c r="AV201" s="21">
        <f>EXP(-LN(2)/25)*AV200+(1-EXP(-LN(2)/25))/(LN(2)/25)*Calculateur!AQ201*Calculateur!AS201*VLOOKUP('Données projet'!$B$10,Paramètres!$A$1:$I$89,3,0)*0.475*44/12</f>
        <v>0.15643422712544203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1.6192357627040423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5.6843418860808015E-14</v>
      </c>
      <c r="BE201" s="13">
        <f>BD201*VLOOKUP('Données projet'!$B$11,Paramètres!$A$1:$I$89,3,0)*VLOOKUP('Données projet'!$B$11,Paramètres!$A$1:$I$89,5,0)</f>
        <v>5.1431925385259088E-14</v>
      </c>
      <c r="BF201" s="13">
        <f t="shared" si="167"/>
        <v>8.3482866290946129E-13</v>
      </c>
      <c r="BG201" s="20">
        <f t="shared" si="168"/>
        <v>1.5435705246133045E-12</v>
      </c>
      <c r="BH201" s="59">
        <f t="shared" si="194"/>
        <v>293.33333333333485</v>
      </c>
      <c r="BI201" s="59">
        <f ca="1">AVERAGE(OFFSET($BH$3,0,0,'Données projet'!$E$11+1,1))-AVERAGE(OFFSET($H$3,0,0,'Données projet'!$E$11+1,1))</f>
        <v>352.62747127358324</v>
      </c>
      <c r="BJ201" s="59">
        <f t="shared" si="206"/>
        <v>283.16932763435011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74.277244473687361</v>
      </c>
      <c r="BQ201" s="21">
        <f>EXP(-LN(2)/25)*BQ200+(1-EXP(-LN(2)/25))/(LN(2)/25)*Calculateur!BL201*Calculateur!BN201*VLOOKUP('Données projet'!$B$11,Paramètres!$A$1:$I$89,3,0)*0.475*44/12</f>
        <v>0</v>
      </c>
      <c r="BR201" s="21">
        <f>EXP(-LN(2)/2)*BR200+(1-EXP(-LN(2)/2))/(LN(2)/2)*BL201*BO201*VLOOKUP('Données projet'!$B$11,Paramètres!$A$1:$I$89,3,0)*0.475*44/12</f>
        <v>0</v>
      </c>
      <c r="BS201" s="22">
        <f t="shared" si="169"/>
        <v>74.277244473687361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5.6843418860808015E-14</v>
      </c>
      <c r="BZ201" s="13">
        <f>BY201*VLOOKUP('Données projet'!$B$12,Paramètres!$A$1:$I$89,3,0)*VLOOKUP('Données projet'!$B$12,Paramètres!$A$1:$I$89,5,0)</f>
        <v>5.9412741393316544E-14</v>
      </c>
      <c r="CA201" s="13">
        <f t="shared" si="170"/>
        <v>9.483138037075784E-13</v>
      </c>
      <c r="CB201" s="20">
        <f t="shared" si="171"/>
        <v>1.7551237327173918E-12</v>
      </c>
      <c r="CC201" s="59">
        <f t="shared" si="195"/>
        <v>293.33333333333508</v>
      </c>
      <c r="CD201" s="59">
        <f ca="1">AVERAGE(OFFSET($CC$3,0,0,'Données projet'!$E$12+1,1))-AVERAGE(OFFSET($H$3,0,0,'Données projet'!$E$12+1,1))</f>
        <v>423.49657671419374</v>
      </c>
      <c r="CE201" s="59">
        <f t="shared" si="207"/>
        <v>329.6783569381081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85.803023788569902</v>
      </c>
      <c r="CL201" s="21">
        <f>EXP(-LN(2)/25)*CL200+(1-EXP(-LN(2)/25))/(LN(2)/25)*Calculateur!CG201*Calculateur!CI201*VLOOKUP('Données projet'!$B$12,Paramètres!$A$1:$I$89,3,0)*0.475*44/12</f>
        <v>0</v>
      </c>
      <c r="CM201" s="21">
        <f>EXP(-LN(2)/2)*CM200+(1-EXP(-LN(2)/2))/(LN(2)/2)*CG201*CJ201*VLOOKUP('Données projet'!$B$12,Paramètres!$A$1:$I$89,3,0)*0.475*44/12</f>
        <v>0</v>
      </c>
      <c r="CN201" s="22">
        <f t="shared" si="172"/>
        <v>85.803023788569902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5.6843418860808015E-14</v>
      </c>
      <c r="CU201" s="17">
        <f>CT201*VLOOKUP('Données projet'!$B$13,Paramètres!$A$1:$I$89,3,0)*VLOOKUP('Données projet'!$B$13,Paramètres!$A$1:$I$89,5,0)</f>
        <v>5.7639226724859328E-14</v>
      </c>
      <c r="CV201" s="13">
        <f t="shared" si="173"/>
        <v>9.2325701996134334E-13</v>
      </c>
      <c r="CW201" s="20">
        <f t="shared" si="174"/>
        <v>1.708394296311803E-12</v>
      </c>
      <c r="CX201" s="59">
        <f t="shared" si="196"/>
        <v>293.33333333333502</v>
      </c>
      <c r="CY201" s="59">
        <f ca="1">AVERAGE(OFFSET($CX$3,0,0,'Données projet'!$E$13+1,1))-AVERAGE(OFFSET($H$3,0,0,'Données projet'!$E$13+1,1))</f>
        <v>407.76560346703042</v>
      </c>
      <c r="CZ201" s="59">
        <f t="shared" si="208"/>
        <v>319.35531375725202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83.241739496373796</v>
      </c>
      <c r="DG201" s="21">
        <f>EXP(-LN(2)/25)*DG200+(1-EXP(-LN(2)/25))/(LN(2)/25)*Calculateur!DB201*Calculateur!DD201*VLOOKUP('Données projet'!$B$13,Paramètres!$A$1:$I$89,3,0)*0.475*44/12</f>
        <v>0</v>
      </c>
      <c r="DH201" s="21">
        <f>EXP(-LN(2)/2)*DH200+(1-EXP(-LN(2)/2))/(LN(2)/2)*DB201*DE201*VLOOKUP('Données projet'!$B$13,Paramètres!$A$1:$I$89,3,0)*0.475*44/12</f>
        <v>0</v>
      </c>
      <c r="DI201" s="22">
        <f t="shared" si="175"/>
        <v>83.241739496373796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2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176.95079999999959</v>
      </c>
      <c r="D202" s="11">
        <f t="shared" si="202"/>
        <v>44.643122259339037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1710.5495753352454</v>
      </c>
      <c r="H202" s="67">
        <f t="shared" si="192"/>
        <v>642.60941460168146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0</v>
      </c>
      <c r="O202" s="13">
        <f>N202*VLOOKUP('Données projet'!$B$9,Paramètres!$A$1:$I$89,3,0)*VLOOKUP('Données projet'!$B$9,Paramètres!$A$1:$I$89,5,0)</f>
        <v>0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101.15586831191774</v>
      </c>
      <c r="T202" s="59">
        <f t="shared" si="204"/>
        <v>346.96347336689064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1.4341168896867413</v>
      </c>
      <c r="AA202" s="21">
        <f>EXP(-LN(2)/25)*AA201+(1-EXP(-LN(2)/25))/(LN(2)/25)*Calculateur!V202*Calculateur!X202*VLOOKUP('Données projet'!$B$9,Paramètres!$A$1:$I$89,3,0)*0.475*44/12</f>
        <v>0.15215652495817836</v>
      </c>
      <c r="AB202" s="21">
        <f>EXP(-LN(2)/2)*AB201+(1-EXP(-LN(2)/2))/(LN(2)/2)*V202*Y202*VLOOKUP('Données projet'!$B$9,Paramètres!$A$1:$I$89,3,0)*0.475*44/12</f>
        <v>0</v>
      </c>
      <c r="AC202" s="22">
        <f t="shared" si="163"/>
        <v>1.5862734146449198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0</v>
      </c>
      <c r="AJ202" s="13">
        <f>AI202*VLOOKUP('Données projet'!$B$10,Paramètres!$A$1:$I$89,3,0)*VLOOKUP('Données projet'!$B$10,Paramètres!$A$1:$I$89,5,0)</f>
        <v>0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101.15586831191774</v>
      </c>
      <c r="AO202" s="59">
        <f t="shared" si="205"/>
        <v>346.96347336689064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1.4341168896867413</v>
      </c>
      <c r="AV202" s="21">
        <f>EXP(-LN(2)/25)*AV201+(1-EXP(-LN(2)/25))/(LN(2)/25)*Calculateur!AQ202*Calculateur!AS202*VLOOKUP('Données projet'!$B$10,Paramètres!$A$1:$I$89,3,0)*0.475*44/12</f>
        <v>0.15215652495817836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1.5862734146449198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5.6843418860808015E-14</v>
      </c>
      <c r="BE202" s="13">
        <f>BD202*VLOOKUP('Données projet'!$B$11,Paramètres!$A$1:$I$89,3,0)*VLOOKUP('Données projet'!$B$11,Paramètres!$A$1:$I$89,5,0)</f>
        <v>5.1431925385259088E-14</v>
      </c>
      <c r="BF202" s="13">
        <f t="shared" si="167"/>
        <v>8.3482866290946129E-13</v>
      </c>
      <c r="BG202" s="20">
        <f t="shared" si="168"/>
        <v>1.5435705246133045E-12</v>
      </c>
      <c r="BH202" s="59">
        <f t="shared" si="194"/>
        <v>293.33333333333485</v>
      </c>
      <c r="BI202" s="59">
        <f ca="1">AVERAGE(OFFSET($BH$3,0,0,'Données projet'!$E$11+1,1))-AVERAGE(OFFSET($H$3,0,0,'Données projet'!$E$11+1,1))</f>
        <v>352.62747127358324</v>
      </c>
      <c r="BJ202" s="59">
        <f t="shared" si="206"/>
        <v>283.16932763435011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72.820713014204017</v>
      </c>
      <c r="BQ202" s="21">
        <f>EXP(-LN(2)/25)*BQ201+(1-EXP(-LN(2)/25))/(LN(2)/25)*Calculateur!BL202*Calculateur!BN202*VLOOKUP('Données projet'!$B$11,Paramètres!$A$1:$I$89,3,0)*0.475*44/12</f>
        <v>0</v>
      </c>
      <c r="BR202" s="21">
        <f>EXP(-LN(2)/2)*BR201+(1-EXP(-LN(2)/2))/(LN(2)/2)*BL202*BO202*VLOOKUP('Données projet'!$B$11,Paramètres!$A$1:$I$89,3,0)*0.475*44/12</f>
        <v>0</v>
      </c>
      <c r="BS202" s="22">
        <f t="shared" si="169"/>
        <v>72.820713014204017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5.6843418860808015E-14</v>
      </c>
      <c r="BZ202" s="13">
        <f>BY202*VLOOKUP('Données projet'!$B$12,Paramètres!$A$1:$I$89,3,0)*VLOOKUP('Données projet'!$B$12,Paramètres!$A$1:$I$89,5,0)</f>
        <v>5.9412741393316544E-14</v>
      </c>
      <c r="CA202" s="13">
        <f t="shared" si="170"/>
        <v>9.483138037075784E-13</v>
      </c>
      <c r="CB202" s="20">
        <f t="shared" si="171"/>
        <v>1.7551237327173918E-12</v>
      </c>
      <c r="CC202" s="59">
        <f t="shared" si="195"/>
        <v>293.33333333333508</v>
      </c>
      <c r="CD202" s="59">
        <f ca="1">AVERAGE(OFFSET($CC$3,0,0,'Données projet'!$E$12+1,1))-AVERAGE(OFFSET($H$3,0,0,'Données projet'!$E$12+1,1))</f>
        <v>423.49657671419374</v>
      </c>
      <c r="CE202" s="59">
        <f t="shared" si="207"/>
        <v>329.6783569381081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84.120478826752944</v>
      </c>
      <c r="CL202" s="21">
        <f>EXP(-LN(2)/25)*CL201+(1-EXP(-LN(2)/25))/(LN(2)/25)*Calculateur!CG202*Calculateur!CI202*VLOOKUP('Données projet'!$B$12,Paramètres!$A$1:$I$89,3,0)*0.475*44/12</f>
        <v>0</v>
      </c>
      <c r="CM202" s="21">
        <f>EXP(-LN(2)/2)*CM201+(1-EXP(-LN(2)/2))/(LN(2)/2)*CG202*CJ202*VLOOKUP('Données projet'!$B$12,Paramètres!$A$1:$I$89,3,0)*0.475*44/12</f>
        <v>0</v>
      </c>
      <c r="CN202" s="22">
        <f t="shared" si="172"/>
        <v>84.120478826752944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5.6843418860808015E-14</v>
      </c>
      <c r="CU202" s="17">
        <f>CT202*VLOOKUP('Données projet'!$B$13,Paramètres!$A$1:$I$89,3,0)*VLOOKUP('Données projet'!$B$13,Paramètres!$A$1:$I$89,5,0)</f>
        <v>5.7639226724859328E-14</v>
      </c>
      <c r="CV202" s="13">
        <f t="shared" si="173"/>
        <v>9.2325701996134334E-13</v>
      </c>
      <c r="CW202" s="20">
        <f t="shared" si="174"/>
        <v>1.708394296311803E-12</v>
      </c>
      <c r="CX202" s="59">
        <f t="shared" si="196"/>
        <v>293.33333333333502</v>
      </c>
      <c r="CY202" s="59">
        <f ca="1">AVERAGE(OFFSET($CX$3,0,0,'Données projet'!$E$13+1,1))-AVERAGE(OFFSET($H$3,0,0,'Données projet'!$E$13+1,1))</f>
        <v>407.76560346703042</v>
      </c>
      <c r="CZ202" s="59">
        <f t="shared" si="208"/>
        <v>319.35531375725202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81.60941975729763</v>
      </c>
      <c r="DG202" s="21">
        <f>EXP(-LN(2)/25)*DG201+(1-EXP(-LN(2)/25))/(LN(2)/25)*Calculateur!DB202*Calculateur!DD202*VLOOKUP('Données projet'!$B$13,Paramètres!$A$1:$I$89,3,0)*0.475*44/12</f>
        <v>0</v>
      </c>
      <c r="DH202" s="21">
        <f>EXP(-LN(2)/2)*DH201+(1-EXP(-LN(2)/2))/(LN(2)/2)*DB202*DE202*VLOOKUP('Données projet'!$B$13,Paramètres!$A$1:$I$89,3,0)*0.475*44/12</f>
        <v>0</v>
      </c>
      <c r="DI202" s="22">
        <f t="shared" si="175"/>
        <v>81.60941975729763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6" thickBot="1" x14ac:dyDescent="0.25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177.83999999999958</v>
      </c>
      <c r="D203" s="11">
        <f t="shared" si="202"/>
        <v>44.841288830609059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1718.9432822011897</v>
      </c>
      <c r="H203" s="67">
        <f t="shared" si="192"/>
        <v>644.5032447133101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0</v>
      </c>
      <c r="O203" s="13">
        <f>N203*VLOOKUP('Données projet'!$B$9,Paramètres!$A$1:$I$89,3,0)*VLOOKUP('Données projet'!$B$9,Paramètres!$A$1:$I$89,5,0)</f>
        <v>0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101.15586831191774</v>
      </c>
      <c r="T203" s="59">
        <f t="shared" si="204"/>
        <v>346.96347336689064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1.4059947322049151</v>
      </c>
      <c r="AA203" s="21">
        <f>EXP(-LN(2)/25)*AA202+(1-EXP(-LN(2)/25))/(LN(2)/25)*Calculateur!V203*Calculateur!X203*VLOOKUP('Données projet'!$B$9,Paramètres!$A$1:$I$89,3,0)*0.475*44/12</f>
        <v>0.14799579678163308</v>
      </c>
      <c r="AB203" s="21">
        <f>EXP(-LN(2)/2)*AB202+(1-EXP(-LN(2)/2))/(LN(2)/2)*V203*Y203*VLOOKUP('Données projet'!$B$9,Paramètres!$A$1:$I$89,3,0)*0.475*44/12</f>
        <v>0</v>
      </c>
      <c r="AC203" s="22">
        <f t="shared" si="163"/>
        <v>1.5539905289865481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0</v>
      </c>
      <c r="AJ203" s="13">
        <f>AI203*VLOOKUP('Données projet'!$B$10,Paramètres!$A$1:$I$89,3,0)*VLOOKUP('Données projet'!$B$10,Paramètres!$A$1:$I$89,5,0)</f>
        <v>0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101.15586831191774</v>
      </c>
      <c r="AO203" s="59">
        <f t="shared" si="205"/>
        <v>346.96347336689064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1.4059947322049151</v>
      </c>
      <c r="AV203" s="21">
        <f>EXP(-LN(2)/25)*AV202+(1-EXP(-LN(2)/25))/(LN(2)/25)*Calculateur!AQ203*Calculateur!AS203*VLOOKUP('Données projet'!$B$10,Paramètres!$A$1:$I$89,3,0)*0.475*44/12</f>
        <v>0.14799579678163308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1.5539905289865481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5.6843418860808015E-14</v>
      </c>
      <c r="BE203" s="13">
        <f>BD203*VLOOKUP('Données projet'!$B$11,Paramètres!$A$1:$I$89,3,0)*VLOOKUP('Données projet'!$B$11,Paramètres!$A$1:$I$89,5,0)</f>
        <v>5.1431925385259088E-14</v>
      </c>
      <c r="BF203" s="13">
        <f t="shared" si="167"/>
        <v>8.3482866290946129E-13</v>
      </c>
      <c r="BG203" s="20">
        <f t="shared" si="168"/>
        <v>1.5435705246133045E-12</v>
      </c>
      <c r="BH203" s="59">
        <f t="shared" si="194"/>
        <v>293.33333333333485</v>
      </c>
      <c r="BI203" s="59">
        <f ca="1">AVERAGE(OFFSET($BH$3,0,0,'Données projet'!$E$11+1,1))-AVERAGE(OFFSET($H$3,0,0,'Données projet'!$E$11+1,1))</f>
        <v>352.62747127358324</v>
      </c>
      <c r="BJ203" s="59">
        <f t="shared" si="206"/>
        <v>283.16932763435011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71.39274324824467</v>
      </c>
      <c r="BQ203" s="21">
        <f>EXP(-LN(2)/25)*BQ202+(1-EXP(-LN(2)/25))/(LN(2)/25)*Calculateur!BL203*Calculateur!BN203*VLOOKUP('Données projet'!$B$11,Paramètres!$A$1:$I$89,3,0)*0.475*44/12</f>
        <v>0</v>
      </c>
      <c r="BR203" s="21">
        <f>EXP(-LN(2)/2)*BR202+(1-EXP(-LN(2)/2))/(LN(2)/2)*BL203*BO203*VLOOKUP('Données projet'!$B$11,Paramètres!$A$1:$I$89,3,0)*0.475*44/12</f>
        <v>0</v>
      </c>
      <c r="BS203" s="22">
        <f t="shared" si="169"/>
        <v>71.39274324824467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5.6843418860808015E-14</v>
      </c>
      <c r="BZ203" s="13">
        <f>BY203*VLOOKUP('Données projet'!$B$12,Paramètres!$A$1:$I$89,3,0)*VLOOKUP('Données projet'!$B$12,Paramètres!$A$1:$I$89,5,0)</f>
        <v>5.9412741393316544E-14</v>
      </c>
      <c r="CA203" s="13">
        <f t="shared" si="170"/>
        <v>9.483138037075784E-13</v>
      </c>
      <c r="CB203" s="20">
        <f t="shared" si="171"/>
        <v>1.7551237327173918E-12</v>
      </c>
      <c r="CC203" s="59">
        <f t="shared" si="195"/>
        <v>293.33333333333508</v>
      </c>
      <c r="CD203" s="59">
        <f ca="1">AVERAGE(OFFSET($CC$3,0,0,'Données projet'!$E$12+1,1))-AVERAGE(OFFSET($H$3,0,0,'Données projet'!$E$12+1,1))</f>
        <v>423.49657671419374</v>
      </c>
      <c r="CE203" s="59">
        <f t="shared" si="207"/>
        <v>329.6783569381081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82.470927545386118</v>
      </c>
      <c r="CL203" s="21">
        <f>EXP(-LN(2)/25)*CL202+(1-EXP(-LN(2)/25))/(LN(2)/25)*Calculateur!CG203*Calculateur!CI203*VLOOKUP('Données projet'!$B$12,Paramètres!$A$1:$I$89,3,0)*0.475*44/12</f>
        <v>0</v>
      </c>
      <c r="CM203" s="21">
        <f>EXP(-LN(2)/2)*CM202+(1-EXP(-LN(2)/2))/(LN(2)/2)*CG203*CJ203*VLOOKUP('Données projet'!$B$12,Paramètres!$A$1:$I$89,3,0)*0.475*44/12</f>
        <v>0</v>
      </c>
      <c r="CN203" s="22">
        <f t="shared" si="172"/>
        <v>82.470927545386118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5.6843418860808015E-14</v>
      </c>
      <c r="CU203" s="17">
        <f>CT203*VLOOKUP('Données projet'!$B$13,Paramètres!$A$1:$I$89,3,0)*VLOOKUP('Données projet'!$B$13,Paramètres!$A$1:$I$89,5,0)</f>
        <v>5.7639226724859328E-14</v>
      </c>
      <c r="CV203" s="13">
        <f t="shared" si="173"/>
        <v>9.2325701996134334E-13</v>
      </c>
      <c r="CW203" s="20">
        <f t="shared" si="174"/>
        <v>1.708394296311803E-12</v>
      </c>
      <c r="CX203" s="59">
        <f t="shared" si="196"/>
        <v>293.33333333333502</v>
      </c>
      <c r="CY203" s="59">
        <f ca="1">AVERAGE(OFFSET($CX$3,0,0,'Données projet'!$E$13+1,1))-AVERAGE(OFFSET($H$3,0,0,'Données projet'!$E$13+1,1))</f>
        <v>407.76560346703042</v>
      </c>
      <c r="CZ203" s="59">
        <f t="shared" si="208"/>
        <v>319.35531375725202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80.009108812688027</v>
      </c>
      <c r="DG203" s="21">
        <f>EXP(-LN(2)/25)*DG202+(1-EXP(-LN(2)/25))/(LN(2)/25)*Calculateur!DB203*Calculateur!DD203*VLOOKUP('Données projet'!$B$13,Paramètres!$A$1:$I$89,3,0)*0.475*44/12</f>
        <v>0</v>
      </c>
      <c r="DH203" s="21">
        <f>EXP(-LN(2)/2)*DH202+(1-EXP(-LN(2)/2))/(LN(2)/2)*DB203*DE203*VLOOKUP('Données projet'!$B$13,Paramètres!$A$1:$I$89,3,0)*0.475*44/12</f>
        <v>0</v>
      </c>
      <c r="DI203" s="22">
        <f t="shared" si="175"/>
        <v>80.009108812688027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7" thickBot="1" x14ac:dyDescent="0.2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6" thickBot="1" x14ac:dyDescent="0.2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1.2968395546510096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1.2968395546510096</v>
      </c>
      <c r="BA205" s="82">
        <f>EXP(LN('Données projet'!B88)/'Données projet'!A88)</f>
        <v>1.2392705892426346</v>
      </c>
      <c r="BV205" s="82">
        <f>EXP(LN('Données projet'!B114)/'Données projet'!A114)</f>
        <v>1.2392705892426346</v>
      </c>
      <c r="CQ205" s="82">
        <f>EXP(LN('Données projet'!B140)/'Données projet'!A140)</f>
        <v>1.2392705892426346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5" defaultRowHeight="15" x14ac:dyDescent="0.2"/>
  <cols>
    <col min="1" max="1" width="23.5" style="4" bestFit="1" customWidth="1"/>
    <col min="2" max="2" width="27.6640625" style="4" bestFit="1" customWidth="1"/>
    <col min="3" max="3" width="11.83203125" style="4" bestFit="1" customWidth="1"/>
    <col min="4" max="4" width="40" style="4" bestFit="1" customWidth="1"/>
    <col min="5" max="5" width="11.83203125" style="4" bestFit="1" customWidth="1"/>
    <col min="6" max="6" width="13.6640625" style="4" bestFit="1" customWidth="1"/>
    <col min="7" max="7" width="11.5" style="4" bestFit="1" customWidth="1"/>
    <col min="8" max="8" width="39" style="4" bestFit="1" customWidth="1"/>
    <col min="9" max="9" width="16.6640625" style="4" customWidth="1"/>
    <col min="10" max="14" width="11.5" style="4"/>
    <col min="15" max="15" width="23.5" style="4" bestFit="1" customWidth="1"/>
    <col min="16" max="16384" width="11.5" style="4"/>
  </cols>
  <sheetData>
    <row r="1" spans="1:16" ht="49" thickBot="1" x14ac:dyDescent="0.25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2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0" t="s">
        <v>238</v>
      </c>
      <c r="P2" s="121">
        <v>0</v>
      </c>
    </row>
    <row r="3" spans="1:16" ht="16" thickBot="1" x14ac:dyDescent="0.25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1"/>
      <c r="P3" s="128">
        <v>0.2</v>
      </c>
    </row>
    <row r="4" spans="1:16" ht="16" thickBot="1" x14ac:dyDescent="0.25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2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0" t="s">
        <v>237</v>
      </c>
      <c r="P5" s="121">
        <v>0</v>
      </c>
    </row>
    <row r="6" spans="1:16" x14ac:dyDescent="0.2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2"/>
      <c r="P6" s="129">
        <v>0.05</v>
      </c>
    </row>
    <row r="7" spans="1:16" x14ac:dyDescent="0.2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2"/>
      <c r="P7" s="129">
        <v>0.1</v>
      </c>
    </row>
    <row r="8" spans="1:16" ht="16" thickBot="1" x14ac:dyDescent="0.25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1"/>
      <c r="P8" s="128">
        <v>0.15</v>
      </c>
    </row>
    <row r="9" spans="1:16" ht="16" thickBot="1" x14ac:dyDescent="0.25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2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0" t="s">
        <v>236</v>
      </c>
      <c r="P10" s="121">
        <v>0</v>
      </c>
    </row>
    <row r="11" spans="1:16" ht="16" thickBot="1" x14ac:dyDescent="0.25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1"/>
      <c r="P11" s="128">
        <v>0.1</v>
      </c>
    </row>
    <row r="12" spans="1:16" x14ac:dyDescent="0.2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2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2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2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2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2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2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2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2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2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2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2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2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2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2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2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2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2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2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2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2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2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2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2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2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2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2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2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2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2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2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2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2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2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2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2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2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2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2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2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2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2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2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2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2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2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2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2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2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2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2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2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2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2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2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2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2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2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2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2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2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2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2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2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2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2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2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2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2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2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2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2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2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2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2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2">
      <c r="A87" s="250" t="s">
        <v>321</v>
      </c>
      <c r="B87" s="251" t="s">
        <v>322</v>
      </c>
      <c r="C87" s="252">
        <v>0.41</v>
      </c>
      <c r="D87" s="252" t="s">
        <v>323</v>
      </c>
      <c r="E87" s="252">
        <v>1.56</v>
      </c>
      <c r="F87" s="253" t="s">
        <v>274</v>
      </c>
      <c r="G87" s="254">
        <v>0.43</v>
      </c>
      <c r="H87" s="252" t="s">
        <v>278</v>
      </c>
      <c r="I87" s="255">
        <v>0.25</v>
      </c>
      <c r="J87" s="78"/>
      <c r="K87" s="78"/>
      <c r="L87" s="78"/>
      <c r="M87" s="78"/>
      <c r="N87" s="78"/>
    </row>
    <row r="88" spans="1:14" x14ac:dyDescent="0.2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6" thickBot="1" x14ac:dyDescent="0.25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2">
      <c r="A93" s="122" t="s">
        <v>208</v>
      </c>
    </row>
    <row r="94" spans="1:14" x14ac:dyDescent="0.2">
      <c r="A94" s="122" t="s">
        <v>209</v>
      </c>
    </row>
    <row r="95" spans="1:14" x14ac:dyDescent="0.2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B5" zoomScale="90" zoomScaleNormal="90" workbookViewId="0">
      <selection activeCell="J33" sqref="J33"/>
    </sheetView>
  </sheetViews>
  <sheetFormatPr baseColWidth="10" defaultColWidth="11.5" defaultRowHeight="15" x14ac:dyDescent="0.2"/>
  <cols>
    <col min="1" max="1" width="22.83203125" style="1" bestFit="1" customWidth="1"/>
    <col min="2" max="2" width="10.5" style="1" bestFit="1" customWidth="1"/>
    <col min="3" max="3" width="15.5" style="1" bestFit="1" customWidth="1"/>
    <col min="4" max="4" width="13.5" style="1" bestFit="1" customWidth="1"/>
    <col min="5" max="8" width="11.5" style="1"/>
    <col min="9" max="13" width="11.5" style="62"/>
    <col min="14" max="15" width="11.5" style="1"/>
    <col min="16" max="17" width="13.5" style="1" customWidth="1"/>
    <col min="18" max="16384" width="11.5" style="1"/>
  </cols>
  <sheetData>
    <row r="1" spans="1:62" ht="16" thickBo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7" thickBot="1" x14ac:dyDescent="0.35">
      <c r="A2" s="271" t="s">
        <v>271</v>
      </c>
      <c r="B2" s="272"/>
      <c r="C2" s="272"/>
      <c r="D2" s="272"/>
      <c r="E2" s="272"/>
      <c r="F2" s="272"/>
      <c r="G2" s="272"/>
      <c r="H2" s="272"/>
      <c r="I2" s="272"/>
      <c r="J2" s="272"/>
      <c r="K2" s="272"/>
      <c r="L2" s="273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2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6" thickBot="1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65" thickBot="1" x14ac:dyDescent="0.25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2">
      <c r="A6" s="145" t="str">
        <f>IF('Données projet'!$B$9="","",'Données projet'!$B$9)</f>
        <v>Peuplier I-45/51</v>
      </c>
      <c r="B6" s="146">
        <f>'Données projet'!D9</f>
        <v>1.2254734200000001</v>
      </c>
      <c r="C6" s="147">
        <f ca="1">IF(OR('Données projet'!B9="",'Données projet'!C9="",'Données projet'!C9=0%),0,Calculateur!S3)</f>
        <v>101.15586831191774</v>
      </c>
      <c r="D6" s="147">
        <f>IF(OR('Données projet'!B9="",'Données projet'!C9="",'Données projet'!C9=0%),0,Calculateur!T3)</f>
        <v>346.96347336689064</v>
      </c>
      <c r="E6" s="147">
        <f ca="1">MIN(C6,D6)</f>
        <v>101.15586831191774</v>
      </c>
      <c r="F6" s="147">
        <f ca="1">E6*B6</f>
        <v>123.96382789327548</v>
      </c>
      <c r="G6" s="147">
        <f ca="1">F6*(100%-'Données projet'!$C$24)*(100%-'Données projet'!$C$25)*(100%-'Données projet'!$C$26)*(100%-'Données projet'!$C$27)</f>
        <v>80.328560474842504</v>
      </c>
      <c r="H6" s="148">
        <f>IF(OR('Données projet'!B9="",'Données projet'!C9="",'Données projet'!C9=0%),0,AVERAGE(Calculateur!$AC$3:$AC$33)*B6)</f>
        <v>33.711783307581676</v>
      </c>
      <c r="I6" s="149">
        <f>H6*(100%-'Données projet'!$C$24)*(100%-'Données projet'!$C$25)*(100%-'Données projet'!$C$26)*(100%-'Données projet'!$C$27)</f>
        <v>21.845235583312927</v>
      </c>
      <c r="J6" s="150">
        <f>IF(OR('Données projet'!B9="",'Données projet'!C9="",'Données projet'!C9=0%),0,SUM(Calculateur!$V$3:$V$33)*VLOOKUP('Données projet'!$B$9,Paramètres!$A$1:$I$89,9,0)*B6)</f>
        <v>408.96498972240011</v>
      </c>
      <c r="K6" s="151">
        <f>J6*(100%-'Données projet'!$C$24)*(100%-'Données projet'!$C$25)*(100%-'Données projet'!$C$26)*(100%-'Données projet'!$C$27)</f>
        <v>265.00931334011528</v>
      </c>
      <c r="L6" s="152">
        <f ca="1">G6+I6+K6</f>
        <v>367.18310939827074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2">
      <c r="A7" s="153" t="str">
        <f>IF('Données projet'!$B$10="","",'Données projet'!$B$10)</f>
        <v>Peuplier I-45/51</v>
      </c>
      <c r="B7" s="154">
        <f>'Données projet'!D10</f>
        <v>0.73517262000000005</v>
      </c>
      <c r="C7" s="147">
        <f ca="1">IF(OR('Données projet'!B10="",'Données projet'!C10="",'Données projet'!C10=0%),0,Calculateur!AN3)</f>
        <v>101.15586831191774</v>
      </c>
      <c r="D7" s="147">
        <f>IF(OR('Données projet'!B10="",'Données projet'!C10="",'Données projet'!C10=0%),0,Calculateur!AO3)</f>
        <v>346.96347336689064</v>
      </c>
      <c r="E7" s="147">
        <f t="shared" ref="E7:E15" ca="1" si="0">MIN(C7,D7)</f>
        <v>101.15586831191774</v>
      </c>
      <c r="F7" s="147">
        <f t="shared" ref="F7:F15" ca="1" si="1">E7*B7</f>
        <v>74.367024735247554</v>
      </c>
      <c r="G7" s="147">
        <f ca="1">F7*(100%-'Données projet'!$C$24)*(100%-'Données projet'!$C$25)*(100%-'Données projet'!$C$26)*(100%-'Données projet'!$C$27)</f>
        <v>48.189832028440421</v>
      </c>
      <c r="H7" s="155">
        <f>IF(OR('Données projet'!B10="",'Données projet'!C10="",'Données projet'!C10=0%),0,AVERAGE(Calculateur!$AX$3:$AX$33)*B7)</f>
        <v>20.224004580292803</v>
      </c>
      <c r="I7" s="149">
        <f>H7*(100%-'Données projet'!$C$24)*(100%-'Données projet'!$C$25)*(100%-'Données projet'!$C$26)*(100%-'Données projet'!$C$27)</f>
        <v>13.105154968029737</v>
      </c>
      <c r="J7" s="150">
        <f>IF(OR('Données projet'!B10="",'Données projet'!C10="",'Données projet'!C10=0%),0,SUM(Calculateur!$AQ$3:$AQ$33)*VLOOKUP('Données projet'!$B$10,Paramètres!$A$1:$I$89,9,0)*B7)</f>
        <v>245.34180674640004</v>
      </c>
      <c r="K7" s="151">
        <f>J7*(100%-'Données projet'!$C$24)*(100%-'Données projet'!$C$25)*(100%-'Données projet'!$C$26)*(100%-'Données projet'!$C$27)</f>
        <v>158.98149077166724</v>
      </c>
      <c r="L7" s="152">
        <f t="shared" ref="L7:L15" ca="1" si="2">G7+I7+K7</f>
        <v>220.2764777681374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2">
      <c r="A8" s="153" t="str">
        <f>IF('Données projet'!$B$11="","",'Données projet'!$B$11)</f>
        <v>Chêne sessile</v>
      </c>
      <c r="B8" s="154">
        <f>'Données projet'!D11</f>
        <v>0.27495846000000002</v>
      </c>
      <c r="C8" s="147">
        <f ca="1">IF(OR('Données projet'!B11="",'Données projet'!C11="",'Données projet'!C11=0%),0,Calculateur!BI3)</f>
        <v>352.62747127358324</v>
      </c>
      <c r="D8" s="147">
        <f>IF(OR('Données projet'!B11="",'Données projet'!C11="",'Données projet'!C11=0%),0,Calculateur!BJ3)</f>
        <v>283.16932763435011</v>
      </c>
      <c r="E8" s="147">
        <f t="shared" ca="1" si="0"/>
        <v>283.16932763435011</v>
      </c>
      <c r="F8" s="147">
        <f t="shared" ca="1" si="1"/>
        <v>77.859802245576347</v>
      </c>
      <c r="G8" s="147">
        <f ca="1">F8*(100%-'Données projet'!$C$24)*(100%-'Données projet'!$C$25)*(100%-'Données projet'!$C$26)*(100%-'Données projet'!$C$27)</f>
        <v>50.453151855133477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4.26185613</v>
      </c>
      <c r="K8" s="151">
        <f>J8*(100%-'Données projet'!$C$24)*(100%-'Données projet'!$C$25)*(100%-'Données projet'!$C$26)*(100%-'Données projet'!$C$27)</f>
        <v>2.7616827722400004</v>
      </c>
      <c r="L8" s="152">
        <f t="shared" ca="1" si="2"/>
        <v>53.214834627373477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2">
      <c r="A9" s="153" t="str">
        <f>IF('Données projet'!$B$12="","",'Données projet'!$B$12)</f>
        <v>Chêne chevelu</v>
      </c>
      <c r="B9" s="154">
        <f>'Données projet'!D12</f>
        <v>0.27495846000000002</v>
      </c>
      <c r="C9" s="147">
        <f ca="1">IF(OR('Données projet'!B12="",'Données projet'!C12="",'Données projet'!C12=0%),0,Calculateur!CD3)</f>
        <v>423.49657671419374</v>
      </c>
      <c r="D9" s="147">
        <f>IF(OR('Données projet'!B12="",'Données projet'!C12="",'Données projet'!C12=0%),0,Calculateur!CE3)</f>
        <v>329.6783569381081</v>
      </c>
      <c r="E9" s="147">
        <f t="shared" ca="1" si="0"/>
        <v>329.6783569381081</v>
      </c>
      <c r="F9" s="147">
        <f t="shared" ca="1" si="1"/>
        <v>90.647853319032521</v>
      </c>
      <c r="G9" s="147">
        <f ca="1">F9*(100%-'Données projet'!$C$24)*(100%-'Données projet'!$C$25)*(100%-'Données projet'!$C$26)*(100%-'Données projet'!$C$27)</f>
        <v>58.739808950733071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4.26185613</v>
      </c>
      <c r="K9" s="151">
        <f>J9*(100%-'Données projet'!$C$24)*(100%-'Données projet'!$C$25)*(100%-'Données projet'!$C$26)*(100%-'Données projet'!$C$27)</f>
        <v>2.7616827722400004</v>
      </c>
      <c r="L9" s="152">
        <f t="shared" ca="1" si="2"/>
        <v>61.501491722973071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2">
      <c r="A10" s="153" t="str">
        <f>IF('Données projet'!$B$13="","",'Données projet'!$B$13)</f>
        <v>Chêne pubescent</v>
      </c>
      <c r="B10" s="154">
        <f>'Données projet'!D13</f>
        <v>0.27495846000000002</v>
      </c>
      <c r="C10" s="147">
        <f ca="1">IF(OR('Données projet'!B13="",'Données projet'!C13="",'Données projet'!C13=0%),0,Calculateur!CY3)</f>
        <v>407.76560346703042</v>
      </c>
      <c r="D10" s="147">
        <f>IF(OR('Données projet'!B13="",'Données projet'!C13="",'Données projet'!C13=0%),0,Calculateur!CZ3)</f>
        <v>319.35531375725202</v>
      </c>
      <c r="E10" s="147">
        <f t="shared" ca="1" si="0"/>
        <v>319.35531375725202</v>
      </c>
      <c r="F10" s="147">
        <f t="shared" ca="1" si="1"/>
        <v>87.809445263510838</v>
      </c>
      <c r="G10" s="147">
        <f ca="1">F10*(100%-'Données projet'!$C$24)*(100%-'Données projet'!$C$25)*(100%-'Données projet'!$C$26)*(100%-'Données projet'!$C$27)</f>
        <v>56.900520530755024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4.26185613</v>
      </c>
      <c r="K10" s="151">
        <f>J10*(100%-'Données projet'!$C$24)*(100%-'Données projet'!$C$25)*(100%-'Données projet'!$C$26)*(100%-'Données projet'!$C$27)</f>
        <v>2.7616827722400004</v>
      </c>
      <c r="L10" s="152">
        <f t="shared" ca="1" si="2"/>
        <v>59.662203302995025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2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2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2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2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6" thickBot="1" x14ac:dyDescent="0.25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6" thickBot="1" x14ac:dyDescent="0.25">
      <c r="A16" s="208"/>
      <c r="B16" s="212"/>
      <c r="C16" s="213"/>
      <c r="D16" s="23"/>
      <c r="E16" s="23"/>
      <c r="F16" s="165">
        <f t="shared" ref="F16:L16" ca="1" si="3">SUM(F6:F15)</f>
        <v>454.64795345664277</v>
      </c>
      <c r="G16" s="166">
        <f t="shared" ca="1" si="3"/>
        <v>294.61187383990455</v>
      </c>
      <c r="H16" s="167">
        <f t="shared" si="3"/>
        <v>53.935787887874483</v>
      </c>
      <c r="I16" s="167">
        <f t="shared" si="3"/>
        <v>34.950390551342664</v>
      </c>
      <c r="J16" s="168">
        <f t="shared" si="3"/>
        <v>667.09236485880001</v>
      </c>
      <c r="K16" s="168">
        <f t="shared" si="3"/>
        <v>432.27585242850256</v>
      </c>
      <c r="L16" s="169">
        <f t="shared" ca="1" si="3"/>
        <v>761.83811681974976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2">
      <c r="A17" s="208"/>
      <c r="B17" s="212"/>
      <c r="C17" s="213"/>
      <c r="D17" s="23"/>
      <c r="E17" s="23"/>
      <c r="F17" s="283" t="s">
        <v>246</v>
      </c>
      <c r="G17" s="284"/>
      <c r="H17" s="284"/>
      <c r="I17" s="284"/>
      <c r="J17" s="284"/>
      <c r="K17" s="284"/>
      <c r="L17" s="284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2">
      <c r="A18" s="208"/>
      <c r="B18" s="212"/>
      <c r="C18" s="213"/>
      <c r="D18" s="23"/>
      <c r="E18" s="23"/>
      <c r="F18" s="270"/>
      <c r="G18" s="270"/>
      <c r="H18" s="270"/>
      <c r="I18" s="270"/>
      <c r="J18" s="270"/>
      <c r="K18" s="270"/>
      <c r="L18" s="270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2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6" thickBot="1" x14ac:dyDescent="0.2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6" thickBot="1" x14ac:dyDescent="0.25">
      <c r="A21" s="170" t="str">
        <f>A6</f>
        <v>Peuplier I-45/51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2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2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2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2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2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2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2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2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2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2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2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2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2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2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2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2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6" thickBot="1" x14ac:dyDescent="0.2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6" thickBot="1" x14ac:dyDescent="0.25">
      <c r="A39" s="170" t="str">
        <f>A7</f>
        <v>Peuplier I-45/51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2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2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2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2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2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2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2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2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2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2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2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2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2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2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2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2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6" thickBot="1" x14ac:dyDescent="0.2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6" thickBot="1" x14ac:dyDescent="0.25">
      <c r="A57" s="170" t="str">
        <f>A8</f>
        <v>Chêne sessile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2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2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2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2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2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2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2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2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2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2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2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2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2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2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2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2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2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6" thickBot="1" x14ac:dyDescent="0.2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6" thickBot="1" x14ac:dyDescent="0.25">
      <c r="A76" s="170" t="str">
        <f>A9</f>
        <v>Chêne chevelu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2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2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2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2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2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2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2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2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2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2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2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2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2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2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2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2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6" thickBot="1" x14ac:dyDescent="0.2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6" thickBot="1" x14ac:dyDescent="0.25">
      <c r="A94" s="170" t="str">
        <f>A10</f>
        <v>Chêne pubescent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2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2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2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2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2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2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2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2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2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2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2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2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2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2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2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2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6" thickBot="1" x14ac:dyDescent="0.2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6" thickBot="1" x14ac:dyDescent="0.25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2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2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2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2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2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2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2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2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2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2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2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2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2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2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2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2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6" thickBot="1" x14ac:dyDescent="0.2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6" thickBot="1" x14ac:dyDescent="0.25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2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2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2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2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2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2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2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2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2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2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2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2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2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2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2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2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6" thickBot="1" x14ac:dyDescent="0.2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6" thickBot="1" x14ac:dyDescent="0.25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2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2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2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2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2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2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2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2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2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2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2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2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2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2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2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2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6" thickBot="1" x14ac:dyDescent="0.2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6" thickBot="1" x14ac:dyDescent="0.25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2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2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2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2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2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2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2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2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2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2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2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2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2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2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2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2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6" thickBot="1" x14ac:dyDescent="0.2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6" thickBot="1" x14ac:dyDescent="0.25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2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2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2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2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2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2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2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2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2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2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2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2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2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2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2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2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2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2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2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2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2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2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2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2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2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2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2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2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2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2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2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2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2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2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2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2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2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2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2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2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2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2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2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2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2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2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2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2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2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2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2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2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F7" zoomScale="162" zoomScaleNormal="80" workbookViewId="0">
      <selection activeCell="N18" sqref="N18"/>
    </sheetView>
  </sheetViews>
  <sheetFormatPr baseColWidth="10" defaultColWidth="11.5" defaultRowHeight="15" x14ac:dyDescent="0.2"/>
  <cols>
    <col min="1" max="1" width="11.5" style="1"/>
    <col min="2" max="2" width="30.83203125" style="1" bestFit="1" customWidth="1"/>
    <col min="3" max="3" width="18.1640625" style="1" bestFit="1" customWidth="1"/>
    <col min="4" max="5" width="11.5" style="1"/>
    <col min="6" max="6" width="14" style="1" customWidth="1"/>
    <col min="7" max="7" width="17.5" style="1" customWidth="1"/>
    <col min="8" max="8" width="21.6640625" style="1" customWidth="1"/>
    <col min="9" max="9" width="37" style="1" customWidth="1"/>
    <col min="10" max="10" width="11.5" style="1"/>
    <col min="11" max="11" width="8.83203125" style="1" customWidth="1"/>
    <col min="12" max="12" width="11.5" style="1"/>
    <col min="13" max="13" width="21" style="1" customWidth="1"/>
    <col min="14" max="16" width="11.5" style="1"/>
    <col min="17" max="17" width="8" style="1" customWidth="1"/>
    <col min="18" max="18" width="11.5" style="1"/>
    <col min="19" max="19" width="31" style="1" customWidth="1"/>
    <col min="20" max="20" width="18.1640625" style="1" customWidth="1"/>
    <col min="21" max="21" width="16.5" style="1" customWidth="1"/>
    <col min="22" max="22" width="17.83203125" style="1" customWidth="1"/>
    <col min="23" max="16384" width="11.5" style="1"/>
  </cols>
  <sheetData>
    <row r="1" spans="1:42" ht="16" thickBo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7" thickBot="1" x14ac:dyDescent="0.35">
      <c r="A2" s="4"/>
      <c r="B2" s="271" t="s">
        <v>272</v>
      </c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  <c r="P2" s="273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2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2">
      <c r="A4" s="4"/>
      <c r="B4" s="4"/>
      <c r="C4" s="4"/>
      <c r="D4" s="4"/>
      <c r="E4" s="4"/>
      <c r="G4" s="4"/>
      <c r="H4" s="257" t="s">
        <v>315</v>
      </c>
      <c r="I4" s="257"/>
      <c r="K4" s="299" t="s">
        <v>253</v>
      </c>
      <c r="L4" s="300"/>
      <c r="M4" s="236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2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6" thickBot="1" x14ac:dyDescent="0.2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35">
      <c r="A7" s="241"/>
      <c r="B7" s="242"/>
      <c r="C7" s="242"/>
      <c r="D7" s="242"/>
      <c r="E7" s="243"/>
      <c r="F7" s="243" t="s">
        <v>192</v>
      </c>
      <c r="G7" s="244"/>
      <c r="H7" s="242"/>
      <c r="I7" s="242"/>
      <c r="J7" s="245"/>
      <c r="K7" s="239"/>
      <c r="L7" s="240"/>
      <c r="M7" s="240"/>
      <c r="N7" s="246" t="s">
        <v>191</v>
      </c>
      <c r="O7" s="246"/>
      <c r="P7" s="247"/>
      <c r="Q7" s="248"/>
      <c r="R7" s="291" t="s">
        <v>310</v>
      </c>
      <c r="S7" s="292"/>
      <c r="T7" s="292"/>
      <c r="U7" s="292"/>
      <c r="V7" s="293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2">
      <c r="A8" s="23"/>
      <c r="C8" s="23"/>
      <c r="D8" s="23"/>
      <c r="E8" s="23"/>
      <c r="F8" s="23"/>
      <c r="G8" s="23"/>
      <c r="H8" s="4"/>
      <c r="I8" s="4"/>
      <c r="J8" s="199"/>
      <c r="K8" s="207"/>
      <c r="L8" s="23"/>
      <c r="M8" s="23"/>
      <c r="N8" s="23"/>
      <c r="O8" s="23"/>
      <c r="P8" s="23"/>
      <c r="Q8" s="233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2">
      <c r="A9" s="93" t="s">
        <v>311</v>
      </c>
      <c r="C9" s="23"/>
      <c r="D9" s="23"/>
      <c r="E9" s="23"/>
      <c r="F9" s="229"/>
      <c r="G9" s="93" t="s">
        <v>314</v>
      </c>
      <c r="J9" s="199"/>
      <c r="K9" s="207"/>
      <c r="O9" s="23"/>
      <c r="P9" s="23"/>
      <c r="Q9" s="233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2">
      <c r="A10" s="93" t="s">
        <v>317</v>
      </c>
      <c r="C10" s="23"/>
      <c r="D10" s="23"/>
      <c r="E10" s="23"/>
      <c r="F10" s="229"/>
      <c r="G10" s="93" t="s">
        <v>316</v>
      </c>
      <c r="J10" s="199"/>
      <c r="K10" s="207"/>
      <c r="O10" s="23"/>
      <c r="P10" s="23"/>
      <c r="Q10" s="233"/>
      <c r="R10" s="23"/>
      <c r="S10" s="36" t="str">
        <f>B14</f>
        <v>Peuplier I-45/51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78">
        <f>'Données projet'!D9</f>
        <v>1.2254734200000001</v>
      </c>
      <c r="V10" s="177">
        <f>U10*T10</f>
        <v>0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2">
      <c r="A11" s="93" t="s">
        <v>312</v>
      </c>
      <c r="B11" s="23"/>
      <c r="C11" s="23"/>
      <c r="D11" s="23"/>
      <c r="E11" s="23"/>
      <c r="F11" s="229"/>
      <c r="G11" s="93" t="s">
        <v>313</v>
      </c>
      <c r="J11" s="199"/>
      <c r="K11" s="207"/>
      <c r="M11" s="4"/>
      <c r="N11" s="4"/>
      <c r="O11" s="23"/>
      <c r="P11" s="23"/>
      <c r="Q11" s="233"/>
      <c r="R11" s="23"/>
      <c r="S11" s="36" t="str">
        <f>B45</f>
        <v>Peuplier I-45/51</v>
      </c>
      <c r="T11" s="238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78">
        <f>'Données projet'!D10</f>
        <v>0.73517262000000005</v>
      </c>
      <c r="V11" s="177">
        <f t="shared" ref="V11" si="0">U11*T11</f>
        <v>0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2">
      <c r="B12" s="23"/>
      <c r="C12" s="23"/>
      <c r="D12" s="23"/>
      <c r="E12" s="23"/>
      <c r="F12" s="229"/>
      <c r="J12" s="199"/>
      <c r="K12" s="207"/>
      <c r="L12" s="201"/>
      <c r="M12" s="23"/>
      <c r="N12" s="23"/>
      <c r="O12" s="23"/>
      <c r="P12" s="23"/>
      <c r="Q12" s="233"/>
      <c r="R12" s="23"/>
      <c r="S12" s="36" t="str">
        <f>B76</f>
        <v>Chêne sessile</v>
      </c>
      <c r="T12" s="238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8">
        <f>'Données projet'!D11</f>
        <v>0.27495846000000002</v>
      </c>
      <c r="V12" s="177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2">
      <c r="B13" s="23"/>
      <c r="C13" s="23"/>
      <c r="D13" s="23"/>
      <c r="E13" s="23"/>
      <c r="F13" s="229"/>
      <c r="J13" s="23"/>
      <c r="K13" s="207"/>
      <c r="L13" s="93" t="s">
        <v>257</v>
      </c>
      <c r="M13" s="23"/>
      <c r="N13" s="23"/>
      <c r="O13" s="23"/>
      <c r="P13" s="23"/>
      <c r="Q13" s="233"/>
      <c r="R13" s="23"/>
      <c r="S13" s="36" t="str">
        <f>B107</f>
        <v>Chêne chevelu</v>
      </c>
      <c r="T13" s="238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0.27495846000000002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2">
      <c r="A14" s="46" t="s">
        <v>165</v>
      </c>
      <c r="B14" s="174" t="str">
        <f>IF('Données projet'!$B$9="","",'Données projet'!$B$9)</f>
        <v>Peuplier I-45/51</v>
      </c>
      <c r="C14" s="4"/>
      <c r="D14" s="4"/>
      <c r="E14" s="4"/>
      <c r="F14" s="229"/>
      <c r="G14" s="23"/>
      <c r="H14" s="36" t="s">
        <v>178</v>
      </c>
      <c r="I14" s="36" t="s">
        <v>290</v>
      </c>
      <c r="J14" s="200"/>
      <c r="K14" s="173"/>
      <c r="L14" s="201"/>
      <c r="M14" s="23"/>
      <c r="N14" s="23"/>
      <c r="O14" s="4"/>
      <c r="P14" s="4"/>
      <c r="Q14" s="234"/>
      <c r="R14" s="4"/>
      <c r="S14" s="36" t="str">
        <f>B138</f>
        <v>Chêne pubescent</v>
      </c>
      <c r="T14" s="238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0.27495846000000002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2">
      <c r="A15" s="4"/>
      <c r="B15" s="4"/>
      <c r="C15" s="4"/>
      <c r="D15" s="4"/>
      <c r="E15" s="4"/>
      <c r="F15" s="229"/>
      <c r="G15" s="302" t="s">
        <v>318</v>
      </c>
      <c r="H15" s="190">
        <v>1</v>
      </c>
      <c r="I15" s="191"/>
      <c r="J15" s="201"/>
      <c r="K15" s="207"/>
      <c r="L15" s="201"/>
      <c r="M15" s="23"/>
      <c r="N15" s="23"/>
      <c r="O15" s="23"/>
      <c r="P15" s="23"/>
      <c r="Q15" s="233"/>
      <c r="R15" s="23"/>
      <c r="S15" s="36" t="str">
        <f>B169</f>
        <v/>
      </c>
      <c r="T15" s="238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2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29"/>
      <c r="G16" s="302"/>
      <c r="H16" s="190"/>
      <c r="I16" s="191"/>
      <c r="J16" s="201"/>
      <c r="K16" s="207"/>
      <c r="L16" s="299" t="s">
        <v>254</v>
      </c>
      <c r="M16" s="300"/>
      <c r="N16" s="2"/>
      <c r="O16" s="23"/>
      <c r="P16" s="23"/>
      <c r="Q16" s="233"/>
      <c r="R16" s="23"/>
      <c r="S16" s="36" t="str">
        <f>B200</f>
        <v/>
      </c>
      <c r="T16" s="238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ht="16" x14ac:dyDescent="0.2">
      <c r="A17" s="49">
        <v>0</v>
      </c>
      <c r="B17" s="198" t="s">
        <v>132</v>
      </c>
      <c r="C17" s="197" t="s">
        <v>132</v>
      </c>
      <c r="D17" s="196" t="s">
        <v>132</v>
      </c>
      <c r="E17" s="193"/>
      <c r="F17" s="229"/>
      <c r="G17" s="302"/>
      <c r="J17" s="201"/>
      <c r="K17" s="207"/>
      <c r="L17" s="259" t="s">
        <v>289</v>
      </c>
      <c r="M17" s="261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3"/>
      <c r="R17" s="23"/>
      <c r="S17" s="36" t="str">
        <f>B231</f>
        <v/>
      </c>
      <c r="T17" s="238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ht="16" x14ac:dyDescent="0.2">
      <c r="A18" s="49">
        <v>1</v>
      </c>
      <c r="B18" s="198" t="s">
        <v>132</v>
      </c>
      <c r="C18" s="197" t="s">
        <v>132</v>
      </c>
      <c r="D18" s="196" t="s">
        <v>132</v>
      </c>
      <c r="E18" s="193"/>
      <c r="F18" s="229"/>
      <c r="G18" s="302"/>
      <c r="J18" s="201"/>
      <c r="K18" s="207"/>
      <c r="L18" s="259" t="s">
        <v>255</v>
      </c>
      <c r="M18" s="261"/>
      <c r="N18" s="192"/>
      <c r="O18" s="23"/>
      <c r="P18" s="23"/>
      <c r="Q18" s="233"/>
      <c r="R18" s="23"/>
      <c r="S18" s="36" t="str">
        <f>B262</f>
        <v/>
      </c>
      <c r="T18" s="238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2">
      <c r="A19" s="49">
        <v>2</v>
      </c>
      <c r="B19" s="198" t="s">
        <v>132</v>
      </c>
      <c r="C19" s="197" t="s">
        <v>132</v>
      </c>
      <c r="D19" s="196" t="s">
        <v>132</v>
      </c>
      <c r="E19" s="193"/>
      <c r="F19" s="229"/>
      <c r="G19" s="302"/>
      <c r="H19" s="211" t="s">
        <v>178</v>
      </c>
      <c r="I19" s="211" t="s">
        <v>287</v>
      </c>
      <c r="J19" s="93"/>
      <c r="K19" s="173"/>
      <c r="L19" s="299" t="s">
        <v>288</v>
      </c>
      <c r="M19" s="300"/>
      <c r="N19" s="179">
        <f>N17*N18</f>
        <v>0</v>
      </c>
      <c r="O19" s="23"/>
      <c r="P19" s="4"/>
      <c r="Q19" s="234"/>
      <c r="R19" s="4"/>
      <c r="S19" s="36" t="str">
        <f>B293</f>
        <v/>
      </c>
      <c r="T19" s="238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ht="16" x14ac:dyDescent="0.2">
      <c r="A20" s="49">
        <v>3</v>
      </c>
      <c r="B20" s="198" t="s">
        <v>132</v>
      </c>
      <c r="C20" s="197" t="s">
        <v>132</v>
      </c>
      <c r="D20" s="196" t="s">
        <v>132</v>
      </c>
      <c r="E20" s="193"/>
      <c r="F20" s="229"/>
      <c r="G20" s="302"/>
      <c r="H20" s="190">
        <v>0</v>
      </c>
      <c r="I20" s="191"/>
      <c r="J20" s="4"/>
      <c r="K20" s="173"/>
      <c r="O20" s="23"/>
      <c r="P20" s="4"/>
      <c r="Q20" s="234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ht="16" x14ac:dyDescent="0.2">
      <c r="A21" s="49">
        <v>4</v>
      </c>
      <c r="B21" s="198" t="s">
        <v>132</v>
      </c>
      <c r="C21" s="197" t="s">
        <v>132</v>
      </c>
      <c r="D21" s="196" t="s">
        <v>132</v>
      </c>
      <c r="E21" s="193"/>
      <c r="F21" s="229"/>
      <c r="H21" s="190">
        <v>1</v>
      </c>
      <c r="I21" s="191"/>
      <c r="K21" s="173"/>
      <c r="O21" s="23"/>
      <c r="P21" s="4"/>
      <c r="Q21" s="234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2">
      <c r="A22" s="49">
        <v>5</v>
      </c>
      <c r="B22" s="198" t="s">
        <v>132</v>
      </c>
      <c r="C22" s="197"/>
      <c r="D22" s="196" t="s">
        <v>132</v>
      </c>
      <c r="E22" s="193"/>
      <c r="F22" s="229"/>
      <c r="H22" s="190">
        <v>2</v>
      </c>
      <c r="I22" s="191"/>
      <c r="K22" s="173"/>
      <c r="O22" s="23"/>
      <c r="P22" s="4"/>
      <c r="Q22" s="234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2">
      <c r="A23" s="180">
        <f>'Données projet'!A36</f>
        <v>8</v>
      </c>
      <c r="B23" s="181">
        <f>'Données projet'!D36</f>
        <v>0</v>
      </c>
      <c r="C23" s="193"/>
      <c r="D23" s="182">
        <f>B23*C23</f>
        <v>0</v>
      </c>
      <c r="E23" s="193"/>
      <c r="F23" s="229"/>
      <c r="H23" s="190">
        <v>3</v>
      </c>
      <c r="I23" s="191"/>
      <c r="K23" s="207"/>
      <c r="L23" s="301" t="s">
        <v>260</v>
      </c>
      <c r="M23" s="301"/>
      <c r="N23" s="301"/>
      <c r="O23" s="23"/>
      <c r="P23" s="23"/>
      <c r="Q23" s="233"/>
      <c r="R23" s="23"/>
      <c r="S23" s="36" t="s">
        <v>264</v>
      </c>
      <c r="T23" s="296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296"/>
      <c r="V23" s="296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2">
      <c r="A24" s="180">
        <f>'Données projet'!A37</f>
        <v>9</v>
      </c>
      <c r="B24" s="181">
        <f>'Données projet'!D37</f>
        <v>0</v>
      </c>
      <c r="C24" s="193"/>
      <c r="D24" s="182">
        <f t="shared" ref="D24:D42" si="2">B24*C24</f>
        <v>0</v>
      </c>
      <c r="E24" s="193"/>
      <c r="F24" s="232"/>
      <c r="H24" s="190">
        <v>4</v>
      </c>
      <c r="I24" s="191"/>
      <c r="K24" s="207"/>
      <c r="O24" s="23"/>
      <c r="P24" s="23"/>
      <c r="Q24" s="233"/>
      <c r="R24" s="23"/>
      <c r="S24" s="36" t="s">
        <v>261</v>
      </c>
      <c r="T24" s="297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297"/>
      <c r="V24" s="297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2">
      <c r="A25" s="180">
        <f>'Données projet'!A38</f>
        <v>10</v>
      </c>
      <c r="B25" s="181">
        <f>'Données projet'!D38</f>
        <v>0</v>
      </c>
      <c r="C25" s="193"/>
      <c r="D25" s="182">
        <f t="shared" si="2"/>
        <v>0</v>
      </c>
      <c r="E25" s="193"/>
      <c r="F25" s="232"/>
      <c r="H25" s="190">
        <v>5</v>
      </c>
      <c r="I25" s="191"/>
      <c r="K25" s="207"/>
      <c r="L25" s="130" t="s">
        <v>285</v>
      </c>
      <c r="M25" s="130"/>
      <c r="N25" s="130"/>
      <c r="O25" s="130"/>
      <c r="P25" s="192">
        <v>0</v>
      </c>
      <c r="Q25" s="233"/>
      <c r="R25" s="23"/>
      <c r="S25" s="186" t="s">
        <v>266</v>
      </c>
      <c r="T25" s="298">
        <f ca="1">T23-T24</f>
        <v>0</v>
      </c>
      <c r="U25" s="298"/>
      <c r="V25" s="298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2">
      <c r="A26" s="180">
        <f>'Données projet'!A39</f>
        <v>11</v>
      </c>
      <c r="B26" s="181">
        <f>'Données projet'!D39</f>
        <v>0</v>
      </c>
      <c r="C26" s="193"/>
      <c r="D26" s="182">
        <f t="shared" si="2"/>
        <v>0</v>
      </c>
      <c r="E26" s="193"/>
      <c r="F26" s="232"/>
      <c r="G26" s="228"/>
      <c r="H26" s="190"/>
      <c r="I26" s="191"/>
      <c r="K26" s="207"/>
      <c r="L26" s="285" t="s">
        <v>258</v>
      </c>
      <c r="M26" s="286"/>
      <c r="N26" s="286"/>
      <c r="O26" s="286"/>
      <c r="P26" s="287"/>
      <c r="Q26" s="233"/>
      <c r="R26" s="23"/>
      <c r="S26" s="186" t="s">
        <v>265</v>
      </c>
      <c r="T26" s="295" t="str">
        <f ca="1">IF(T25&lt;0,"Votre projet est additionnel","Votre projet n'est pas additionnel")</f>
        <v>Votre projet n'est pas additionnel</v>
      </c>
      <c r="U26" s="295"/>
      <c r="V26" s="295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2">
      <c r="A27" s="180">
        <f>'Données projet'!A40</f>
        <v>12</v>
      </c>
      <c r="B27" s="181">
        <f>'Données projet'!D40</f>
        <v>0</v>
      </c>
      <c r="C27" s="193"/>
      <c r="D27" s="182">
        <f t="shared" si="2"/>
        <v>0</v>
      </c>
      <c r="E27" s="193"/>
      <c r="F27" s="232"/>
      <c r="G27" s="228"/>
      <c r="H27" s="190"/>
      <c r="I27" s="191"/>
      <c r="K27" s="207"/>
      <c r="L27" s="288"/>
      <c r="M27" s="289"/>
      <c r="N27" s="289"/>
      <c r="O27" s="289"/>
      <c r="P27" s="290"/>
      <c r="Q27" s="233"/>
      <c r="R27" s="23"/>
      <c r="S27" s="294" t="s">
        <v>267</v>
      </c>
      <c r="T27" s="294"/>
      <c r="U27" s="294"/>
      <c r="V27" s="29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2">
      <c r="A28" s="180">
        <f>'Données projet'!A41</f>
        <v>13</v>
      </c>
      <c r="B28" s="181">
        <f>'Données projet'!D41</f>
        <v>0</v>
      </c>
      <c r="C28" s="193"/>
      <c r="D28" s="182">
        <f t="shared" si="2"/>
        <v>0</v>
      </c>
      <c r="E28" s="193"/>
      <c r="F28" s="232"/>
      <c r="G28" s="204"/>
      <c r="H28" s="190"/>
      <c r="I28" s="191"/>
      <c r="K28" s="207"/>
      <c r="Q28" s="233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2">
      <c r="A29" s="180">
        <f>'Données projet'!A42</f>
        <v>14</v>
      </c>
      <c r="B29" s="181">
        <f>'Données projet'!D42</f>
        <v>0</v>
      </c>
      <c r="C29" s="193"/>
      <c r="D29" s="182">
        <f t="shared" si="2"/>
        <v>0</v>
      </c>
      <c r="E29" s="193"/>
      <c r="F29" s="232"/>
      <c r="G29" s="202"/>
      <c r="H29" s="190"/>
      <c r="I29" s="191"/>
      <c r="K29" s="207"/>
      <c r="O29" s="23"/>
      <c r="P29" s="23"/>
      <c r="Q29" s="233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2">
      <c r="A30" s="180">
        <f>'Données projet'!A43</f>
        <v>15</v>
      </c>
      <c r="B30" s="181">
        <f>'Données projet'!D43</f>
        <v>0</v>
      </c>
      <c r="C30" s="193"/>
      <c r="D30" s="182">
        <f t="shared" si="2"/>
        <v>0</v>
      </c>
      <c r="E30" s="193"/>
      <c r="F30" s="232"/>
      <c r="G30" s="202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4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2">
      <c r="A31" s="180">
        <f>'Données projet'!A44</f>
        <v>16</v>
      </c>
      <c r="B31" s="181">
        <f>'Données projet'!D44</f>
        <v>0</v>
      </c>
      <c r="C31" s="193"/>
      <c r="D31" s="182">
        <f t="shared" si="2"/>
        <v>0</v>
      </c>
      <c r="E31" s="193"/>
      <c r="F31" s="232"/>
      <c r="G31" s="202"/>
      <c r="H31" s="190"/>
      <c r="I31" s="191"/>
      <c r="K31" s="173"/>
      <c r="Q31" s="233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2">
      <c r="A32" s="180">
        <f>'Données projet'!A45</f>
        <v>17</v>
      </c>
      <c r="B32" s="181">
        <f>'Données projet'!D45</f>
        <v>0</v>
      </c>
      <c r="C32" s="193"/>
      <c r="D32" s="182">
        <f t="shared" si="2"/>
        <v>0</v>
      </c>
      <c r="E32" s="193"/>
      <c r="F32" s="232"/>
      <c r="G32" s="202"/>
      <c r="H32" s="190"/>
      <c r="I32" s="191"/>
      <c r="K32" s="173"/>
      <c r="N32" s="4"/>
      <c r="O32" s="85" t="s">
        <v>178</v>
      </c>
      <c r="P32" s="85" t="s">
        <v>252</v>
      </c>
      <c r="Q32" s="233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2">
      <c r="A33" s="180">
        <f>'Données projet'!A46</f>
        <v>18</v>
      </c>
      <c r="B33" s="181">
        <f>'Données projet'!D46</f>
        <v>324</v>
      </c>
      <c r="C33" s="193"/>
      <c r="D33" s="182">
        <f t="shared" si="2"/>
        <v>0</v>
      </c>
      <c r="E33" s="193"/>
      <c r="F33" s="232"/>
      <c r="G33" s="202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3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2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2"/>
      <c r="G34" s="202"/>
      <c r="H34" s="190"/>
      <c r="I34" s="191"/>
      <c r="K34" s="173"/>
      <c r="L34" s="98"/>
      <c r="M34" s="98"/>
      <c r="N34" s="249"/>
      <c r="O34" s="194">
        <f>IF(O33+1&lt;=MIN('Données projet'!$E$9:$E$18),O33+1,"STOP")</f>
        <v>1</v>
      </c>
      <c r="P34" s="185">
        <f t="shared" si="3"/>
        <v>0</v>
      </c>
      <c r="Q34" s="233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2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2"/>
      <c r="G35" s="202"/>
      <c r="H35" s="190"/>
      <c r="I35" s="191"/>
      <c r="K35" s="173"/>
      <c r="L35" s="98"/>
      <c r="M35" s="98"/>
      <c r="N35" s="249"/>
      <c r="O35" s="194">
        <f>IF(O34+1&lt;=MIN('Données projet'!$E$9:$E$18),O34+1,"STOP")</f>
        <v>2</v>
      </c>
      <c r="P35" s="185">
        <f t="shared" si="3"/>
        <v>0</v>
      </c>
      <c r="Q35" s="233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2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2"/>
      <c r="G36" s="202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3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2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2"/>
      <c r="G37" s="202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3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2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2"/>
      <c r="G38" s="202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3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2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2"/>
      <c r="G39" s="202"/>
      <c r="H39" s="190"/>
      <c r="I39" s="191"/>
      <c r="K39" s="207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3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2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2"/>
      <c r="G40" s="202"/>
      <c r="H40" s="190"/>
      <c r="I40" s="191"/>
      <c r="K40" s="207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3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2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2"/>
      <c r="G41" s="202"/>
      <c r="H41" s="190"/>
      <c r="I41" s="191"/>
      <c r="K41" s="207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3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2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2"/>
      <c r="G42" s="202"/>
      <c r="H42" s="190"/>
      <c r="I42" s="191"/>
      <c r="K42" s="207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3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2">
      <c r="A43" s="187"/>
      <c r="B43" s="187"/>
      <c r="C43" s="187"/>
      <c r="D43" s="226"/>
      <c r="E43" s="226"/>
      <c r="F43" s="237"/>
      <c r="G43" s="202"/>
      <c r="H43" s="190"/>
      <c r="I43" s="191"/>
      <c r="K43" s="207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2">
      <c r="A44" s="4"/>
      <c r="B44" s="4"/>
      <c r="C44" s="4"/>
      <c r="D44" s="4"/>
      <c r="E44" s="4"/>
      <c r="F44" s="229"/>
      <c r="G44" s="202"/>
      <c r="H44" s="190"/>
      <c r="I44" s="191"/>
      <c r="K44" s="207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2">
      <c r="A45" s="46" t="s">
        <v>166</v>
      </c>
      <c r="B45" s="174" t="str">
        <f>IF('Données projet'!$B$10="","",'Données projet'!$B$10)</f>
        <v>Peuplier I-45/51</v>
      </c>
      <c r="C45" s="4"/>
      <c r="D45" s="4"/>
      <c r="E45" s="4"/>
      <c r="F45" s="229"/>
      <c r="G45" s="202"/>
      <c r="H45" s="190"/>
      <c r="I45" s="191"/>
      <c r="J45" s="23"/>
      <c r="K45" s="207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2">
      <c r="A46" s="4"/>
      <c r="B46" s="4"/>
      <c r="C46" s="4"/>
      <c r="D46" s="4"/>
      <c r="E46" s="4"/>
      <c r="F46" s="229"/>
      <c r="G46" s="202"/>
      <c r="H46" s="190"/>
      <c r="I46" s="191"/>
      <c r="J46" s="23"/>
      <c r="K46" s="207"/>
      <c r="L46" s="203"/>
      <c r="M46" s="203"/>
      <c r="N46" s="203"/>
      <c r="O46" s="194">
        <f>IF(O45+1&lt;=MIN('Données projet'!$E$9:$E$18),O45+1,"STOP")</f>
        <v>13</v>
      </c>
      <c r="P46" s="188">
        <f t="shared" si="3"/>
        <v>0</v>
      </c>
      <c r="Q46" s="23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2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0"/>
      <c r="G47" s="202"/>
      <c r="H47" s="190"/>
      <c r="I47" s="191"/>
      <c r="J47" s="23"/>
      <c r="K47" s="207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ht="16" x14ac:dyDescent="0.2">
      <c r="A48" s="49">
        <v>0</v>
      </c>
      <c r="B48" s="198" t="s">
        <v>132</v>
      </c>
      <c r="C48" s="197" t="s">
        <v>132</v>
      </c>
      <c r="D48" s="196" t="s">
        <v>132</v>
      </c>
      <c r="E48" s="193"/>
      <c r="F48" s="230"/>
      <c r="G48" s="202"/>
      <c r="H48" s="190"/>
      <c r="I48" s="191"/>
      <c r="J48" s="23"/>
      <c r="K48" s="207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2">
      <c r="A49" s="49">
        <v>1</v>
      </c>
      <c r="B49" s="198" t="s">
        <v>132</v>
      </c>
      <c r="C49" s="197" t="s">
        <v>132</v>
      </c>
      <c r="D49" s="196" t="s">
        <v>132</v>
      </c>
      <c r="E49" s="193"/>
      <c r="F49" s="230"/>
      <c r="G49" s="203"/>
      <c r="H49" s="190"/>
      <c r="I49" s="191"/>
      <c r="J49" s="203"/>
      <c r="K49" s="209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5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ht="16" x14ac:dyDescent="0.2">
      <c r="A50" s="49">
        <v>2</v>
      </c>
      <c r="B50" s="198" t="s">
        <v>132</v>
      </c>
      <c r="C50" s="197" t="s">
        <v>132</v>
      </c>
      <c r="D50" s="196" t="s">
        <v>132</v>
      </c>
      <c r="E50" s="193"/>
      <c r="F50" s="230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ht="16" x14ac:dyDescent="0.2">
      <c r="A51" s="49">
        <v>3</v>
      </c>
      <c r="B51" s="198" t="s">
        <v>132</v>
      </c>
      <c r="C51" s="197" t="s">
        <v>132</v>
      </c>
      <c r="D51" s="196" t="s">
        <v>132</v>
      </c>
      <c r="E51" s="193"/>
      <c r="F51" s="230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ht="16" x14ac:dyDescent="0.2">
      <c r="A52" s="49">
        <v>4</v>
      </c>
      <c r="B52" s="198" t="s">
        <v>132</v>
      </c>
      <c r="C52" s="197" t="s">
        <v>132</v>
      </c>
      <c r="D52" s="196" t="s">
        <v>132</v>
      </c>
      <c r="E52" s="193"/>
      <c r="F52" s="230"/>
      <c r="G52" s="23"/>
      <c r="H52" s="190"/>
      <c r="I52" s="191"/>
      <c r="J52" s="23"/>
      <c r="K52" s="173"/>
      <c r="L52" s="4"/>
      <c r="M52" s="4"/>
      <c r="N52" s="4"/>
      <c r="O52" s="194" t="str">
        <f>IF(O51+1&lt;=MIN('Données projet'!$E$9:$E$18),O51+1,"STOP")</f>
        <v>STOP</v>
      </c>
      <c r="P52" s="185" t="e">
        <f t="shared" si="3"/>
        <v>#VALUE!</v>
      </c>
      <c r="Q52" s="23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2">
      <c r="A53" s="49">
        <v>5</v>
      </c>
      <c r="B53" s="198" t="s">
        <v>132</v>
      </c>
      <c r="C53" s="197"/>
      <c r="D53" s="196" t="s">
        <v>132</v>
      </c>
      <c r="E53" s="193"/>
      <c r="F53" s="230"/>
      <c r="G53" s="204"/>
      <c r="H53" s="190"/>
      <c r="I53" s="191"/>
      <c r="J53" s="23"/>
      <c r="K53" s="173"/>
      <c r="L53" s="4"/>
      <c r="M53" s="4"/>
      <c r="N53" s="4"/>
      <c r="O53" s="194" t="e">
        <f>IF(O52+1&lt;=MIN('Données projet'!$E$9:$E$18),O52+1,"STOP")</f>
        <v>#VALUE!</v>
      </c>
      <c r="P53" s="185" t="e">
        <f t="shared" si="3"/>
        <v>#VALUE!</v>
      </c>
      <c r="Q53" s="23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2">
      <c r="A54" s="180">
        <f>'Données projet'!A62</f>
        <v>8</v>
      </c>
      <c r="B54" s="181">
        <f>'Données projet'!D62</f>
        <v>0</v>
      </c>
      <c r="C54" s="191"/>
      <c r="D54" s="179">
        <f>B54*C54</f>
        <v>0</v>
      </c>
      <c r="E54" s="193"/>
      <c r="F54" s="231"/>
      <c r="G54" s="204"/>
      <c r="H54" s="190"/>
      <c r="I54" s="191"/>
      <c r="J54" s="23"/>
      <c r="K54" s="173"/>
      <c r="L54" s="4"/>
      <c r="M54" s="4"/>
      <c r="N54" s="4"/>
      <c r="O54" s="194" t="e">
        <f>IF(O53+1&lt;=MIN('Données projet'!$E$9:$E$18),O53+1,"STOP")</f>
        <v>#VALUE!</v>
      </c>
      <c r="P54" s="185" t="e">
        <f t="shared" si="3"/>
        <v>#VALUE!</v>
      </c>
      <c r="Q54" s="23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2">
      <c r="A55" s="180">
        <f>'Données projet'!A63</f>
        <v>9</v>
      </c>
      <c r="B55" s="181">
        <f>'Données projet'!D63</f>
        <v>0</v>
      </c>
      <c r="C55" s="191"/>
      <c r="D55" s="179">
        <f t="shared" ref="D55:D73" si="4">B55*C55</f>
        <v>0</v>
      </c>
      <c r="E55" s="193"/>
      <c r="F55" s="231"/>
      <c r="G55" s="204"/>
      <c r="H55" s="190"/>
      <c r="I55" s="191"/>
      <c r="J55" s="23"/>
      <c r="K55" s="173"/>
      <c r="L55" s="4"/>
      <c r="M55" s="4"/>
      <c r="N55" s="4"/>
      <c r="O55" s="194" t="e">
        <f>IF(O54+1&lt;=MIN('Données projet'!$E$9:$E$18),O54+1,"STOP")</f>
        <v>#VALUE!</v>
      </c>
      <c r="P55" s="185" t="e">
        <f t="shared" si="3"/>
        <v>#VALUE!</v>
      </c>
      <c r="Q55" s="23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2">
      <c r="A56" s="180">
        <f>'Données projet'!A64</f>
        <v>10</v>
      </c>
      <c r="B56" s="181">
        <f>'Données projet'!D64</f>
        <v>0</v>
      </c>
      <c r="C56" s="191"/>
      <c r="D56" s="179">
        <f t="shared" si="4"/>
        <v>0</v>
      </c>
      <c r="E56" s="193"/>
      <c r="F56" s="231"/>
      <c r="G56" s="204"/>
      <c r="H56" s="190"/>
      <c r="I56" s="191"/>
      <c r="J56" s="23"/>
      <c r="K56" s="173"/>
      <c r="L56" s="4"/>
      <c r="M56" s="4"/>
      <c r="N56" s="4"/>
      <c r="O56" s="194" t="e">
        <f>IF(O55+1&lt;=MIN('Données projet'!$E$9:$E$18),O55+1,"STOP")</f>
        <v>#VALUE!</v>
      </c>
      <c r="P56" s="185" t="e">
        <f t="shared" si="3"/>
        <v>#VALUE!</v>
      </c>
      <c r="Q56" s="23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2">
      <c r="A57" s="180">
        <f>'Données projet'!A65</f>
        <v>11</v>
      </c>
      <c r="B57" s="181">
        <f>'Données projet'!D65</f>
        <v>0</v>
      </c>
      <c r="C57" s="191"/>
      <c r="D57" s="179">
        <f t="shared" si="4"/>
        <v>0</v>
      </c>
      <c r="E57" s="193"/>
      <c r="F57" s="231"/>
      <c r="G57" s="204"/>
      <c r="H57" s="190"/>
      <c r="I57" s="191"/>
      <c r="J57" s="23"/>
      <c r="K57" s="173"/>
      <c r="L57" s="4"/>
      <c r="M57" s="4"/>
      <c r="N57" s="4"/>
      <c r="O57" s="194" t="e">
        <f>IF(O56+1&lt;=MIN('Données projet'!$E$9:$E$18),O56+1,"STOP")</f>
        <v>#VALUE!</v>
      </c>
      <c r="P57" s="185" t="e">
        <f t="shared" si="3"/>
        <v>#VALUE!</v>
      </c>
      <c r="Q57" s="23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2">
      <c r="A58" s="180">
        <f>'Données projet'!A66</f>
        <v>12</v>
      </c>
      <c r="B58" s="181">
        <f>'Données projet'!D66</f>
        <v>0</v>
      </c>
      <c r="C58" s="191"/>
      <c r="D58" s="179">
        <f t="shared" si="4"/>
        <v>0</v>
      </c>
      <c r="E58" s="193"/>
      <c r="F58" s="231"/>
      <c r="G58" s="204"/>
      <c r="H58" s="190"/>
      <c r="I58" s="191"/>
      <c r="J58" s="23"/>
      <c r="K58" s="173"/>
      <c r="L58" s="4"/>
      <c r="M58" s="4"/>
      <c r="N58" s="4"/>
      <c r="O58" s="194" t="e">
        <f>IF(O57+1&lt;=MIN('Données projet'!$E$9:$E$18),O57+1,"STOP")</f>
        <v>#VALUE!</v>
      </c>
      <c r="P58" s="185" t="e">
        <f t="shared" si="3"/>
        <v>#VALUE!</v>
      </c>
      <c r="Q58" s="23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2">
      <c r="A59" s="180">
        <f>'Données projet'!A67</f>
        <v>13</v>
      </c>
      <c r="B59" s="181">
        <f>'Données projet'!D67</f>
        <v>0</v>
      </c>
      <c r="C59" s="191"/>
      <c r="D59" s="179">
        <f t="shared" si="4"/>
        <v>0</v>
      </c>
      <c r="E59" s="193"/>
      <c r="F59" s="231"/>
      <c r="G59" s="204"/>
      <c r="H59" s="190"/>
      <c r="I59" s="191"/>
      <c r="J59" s="23"/>
      <c r="K59" s="173"/>
      <c r="L59" s="4"/>
      <c r="M59" s="4"/>
      <c r="N59" s="4"/>
      <c r="O59" s="194" t="e">
        <f>IF(O58+1&lt;=MIN('Données projet'!$E$9:$E$18),O58+1,"STOP")</f>
        <v>#VALUE!</v>
      </c>
      <c r="P59" s="185" t="e">
        <f t="shared" si="3"/>
        <v>#VALUE!</v>
      </c>
      <c r="Q59" s="23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2">
      <c r="A60" s="180">
        <f>'Données projet'!A68</f>
        <v>14</v>
      </c>
      <c r="B60" s="181">
        <f>'Données projet'!D68</f>
        <v>0</v>
      </c>
      <c r="C60" s="191"/>
      <c r="D60" s="179">
        <f t="shared" si="4"/>
        <v>0</v>
      </c>
      <c r="E60" s="193"/>
      <c r="F60" s="231"/>
      <c r="G60" s="205"/>
      <c r="H60" s="190"/>
      <c r="I60" s="191"/>
      <c r="J60" s="23"/>
      <c r="K60" s="173"/>
      <c r="L60" s="4"/>
      <c r="M60" s="4"/>
      <c r="N60" s="4"/>
      <c r="O60" s="194" t="e">
        <f>IF(O59+1&lt;=MIN('Données projet'!$E$9:$E$18),O59+1,"STOP")</f>
        <v>#VALUE!</v>
      </c>
      <c r="P60" s="185" t="e">
        <f t="shared" si="3"/>
        <v>#VALUE!</v>
      </c>
      <c r="Q60" s="23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2">
      <c r="A61" s="180">
        <f>'Données projet'!A69</f>
        <v>15</v>
      </c>
      <c r="B61" s="181">
        <f>'Données projet'!D69</f>
        <v>0</v>
      </c>
      <c r="C61" s="191"/>
      <c r="D61" s="179">
        <f t="shared" si="4"/>
        <v>0</v>
      </c>
      <c r="E61" s="193"/>
      <c r="F61" s="231"/>
      <c r="G61" s="205"/>
      <c r="H61" s="190"/>
      <c r="I61" s="191"/>
      <c r="J61" s="23"/>
      <c r="K61" s="173"/>
      <c r="L61" s="4"/>
      <c r="M61" s="4"/>
      <c r="N61" s="4"/>
      <c r="O61" s="194" t="e">
        <f>IF(O60+1&lt;=MIN('Données projet'!$E$9:$E$18),O60+1,"STOP")</f>
        <v>#VALUE!</v>
      </c>
      <c r="P61" s="185" t="e">
        <f t="shared" si="3"/>
        <v>#VALUE!</v>
      </c>
      <c r="Q61" s="23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2">
      <c r="A62" s="180">
        <f>'Données projet'!A70</f>
        <v>16</v>
      </c>
      <c r="B62" s="181">
        <f>'Données projet'!D70</f>
        <v>0</v>
      </c>
      <c r="C62" s="191"/>
      <c r="D62" s="179">
        <f t="shared" si="4"/>
        <v>0</v>
      </c>
      <c r="E62" s="193"/>
      <c r="F62" s="231"/>
      <c r="G62" s="205"/>
      <c r="H62" s="190"/>
      <c r="I62" s="191"/>
      <c r="J62" s="23"/>
      <c r="K62" s="173"/>
      <c r="L62" s="4"/>
      <c r="M62" s="4"/>
      <c r="N62" s="4"/>
      <c r="O62" s="194" t="e">
        <f>IF(O61+1&lt;=MIN('Données projet'!$E$9:$E$18),O61+1,"STOP")</f>
        <v>#VALUE!</v>
      </c>
      <c r="P62" s="185" t="e">
        <f t="shared" si="3"/>
        <v>#VALUE!</v>
      </c>
      <c r="Q62" s="23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2">
      <c r="A63" s="180">
        <f>'Données projet'!A71</f>
        <v>17</v>
      </c>
      <c r="B63" s="181">
        <f>'Données projet'!D71</f>
        <v>0</v>
      </c>
      <c r="C63" s="191"/>
      <c r="D63" s="179">
        <f t="shared" si="4"/>
        <v>0</v>
      </c>
      <c r="E63" s="193"/>
      <c r="F63" s="231"/>
      <c r="G63" s="205"/>
      <c r="H63" s="190"/>
      <c r="I63" s="191"/>
      <c r="J63" s="23"/>
      <c r="K63" s="173"/>
      <c r="L63" s="4"/>
      <c r="M63" s="4"/>
      <c r="N63" s="4"/>
      <c r="O63" s="194" t="e">
        <f>IF(O62+1&lt;=MIN('Données projet'!$E$9:$E$18),O62+1,"STOP")</f>
        <v>#VALUE!</v>
      </c>
      <c r="P63" s="185" t="e">
        <f t="shared" si="3"/>
        <v>#VALUE!</v>
      </c>
      <c r="Q63" s="23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2">
      <c r="A64" s="180">
        <f>'Données projet'!A72</f>
        <v>18</v>
      </c>
      <c r="B64" s="181">
        <f>'Données projet'!D72</f>
        <v>324</v>
      </c>
      <c r="C64" s="191"/>
      <c r="D64" s="179">
        <f t="shared" si="4"/>
        <v>0</v>
      </c>
      <c r="E64" s="193"/>
      <c r="F64" s="231"/>
      <c r="G64" s="205"/>
      <c r="H64" s="190"/>
      <c r="I64" s="191"/>
      <c r="J64" s="206"/>
      <c r="K64" s="173"/>
      <c r="L64" s="4"/>
      <c r="M64" s="4"/>
      <c r="N64" s="4"/>
      <c r="O64" s="194" t="e">
        <f>IF(O63+1&lt;=MIN('Données projet'!$E$9:$E$18),O63+1,"STOP")</f>
        <v>#VALUE!</v>
      </c>
      <c r="P64" s="185" t="e">
        <f t="shared" si="3"/>
        <v>#VALUE!</v>
      </c>
      <c r="Q64" s="23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2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1"/>
      <c r="G65" s="205"/>
      <c r="H65" s="190"/>
      <c r="I65" s="191"/>
      <c r="J65" s="189"/>
      <c r="K65" s="173"/>
      <c r="L65" s="4"/>
      <c r="M65" s="4"/>
      <c r="N65" s="4"/>
      <c r="O65" s="194" t="e">
        <f>IF(O64+1&lt;=MIN('Données projet'!$E$9:$E$18),O64+1,"STOP")</f>
        <v>#VALUE!</v>
      </c>
      <c r="P65" s="185" t="e">
        <f t="shared" ref="P65:P96" si="5">$P$25/(1+$M$4)^O65</f>
        <v>#VALUE!</v>
      </c>
      <c r="Q65" s="23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2">
      <c r="A66" s="180">
        <f>'Données projet'!A74</f>
        <v>0</v>
      </c>
      <c r="B66" s="181">
        <f>'Données projet'!D74</f>
        <v>0</v>
      </c>
      <c r="C66" s="191">
        <f>17.5*'Données projet'!E74+13.8*('Données projet'!F74+'Données projet'!G74)+10*'Données projet'!H74</f>
        <v>0</v>
      </c>
      <c r="D66" s="179">
        <f t="shared" si="4"/>
        <v>0</v>
      </c>
      <c r="E66" s="193"/>
      <c r="F66" s="231"/>
      <c r="G66" s="205"/>
      <c r="H66" s="190"/>
      <c r="I66" s="191"/>
      <c r="J66" s="189"/>
      <c r="K66" s="173"/>
      <c r="L66" s="4"/>
      <c r="M66" s="4"/>
      <c r="N66" s="4"/>
      <c r="O66" s="194" t="e">
        <f>IF(O65+1&lt;=MIN('Données projet'!$E$9:$E$18),O65+1,"STOP")</f>
        <v>#VALUE!</v>
      </c>
      <c r="P66" s="185" t="e">
        <f t="shared" si="5"/>
        <v>#VALUE!</v>
      </c>
      <c r="Q66" s="23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2">
      <c r="A67" s="180">
        <f>'Données projet'!A75</f>
        <v>0</v>
      </c>
      <c r="B67" s="181">
        <f>'Données projet'!D75</f>
        <v>0</v>
      </c>
      <c r="C67" s="191">
        <f>17.5*'Données projet'!E75+13.8*('Données projet'!F75+'Données projet'!G75)+10*'Données projet'!H75</f>
        <v>0</v>
      </c>
      <c r="D67" s="179">
        <f t="shared" si="4"/>
        <v>0</v>
      </c>
      <c r="E67" s="193"/>
      <c r="F67" s="231"/>
      <c r="G67" s="205"/>
      <c r="H67" s="190"/>
      <c r="I67" s="191"/>
      <c r="J67" s="189"/>
      <c r="K67" s="173"/>
      <c r="L67" s="4"/>
      <c r="M67" s="4"/>
      <c r="N67" s="4"/>
      <c r="O67" s="194" t="e">
        <f>IF(O66+1&lt;=MIN('Données projet'!$E$9:$E$18),O66+1,"STOP")</f>
        <v>#VALUE!</v>
      </c>
      <c r="P67" s="185" t="e">
        <f t="shared" si="5"/>
        <v>#VALUE!</v>
      </c>
      <c r="Q67" s="23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2">
      <c r="A68" s="180">
        <f>'Données projet'!A76</f>
        <v>0</v>
      </c>
      <c r="B68" s="181">
        <f>'Données projet'!D76</f>
        <v>0</v>
      </c>
      <c r="C68" s="191">
        <f>17.5*'Données projet'!E76+13.8*('Données projet'!F76+'Données projet'!G76)+10*'Données projet'!H76</f>
        <v>0</v>
      </c>
      <c r="D68" s="179">
        <f t="shared" si="4"/>
        <v>0</v>
      </c>
      <c r="E68" s="193"/>
      <c r="F68" s="231"/>
      <c r="G68" s="205"/>
      <c r="H68" s="190"/>
      <c r="I68" s="191"/>
      <c r="J68" s="189"/>
      <c r="K68" s="173"/>
      <c r="L68" s="4"/>
      <c r="M68" s="4"/>
      <c r="N68" s="4"/>
      <c r="O68" s="194" t="e">
        <f>IF(O67+1&lt;=MIN('Données projet'!$E$9:$E$18),O67+1,"STOP")</f>
        <v>#VALUE!</v>
      </c>
      <c r="P68" s="185" t="e">
        <f t="shared" si="5"/>
        <v>#VALUE!</v>
      </c>
      <c r="Q68" s="23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2">
      <c r="A69" s="180">
        <f>'Données projet'!A77</f>
        <v>0</v>
      </c>
      <c r="B69" s="181">
        <f>'Données projet'!D77</f>
        <v>0</v>
      </c>
      <c r="C69" s="191">
        <f>17.5*'Données projet'!E77+13.8*('Données projet'!F77+'Données projet'!G77)+10*'Données projet'!H77</f>
        <v>0</v>
      </c>
      <c r="D69" s="179">
        <f t="shared" si="4"/>
        <v>0</v>
      </c>
      <c r="E69" s="193"/>
      <c r="F69" s="231"/>
      <c r="G69" s="205"/>
      <c r="H69" s="190"/>
      <c r="I69" s="191"/>
      <c r="J69" s="189"/>
      <c r="K69" s="173"/>
      <c r="L69" s="4"/>
      <c r="M69" s="4"/>
      <c r="N69" s="4"/>
      <c r="O69" s="194" t="e">
        <f>IF(O68+1&lt;=MIN('Données projet'!$E$9:$E$18),O68+1,"STOP")</f>
        <v>#VALUE!</v>
      </c>
      <c r="P69" s="185" t="e">
        <f t="shared" si="5"/>
        <v>#VALUE!</v>
      </c>
      <c r="Q69" s="23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2">
      <c r="A70" s="180">
        <f>'Données projet'!A78</f>
        <v>0</v>
      </c>
      <c r="B70" s="181">
        <f>'Données projet'!D78</f>
        <v>0</v>
      </c>
      <c r="C70" s="191">
        <f>17.5*'Données projet'!E78+13.8*('Données projet'!F78+'Données projet'!G78)+10*'Données projet'!H78</f>
        <v>0</v>
      </c>
      <c r="D70" s="179">
        <f t="shared" si="4"/>
        <v>0</v>
      </c>
      <c r="E70" s="193"/>
      <c r="F70" s="231"/>
      <c r="G70" s="205"/>
      <c r="H70" s="190"/>
      <c r="I70" s="191"/>
      <c r="J70" s="189"/>
      <c r="K70" s="173"/>
      <c r="L70" s="4"/>
      <c r="M70" s="4"/>
      <c r="N70" s="4"/>
      <c r="O70" s="194" t="e">
        <f>IF(O69+1&lt;=MIN('Données projet'!$E$9:$E$18),O69+1,"STOP")</f>
        <v>#VALUE!</v>
      </c>
      <c r="P70" s="185" t="e">
        <f t="shared" si="5"/>
        <v>#VALUE!</v>
      </c>
      <c r="Q70" s="23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2">
      <c r="A71" s="180">
        <f>'Données projet'!A79</f>
        <v>0</v>
      </c>
      <c r="B71" s="181">
        <f>'Données projet'!D79</f>
        <v>0</v>
      </c>
      <c r="C71" s="191">
        <f>17.5*'Données projet'!E79+13.8*('Données projet'!F79+'Données projet'!G79)+10*'Données projet'!H79</f>
        <v>0</v>
      </c>
      <c r="D71" s="179">
        <f t="shared" si="4"/>
        <v>0</v>
      </c>
      <c r="E71" s="193"/>
      <c r="F71" s="231"/>
      <c r="G71" s="205"/>
      <c r="H71" s="190"/>
      <c r="I71" s="191"/>
      <c r="J71" s="189"/>
      <c r="K71" s="173"/>
      <c r="L71" s="4"/>
      <c r="M71" s="4"/>
      <c r="N71" s="4"/>
      <c r="O71" s="194" t="e">
        <f>IF(O70+1&lt;=MIN('Données projet'!$E$9:$E$18),O70+1,"STOP")</f>
        <v>#VALUE!</v>
      </c>
      <c r="P71" s="185" t="e">
        <f t="shared" si="5"/>
        <v>#VALUE!</v>
      </c>
      <c r="Q71" s="23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2">
      <c r="A72" s="180">
        <f>'Données projet'!A80</f>
        <v>0</v>
      </c>
      <c r="B72" s="181">
        <f>'Données projet'!D80</f>
        <v>0</v>
      </c>
      <c r="C72" s="191">
        <f>17.5*'Données projet'!E80+13.8*('Données projet'!F80+'Données projet'!G80)+10*'Données projet'!H80</f>
        <v>0</v>
      </c>
      <c r="D72" s="179">
        <f t="shared" si="4"/>
        <v>0</v>
      </c>
      <c r="E72" s="193"/>
      <c r="F72" s="231"/>
      <c r="G72" s="205"/>
      <c r="H72" s="190"/>
      <c r="I72" s="191"/>
      <c r="J72" s="4"/>
      <c r="K72" s="173"/>
      <c r="L72" s="4"/>
      <c r="M72" s="4"/>
      <c r="N72" s="4"/>
      <c r="O72" s="194" t="e">
        <f>IF(O71+1&lt;=MIN('Données projet'!$E$9:$E$18),O71+1,"STOP")</f>
        <v>#VALUE!</v>
      </c>
      <c r="P72" s="185" t="e">
        <f t="shared" si="5"/>
        <v>#VALUE!</v>
      </c>
      <c r="Q72" s="23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2">
      <c r="A73" s="180">
        <f>'Données projet'!A81</f>
        <v>0</v>
      </c>
      <c r="B73" s="181">
        <f>'Données projet'!D81</f>
        <v>0</v>
      </c>
      <c r="C73" s="191">
        <f>17.5*'Données projet'!E81+13.8*('Données projet'!F81+'Données projet'!G81)+10*'Données projet'!H81</f>
        <v>0</v>
      </c>
      <c r="D73" s="179">
        <f t="shared" si="4"/>
        <v>0</v>
      </c>
      <c r="E73" s="193"/>
      <c r="F73" s="231"/>
      <c r="G73" s="205"/>
      <c r="H73" s="190"/>
      <c r="I73" s="191"/>
      <c r="J73" s="4"/>
      <c r="K73" s="173"/>
      <c r="L73" s="4"/>
      <c r="M73" s="4"/>
      <c r="N73" s="4"/>
      <c r="O73" s="194" t="e">
        <f>IF(O72+1&lt;=MIN('Données projet'!$E$9:$E$18),O72+1,"STOP")</f>
        <v>#VALUE!</v>
      </c>
      <c r="P73" s="185" t="e">
        <f t="shared" si="5"/>
        <v>#VALUE!</v>
      </c>
      <c r="Q73" s="23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2">
      <c r="A74" s="4"/>
      <c r="B74" s="4"/>
      <c r="C74" s="4"/>
      <c r="D74" s="4"/>
      <c r="E74" s="4"/>
      <c r="F74" s="229"/>
      <c r="G74" s="205"/>
      <c r="H74" s="190"/>
      <c r="I74" s="191"/>
      <c r="J74" s="4"/>
      <c r="K74" s="173"/>
      <c r="L74" s="4"/>
      <c r="M74" s="4"/>
      <c r="N74" s="4"/>
      <c r="O74" s="194" t="e">
        <f>IF(O73+1&lt;=MIN('Données projet'!$E$9:$E$18),O73+1,"STOP")</f>
        <v>#VALUE!</v>
      </c>
      <c r="P74" s="185" t="e">
        <f t="shared" si="5"/>
        <v>#VALUE!</v>
      </c>
      <c r="Q74" s="23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2">
      <c r="A75" s="4"/>
      <c r="B75" s="4"/>
      <c r="C75" s="4"/>
      <c r="D75" s="4"/>
      <c r="E75" s="4"/>
      <c r="F75" s="229"/>
      <c r="G75" s="205"/>
      <c r="H75" s="190"/>
      <c r="I75" s="191"/>
      <c r="J75" s="4"/>
      <c r="K75" s="173"/>
      <c r="L75" s="4"/>
      <c r="M75" s="4"/>
      <c r="N75" s="4"/>
      <c r="O75" s="194" t="e">
        <f>IF(O74+1&lt;=MIN('Données projet'!$E$9:$E$18),O74+1,"STOP")</f>
        <v>#VALUE!</v>
      </c>
      <c r="P75" s="185" t="e">
        <f t="shared" si="5"/>
        <v>#VALUE!</v>
      </c>
      <c r="Q75" s="23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2">
      <c r="A76" s="46" t="s">
        <v>167</v>
      </c>
      <c r="B76" s="174" t="str">
        <f>IF('Données projet'!B11="","",'Données projet'!B11)</f>
        <v>Chêne sessile</v>
      </c>
      <c r="C76" s="4"/>
      <c r="D76" s="4"/>
      <c r="E76" s="4"/>
      <c r="F76" s="229"/>
      <c r="G76" s="205"/>
      <c r="H76" s="190"/>
      <c r="I76" s="191"/>
      <c r="J76" s="4"/>
      <c r="K76" s="173"/>
      <c r="L76" s="4"/>
      <c r="M76" s="4"/>
      <c r="N76" s="4"/>
      <c r="O76" s="194" t="e">
        <f>IF(O75+1&lt;=MIN('Données projet'!$E$9:$E$18),O75+1,"STOP")</f>
        <v>#VALUE!</v>
      </c>
      <c r="P76" s="185" t="e">
        <f t="shared" si="5"/>
        <v>#VALUE!</v>
      </c>
      <c r="Q76" s="23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2">
      <c r="A77" s="4"/>
      <c r="B77" s="4"/>
      <c r="C77" s="4"/>
      <c r="D77" s="4"/>
      <c r="E77" s="4"/>
      <c r="F77" s="229"/>
      <c r="G77" s="205"/>
      <c r="H77" s="190"/>
      <c r="I77" s="191"/>
      <c r="J77" s="4"/>
      <c r="K77" s="173"/>
      <c r="L77" s="4"/>
      <c r="M77" s="4"/>
      <c r="N77" s="4"/>
      <c r="O77" s="194" t="e">
        <f>IF(O76+1&lt;=MIN('Données projet'!$E$9:$E$18),O76+1,"STOP")</f>
        <v>#VALUE!</v>
      </c>
      <c r="P77" s="185" t="e">
        <f t="shared" si="5"/>
        <v>#VALUE!</v>
      </c>
      <c r="Q77" s="23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ht="16" x14ac:dyDescent="0.2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0"/>
      <c r="G78" s="205"/>
      <c r="H78" s="190"/>
      <c r="I78" s="191"/>
      <c r="J78" s="4"/>
      <c r="K78" s="173"/>
      <c r="L78" s="4"/>
      <c r="M78" s="4"/>
      <c r="N78" s="4"/>
      <c r="O78" s="194" t="e">
        <f>IF(O77+1&lt;=MIN('Données projet'!$E$9:$E$18),O77+1,"STOP")</f>
        <v>#VALUE!</v>
      </c>
      <c r="P78" s="185" t="e">
        <f t="shared" si="5"/>
        <v>#VALUE!</v>
      </c>
      <c r="Q78" s="23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ht="16" x14ac:dyDescent="0.2">
      <c r="A79" s="49">
        <v>0</v>
      </c>
      <c r="B79" s="198" t="s">
        <v>132</v>
      </c>
      <c r="C79" s="197" t="s">
        <v>132</v>
      </c>
      <c r="D79" s="196" t="s">
        <v>132</v>
      </c>
      <c r="E79" s="193"/>
      <c r="F79" s="230"/>
      <c r="G79" s="205"/>
      <c r="H79" s="190"/>
      <c r="I79" s="191"/>
      <c r="J79" s="4"/>
      <c r="K79" s="173"/>
      <c r="L79" s="4"/>
      <c r="M79" s="4"/>
      <c r="N79" s="4"/>
      <c r="O79" s="194" t="e">
        <f>IF(O78+1&lt;=MIN('Données projet'!$E$9:$E$18),O78+1,"STOP")</f>
        <v>#VALUE!</v>
      </c>
      <c r="P79" s="185" t="e">
        <f t="shared" si="5"/>
        <v>#VALUE!</v>
      </c>
      <c r="Q79" s="23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ht="16" x14ac:dyDescent="0.2">
      <c r="A80" s="49">
        <v>1</v>
      </c>
      <c r="B80" s="198" t="s">
        <v>132</v>
      </c>
      <c r="C80" s="197" t="s">
        <v>132</v>
      </c>
      <c r="D80" s="196" t="s">
        <v>132</v>
      </c>
      <c r="E80" s="193"/>
      <c r="F80" s="230"/>
      <c r="G80" s="23"/>
      <c r="H80" s="190"/>
      <c r="I80" s="191"/>
      <c r="J80" s="4"/>
      <c r="K80" s="173"/>
      <c r="L80" s="4"/>
      <c r="M80" s="4"/>
      <c r="N80" s="4"/>
      <c r="O80" s="194" t="e">
        <f>IF(O79+1&lt;=MIN('Données projet'!$E$9:$E$18),O79+1,"STOP")</f>
        <v>#VALUE!</v>
      </c>
      <c r="P80" s="185" t="e">
        <f t="shared" si="5"/>
        <v>#VALUE!</v>
      </c>
      <c r="Q80" s="23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ht="16" x14ac:dyDescent="0.2">
      <c r="A81" s="49">
        <v>2</v>
      </c>
      <c r="B81" s="198" t="s">
        <v>132</v>
      </c>
      <c r="C81" s="197" t="s">
        <v>132</v>
      </c>
      <c r="D81" s="196" t="s">
        <v>132</v>
      </c>
      <c r="E81" s="193"/>
      <c r="F81" s="230"/>
      <c r="G81" s="23"/>
      <c r="H81" s="190"/>
      <c r="I81" s="191"/>
      <c r="J81" s="4"/>
      <c r="K81" s="173"/>
      <c r="L81" s="4"/>
      <c r="M81" s="4"/>
      <c r="N81" s="4"/>
      <c r="O81" s="194" t="e">
        <f>IF(O80+1&lt;=MIN('Données projet'!$E$9:$E$18),O80+1,"STOP")</f>
        <v>#VALUE!</v>
      </c>
      <c r="P81" s="185" t="e">
        <f t="shared" si="5"/>
        <v>#VALUE!</v>
      </c>
      <c r="Q81" s="23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ht="16" x14ac:dyDescent="0.2">
      <c r="A82" s="49">
        <v>3</v>
      </c>
      <c r="B82" s="198" t="s">
        <v>132</v>
      </c>
      <c r="C82" s="197" t="s">
        <v>132</v>
      </c>
      <c r="D82" s="196" t="s">
        <v>132</v>
      </c>
      <c r="E82" s="193"/>
      <c r="F82" s="230"/>
      <c r="G82" s="23"/>
      <c r="H82" s="190"/>
      <c r="I82" s="191"/>
      <c r="J82" s="4"/>
      <c r="K82" s="173"/>
      <c r="L82" s="4"/>
      <c r="M82" s="4"/>
      <c r="N82" s="4"/>
      <c r="O82" s="194" t="e">
        <f>IF(O81+1&lt;=MIN('Données projet'!$E$9:$E$18),O81+1,"STOP")</f>
        <v>#VALUE!</v>
      </c>
      <c r="P82" s="185" t="e">
        <f t="shared" si="5"/>
        <v>#VALUE!</v>
      </c>
      <c r="Q82" s="23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ht="16" x14ac:dyDescent="0.2">
      <c r="A83" s="49">
        <v>4</v>
      </c>
      <c r="B83" s="198" t="s">
        <v>132</v>
      </c>
      <c r="C83" s="197"/>
      <c r="D83" s="196" t="s">
        <v>132</v>
      </c>
      <c r="E83" s="193"/>
      <c r="F83" s="230"/>
      <c r="G83" s="23"/>
      <c r="H83" s="190"/>
      <c r="I83" s="191"/>
      <c r="J83" s="4"/>
      <c r="K83" s="173"/>
      <c r="L83" s="4"/>
      <c r="M83" s="4"/>
      <c r="N83" s="4"/>
      <c r="O83" s="194" t="e">
        <f>IF(O82+1&lt;=MIN('Données projet'!$E$9:$E$18),O82+1,"STOP")</f>
        <v>#VALUE!</v>
      </c>
      <c r="P83" s="185" t="e">
        <f t="shared" si="5"/>
        <v>#VALUE!</v>
      </c>
      <c r="Q83" s="23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2">
      <c r="A84" s="49">
        <v>5</v>
      </c>
      <c r="B84" s="198" t="s">
        <v>132</v>
      </c>
      <c r="C84" s="197"/>
      <c r="D84" s="196" t="s">
        <v>132</v>
      </c>
      <c r="E84" s="193"/>
      <c r="F84" s="230"/>
      <c r="G84" s="204"/>
      <c r="H84" s="190"/>
      <c r="I84" s="191"/>
      <c r="J84" s="4"/>
      <c r="K84" s="173"/>
      <c r="L84" s="4"/>
      <c r="M84" s="4"/>
      <c r="N84" s="4"/>
      <c r="O84" s="194" t="e">
        <f>IF(O83+1&lt;=MIN('Données projet'!$E$9:$E$18),O83+1,"STOP")</f>
        <v>#VALUE!</v>
      </c>
      <c r="P84" s="185" t="e">
        <f t="shared" si="5"/>
        <v>#VALUE!</v>
      </c>
      <c r="Q84" s="23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2">
      <c r="A85" s="180">
        <f>'Données projet'!A88</f>
        <v>20</v>
      </c>
      <c r="B85" s="181">
        <f>'Données projet'!D88</f>
        <v>0</v>
      </c>
      <c r="C85" s="191"/>
      <c r="D85" s="179">
        <f>B85*C85</f>
        <v>0</v>
      </c>
      <c r="E85" s="193"/>
      <c r="F85" s="231"/>
      <c r="G85" s="204"/>
      <c r="H85" s="190"/>
      <c r="I85" s="191"/>
      <c r="J85" s="4"/>
      <c r="K85" s="173"/>
      <c r="L85" s="4"/>
      <c r="M85" s="4"/>
      <c r="N85" s="4"/>
      <c r="O85" s="194" t="e">
        <f>IF(O84+1&lt;=MIN('Données projet'!$E$9:$E$18),O84+1,"STOP")</f>
        <v>#VALUE!</v>
      </c>
      <c r="P85" s="185" t="e">
        <f t="shared" si="5"/>
        <v>#VALUE!</v>
      </c>
      <c r="Q85" s="23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2">
      <c r="A86" s="180">
        <f>'Données projet'!A89</f>
        <v>25</v>
      </c>
      <c r="B86" s="181">
        <f>'Données projet'!D89</f>
        <v>0</v>
      </c>
      <c r="C86" s="191"/>
      <c r="D86" s="179">
        <f t="shared" ref="D86:D104" si="6">B86*C86</f>
        <v>0</v>
      </c>
      <c r="E86" s="193"/>
      <c r="F86" s="231"/>
      <c r="G86" s="204"/>
      <c r="H86" s="190"/>
      <c r="I86" s="191"/>
      <c r="J86" s="4"/>
      <c r="K86" s="173"/>
      <c r="L86" s="4"/>
      <c r="M86" s="4"/>
      <c r="N86" s="4"/>
      <c r="O86" s="194" t="e">
        <f>IF(O85+1&lt;=MIN('Données projet'!$E$9:$E$18),O85+1,"STOP")</f>
        <v>#VALUE!</v>
      </c>
      <c r="P86" s="185" t="e">
        <f t="shared" si="5"/>
        <v>#VALUE!</v>
      </c>
      <c r="Q86" s="23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2">
      <c r="A87" s="180">
        <f>'Données projet'!A90</f>
        <v>30</v>
      </c>
      <c r="B87" s="181">
        <f>'Données projet'!D90</f>
        <v>62</v>
      </c>
      <c r="C87" s="191"/>
      <c r="D87" s="179">
        <f t="shared" si="6"/>
        <v>0</v>
      </c>
      <c r="E87" s="193"/>
      <c r="F87" s="231"/>
      <c r="G87" s="204"/>
      <c r="H87" s="190"/>
      <c r="I87" s="191"/>
      <c r="J87" s="4"/>
      <c r="K87" s="173"/>
      <c r="L87" s="4"/>
      <c r="M87" s="4"/>
      <c r="N87" s="4"/>
      <c r="O87" s="194" t="e">
        <f>IF(O86+1&lt;=MIN('Données projet'!$E$9:$E$18),O86+1,"STOP")</f>
        <v>#VALUE!</v>
      </c>
      <c r="P87" s="185" t="e">
        <f t="shared" si="5"/>
        <v>#VALUE!</v>
      </c>
      <c r="Q87" s="23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2">
      <c r="A88" s="180">
        <f>'Données projet'!A91</f>
        <v>35</v>
      </c>
      <c r="B88" s="181">
        <f>'Données projet'!D91</f>
        <v>28</v>
      </c>
      <c r="C88" s="191"/>
      <c r="D88" s="179">
        <f t="shared" si="6"/>
        <v>0</v>
      </c>
      <c r="E88" s="193"/>
      <c r="F88" s="231"/>
      <c r="G88" s="204"/>
      <c r="H88" s="190"/>
      <c r="I88" s="191"/>
      <c r="J88" s="4"/>
      <c r="K88" s="173"/>
      <c r="L88" s="4"/>
      <c r="M88" s="4"/>
      <c r="N88" s="4"/>
      <c r="O88" s="194" t="e">
        <f>IF(O87+1&lt;=MIN('Données projet'!$E$9:$E$18),O87+1,"STOP")</f>
        <v>#VALUE!</v>
      </c>
      <c r="P88" s="185" t="e">
        <f t="shared" si="5"/>
        <v>#VALUE!</v>
      </c>
      <c r="Q88" s="23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2">
      <c r="A89" s="180">
        <f>'Données projet'!A92</f>
        <v>40</v>
      </c>
      <c r="B89" s="181">
        <f>'Données projet'!D92</f>
        <v>28</v>
      </c>
      <c r="C89" s="191"/>
      <c r="D89" s="179">
        <f t="shared" si="6"/>
        <v>0</v>
      </c>
      <c r="E89" s="193"/>
      <c r="F89" s="231"/>
      <c r="G89" s="204"/>
      <c r="H89" s="190"/>
      <c r="I89" s="191"/>
      <c r="J89" s="4"/>
      <c r="K89" s="173"/>
      <c r="L89" s="4"/>
      <c r="M89" s="4"/>
      <c r="N89" s="4"/>
      <c r="O89" s="194" t="e">
        <f>IF(O88+1&lt;=MIN('Données projet'!$E$9:$E$18),O88+1,"STOP")</f>
        <v>#VALUE!</v>
      </c>
      <c r="P89" s="185" t="e">
        <f t="shared" si="5"/>
        <v>#VALUE!</v>
      </c>
      <c r="Q89" s="23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2">
      <c r="A90" s="180">
        <f>'Données projet'!A93</f>
        <v>45</v>
      </c>
      <c r="B90" s="181">
        <f>'Données projet'!D93</f>
        <v>28</v>
      </c>
      <c r="C90" s="191"/>
      <c r="D90" s="179">
        <f t="shared" si="6"/>
        <v>0</v>
      </c>
      <c r="E90" s="193"/>
      <c r="F90" s="231"/>
      <c r="G90" s="204"/>
      <c r="H90" s="190"/>
      <c r="I90" s="191"/>
      <c r="J90" s="4"/>
      <c r="K90" s="173"/>
      <c r="L90" s="4"/>
      <c r="M90" s="4"/>
      <c r="N90" s="4"/>
      <c r="O90" s="194" t="e">
        <f>IF(O89+1&lt;=MIN('Données projet'!$E$9:$E$18),O89+1,"STOP")</f>
        <v>#VALUE!</v>
      </c>
      <c r="P90" s="185" t="e">
        <f t="shared" si="5"/>
        <v>#VALUE!</v>
      </c>
      <c r="Q90" s="23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2">
      <c r="A91" s="180">
        <f>'Données projet'!A94</f>
        <v>50</v>
      </c>
      <c r="B91" s="181">
        <f>'Données projet'!D94</f>
        <v>28</v>
      </c>
      <c r="C91" s="191"/>
      <c r="D91" s="179">
        <f t="shared" si="6"/>
        <v>0</v>
      </c>
      <c r="E91" s="193"/>
      <c r="F91" s="231"/>
      <c r="G91" s="205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5"/>
        <v>#VALUE!</v>
      </c>
      <c r="Q91" s="23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2">
      <c r="A92" s="180">
        <f>'Données projet'!A95</f>
        <v>55</v>
      </c>
      <c r="B92" s="181">
        <f>'Données projet'!D95</f>
        <v>28</v>
      </c>
      <c r="C92" s="191"/>
      <c r="D92" s="179">
        <f t="shared" si="6"/>
        <v>0</v>
      </c>
      <c r="E92" s="193"/>
      <c r="F92" s="231"/>
      <c r="G92" s="205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5"/>
        <v>#VALUE!</v>
      </c>
      <c r="Q92" s="23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2">
      <c r="A93" s="180">
        <f>'Données projet'!A96</f>
        <v>60</v>
      </c>
      <c r="B93" s="181">
        <f>'Données projet'!D96</f>
        <v>28</v>
      </c>
      <c r="C93" s="191"/>
      <c r="D93" s="179">
        <f t="shared" si="6"/>
        <v>0</v>
      </c>
      <c r="E93" s="193"/>
      <c r="F93" s="231"/>
      <c r="G93" s="205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5"/>
        <v>#VALUE!</v>
      </c>
      <c r="Q93" s="23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2">
      <c r="A94" s="180">
        <f>'Données projet'!A97</f>
        <v>65</v>
      </c>
      <c r="B94" s="181">
        <f>'Données projet'!D97</f>
        <v>28</v>
      </c>
      <c r="C94" s="191"/>
      <c r="D94" s="179">
        <f t="shared" si="6"/>
        <v>0</v>
      </c>
      <c r="E94" s="193"/>
      <c r="F94" s="231"/>
      <c r="G94" s="205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5"/>
        <v>#VALUE!</v>
      </c>
      <c r="Q94" s="23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2">
      <c r="A95" s="180">
        <f>'Données projet'!A98</f>
        <v>70</v>
      </c>
      <c r="B95" s="181">
        <f>'Données projet'!D98</f>
        <v>28</v>
      </c>
      <c r="C95" s="191"/>
      <c r="D95" s="179">
        <f t="shared" si="6"/>
        <v>0</v>
      </c>
      <c r="E95" s="193"/>
      <c r="F95" s="231"/>
      <c r="G95" s="205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2">
      <c r="A96" s="180">
        <f>'Données projet'!A99</f>
        <v>75</v>
      </c>
      <c r="B96" s="181">
        <f>'Données projet'!D99</f>
        <v>28</v>
      </c>
      <c r="C96" s="191"/>
      <c r="D96" s="179">
        <f t="shared" si="6"/>
        <v>0</v>
      </c>
      <c r="E96" s="193"/>
      <c r="F96" s="231"/>
      <c r="G96" s="205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2">
      <c r="A97" s="180">
        <f>'Données projet'!A100</f>
        <v>80</v>
      </c>
      <c r="B97" s="181">
        <f>'Données projet'!D100</f>
        <v>28</v>
      </c>
      <c r="C97" s="191"/>
      <c r="D97" s="179">
        <f t="shared" si="6"/>
        <v>0</v>
      </c>
      <c r="E97" s="193"/>
      <c r="F97" s="231"/>
      <c r="G97" s="205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2">
      <c r="A98" s="180">
        <f>'Données projet'!A101</f>
        <v>90</v>
      </c>
      <c r="B98" s="181">
        <f>'Données projet'!D101</f>
        <v>56</v>
      </c>
      <c r="C98" s="191"/>
      <c r="D98" s="179">
        <f t="shared" si="6"/>
        <v>0</v>
      </c>
      <c r="E98" s="193"/>
      <c r="F98" s="231"/>
      <c r="G98" s="205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2">
      <c r="A99" s="180">
        <f>'Données projet'!A102</f>
        <v>100</v>
      </c>
      <c r="B99" s="181">
        <f>'Données projet'!D102</f>
        <v>56</v>
      </c>
      <c r="C99" s="191"/>
      <c r="D99" s="179">
        <f t="shared" si="6"/>
        <v>0</v>
      </c>
      <c r="E99" s="193"/>
      <c r="F99" s="231"/>
      <c r="G99" s="205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2">
      <c r="A100" s="180">
        <f>'Données projet'!A103</f>
        <v>110</v>
      </c>
      <c r="B100" s="181">
        <f>'Données projet'!D103</f>
        <v>51</v>
      </c>
      <c r="C100" s="191"/>
      <c r="D100" s="179">
        <f t="shared" si="6"/>
        <v>0</v>
      </c>
      <c r="E100" s="193"/>
      <c r="F100" s="231"/>
      <c r="G100" s="205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2">
      <c r="A101" s="180">
        <f>'Données projet'!A104</f>
        <v>120</v>
      </c>
      <c r="B101" s="181">
        <f>'Données projet'!D104</f>
        <v>47</v>
      </c>
      <c r="C101" s="191"/>
      <c r="D101" s="179">
        <f t="shared" si="6"/>
        <v>0</v>
      </c>
      <c r="E101" s="193"/>
      <c r="F101" s="231"/>
      <c r="G101" s="205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2">
      <c r="A102" s="180">
        <f>'Données projet'!A105</f>
        <v>130</v>
      </c>
      <c r="B102" s="181">
        <f>'Données projet'!D105</f>
        <v>44</v>
      </c>
      <c r="C102" s="191"/>
      <c r="D102" s="179">
        <f t="shared" si="6"/>
        <v>0</v>
      </c>
      <c r="E102" s="193"/>
      <c r="F102" s="231"/>
      <c r="G102" s="205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2">
      <c r="A103" s="180">
        <f>'Données projet'!A106</f>
        <v>140</v>
      </c>
      <c r="B103" s="181">
        <f>'Données projet'!D106</f>
        <v>41</v>
      </c>
      <c r="C103" s="191"/>
      <c r="D103" s="179">
        <f t="shared" si="6"/>
        <v>0</v>
      </c>
      <c r="E103" s="193"/>
      <c r="F103" s="231"/>
      <c r="G103" s="205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2">
      <c r="A104" s="180">
        <f>'Données projet'!A107</f>
        <v>150</v>
      </c>
      <c r="B104" s="181">
        <f>'Données projet'!D107</f>
        <v>335</v>
      </c>
      <c r="C104" s="191"/>
      <c r="D104" s="179">
        <f t="shared" si="6"/>
        <v>0</v>
      </c>
      <c r="E104" s="193"/>
      <c r="F104" s="231"/>
      <c r="G104" s="205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2">
      <c r="A105" s="4"/>
      <c r="B105" s="4"/>
      <c r="C105" s="4"/>
      <c r="D105" s="4"/>
      <c r="E105" s="4"/>
      <c r="F105" s="229"/>
      <c r="G105" s="205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2">
      <c r="A106" s="4"/>
      <c r="B106" s="4"/>
      <c r="C106" s="4"/>
      <c r="D106" s="4"/>
      <c r="E106" s="4"/>
      <c r="F106" s="229"/>
      <c r="G106" s="205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2">
      <c r="A107" s="46" t="s">
        <v>168</v>
      </c>
      <c r="B107" s="174" t="str">
        <f>IF('Données projet'!B12="","",'Données projet'!B12)</f>
        <v>Chêne chevelu</v>
      </c>
      <c r="C107" s="4"/>
      <c r="D107" s="4"/>
      <c r="E107" s="4"/>
      <c r="F107" s="229"/>
      <c r="G107" s="205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2">
      <c r="A108" s="4"/>
      <c r="B108" s="4"/>
      <c r="C108" s="4"/>
      <c r="D108" s="4"/>
      <c r="E108" s="4"/>
      <c r="F108" s="229"/>
      <c r="G108" s="205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ht="16" x14ac:dyDescent="0.2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0"/>
      <c r="G109" s="205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ht="16" x14ac:dyDescent="0.2">
      <c r="A110" s="49">
        <v>0</v>
      </c>
      <c r="B110" s="198" t="s">
        <v>132</v>
      </c>
      <c r="C110" s="197" t="s">
        <v>132</v>
      </c>
      <c r="D110" s="196" t="s">
        <v>132</v>
      </c>
      <c r="E110" s="193"/>
      <c r="F110" s="230"/>
      <c r="G110" s="205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ht="16" x14ac:dyDescent="0.2">
      <c r="A111" s="49">
        <v>1</v>
      </c>
      <c r="B111" s="198" t="s">
        <v>132</v>
      </c>
      <c r="C111" s="197" t="s">
        <v>132</v>
      </c>
      <c r="D111" s="196" t="s">
        <v>132</v>
      </c>
      <c r="E111" s="193"/>
      <c r="F111" s="230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ht="16" x14ac:dyDescent="0.2">
      <c r="A112" s="49">
        <v>2</v>
      </c>
      <c r="B112" s="198" t="s">
        <v>132</v>
      </c>
      <c r="C112" s="197" t="s">
        <v>132</v>
      </c>
      <c r="D112" s="196" t="s">
        <v>132</v>
      </c>
      <c r="E112" s="193"/>
      <c r="F112" s="230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ht="16" x14ac:dyDescent="0.2">
      <c r="A113" s="49">
        <v>3</v>
      </c>
      <c r="B113" s="198" t="s">
        <v>132</v>
      </c>
      <c r="C113" s="197" t="s">
        <v>132</v>
      </c>
      <c r="D113" s="196" t="s">
        <v>132</v>
      </c>
      <c r="E113" s="193"/>
      <c r="F113" s="230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ht="16" x14ac:dyDescent="0.2">
      <c r="A114" s="49">
        <v>4</v>
      </c>
      <c r="B114" s="198" t="s">
        <v>132</v>
      </c>
      <c r="C114" s="197" t="s">
        <v>132</v>
      </c>
      <c r="D114" s="196" t="s">
        <v>132</v>
      </c>
      <c r="E114" s="193"/>
      <c r="F114" s="230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2">
      <c r="A115" s="49">
        <v>5</v>
      </c>
      <c r="B115" s="198" t="s">
        <v>132</v>
      </c>
      <c r="C115" s="197"/>
      <c r="D115" s="196" t="s">
        <v>132</v>
      </c>
      <c r="E115" s="193"/>
      <c r="F115" s="230"/>
      <c r="G115" s="204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2">
      <c r="A116" s="180">
        <f>'Données projet'!A114</f>
        <v>20</v>
      </c>
      <c r="B116" s="181">
        <f>'Données projet'!D114</f>
        <v>0</v>
      </c>
      <c r="C116" s="191"/>
      <c r="D116" s="179">
        <f>B116*C116</f>
        <v>0</v>
      </c>
      <c r="E116" s="193"/>
      <c r="F116" s="231"/>
      <c r="G116" s="204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2">
      <c r="A117" s="180">
        <f>'Données projet'!A115</f>
        <v>25</v>
      </c>
      <c r="B117" s="181">
        <f>'Données projet'!D115</f>
        <v>0</v>
      </c>
      <c r="C117" s="191"/>
      <c r="D117" s="179">
        <f t="shared" ref="D117:D135" si="8">B117*C117</f>
        <v>0</v>
      </c>
      <c r="E117" s="193"/>
      <c r="F117" s="231"/>
      <c r="G117" s="204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2">
      <c r="A118" s="180">
        <f>'Données projet'!A116</f>
        <v>30</v>
      </c>
      <c r="B118" s="181">
        <f>'Données projet'!D116</f>
        <v>62</v>
      </c>
      <c r="C118" s="191"/>
      <c r="D118" s="179">
        <f t="shared" si="8"/>
        <v>0</v>
      </c>
      <c r="E118" s="193"/>
      <c r="F118" s="231"/>
      <c r="G118" s="204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2">
      <c r="A119" s="180">
        <f>'Données projet'!A117</f>
        <v>35</v>
      </c>
      <c r="B119" s="181">
        <f>'Données projet'!D117</f>
        <v>28</v>
      </c>
      <c r="C119" s="191"/>
      <c r="D119" s="179">
        <f t="shared" si="8"/>
        <v>0</v>
      </c>
      <c r="E119" s="193"/>
      <c r="F119" s="231"/>
      <c r="G119" s="204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2">
      <c r="A120" s="180">
        <f>'Données projet'!A118</f>
        <v>40</v>
      </c>
      <c r="B120" s="181">
        <f>'Données projet'!D118</f>
        <v>28</v>
      </c>
      <c r="C120" s="191"/>
      <c r="D120" s="179">
        <f t="shared" si="8"/>
        <v>0</v>
      </c>
      <c r="E120" s="193"/>
      <c r="F120" s="231"/>
      <c r="G120" s="204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2">
      <c r="A121" s="180">
        <f>'Données projet'!A119</f>
        <v>45</v>
      </c>
      <c r="B121" s="181">
        <f>'Données projet'!D119</f>
        <v>28</v>
      </c>
      <c r="C121" s="191"/>
      <c r="D121" s="179">
        <f t="shared" si="8"/>
        <v>0</v>
      </c>
      <c r="E121" s="193"/>
      <c r="F121" s="231"/>
      <c r="G121" s="204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2">
      <c r="A122" s="180">
        <f>'Données projet'!A120</f>
        <v>50</v>
      </c>
      <c r="B122" s="181">
        <f>'Données projet'!D120</f>
        <v>28</v>
      </c>
      <c r="C122" s="191"/>
      <c r="D122" s="179">
        <f t="shared" si="8"/>
        <v>0</v>
      </c>
      <c r="E122" s="193"/>
      <c r="F122" s="231"/>
      <c r="G122" s="205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2">
      <c r="A123" s="180">
        <f>'Données projet'!A121</f>
        <v>55</v>
      </c>
      <c r="B123" s="181">
        <f>'Données projet'!D121</f>
        <v>28</v>
      </c>
      <c r="C123" s="191"/>
      <c r="D123" s="179">
        <f t="shared" si="8"/>
        <v>0</v>
      </c>
      <c r="E123" s="193"/>
      <c r="F123" s="231"/>
      <c r="G123" s="205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2">
      <c r="A124" s="180">
        <f>'Données projet'!A122</f>
        <v>60</v>
      </c>
      <c r="B124" s="181">
        <f>'Données projet'!D122</f>
        <v>28</v>
      </c>
      <c r="C124" s="191"/>
      <c r="D124" s="179">
        <f t="shared" si="8"/>
        <v>0</v>
      </c>
      <c r="E124" s="193"/>
      <c r="F124" s="231"/>
      <c r="G124" s="205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2">
      <c r="A125" s="180">
        <f>'Données projet'!A123</f>
        <v>65</v>
      </c>
      <c r="B125" s="181">
        <f>'Données projet'!D123</f>
        <v>28</v>
      </c>
      <c r="C125" s="191"/>
      <c r="D125" s="179">
        <f t="shared" si="8"/>
        <v>0</v>
      </c>
      <c r="E125" s="193"/>
      <c r="F125" s="231"/>
      <c r="G125" s="205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2">
      <c r="A126" s="180">
        <f>'Données projet'!A124</f>
        <v>70</v>
      </c>
      <c r="B126" s="181">
        <f>'Données projet'!D124</f>
        <v>28</v>
      </c>
      <c r="C126" s="191"/>
      <c r="D126" s="179">
        <f t="shared" si="8"/>
        <v>0</v>
      </c>
      <c r="E126" s="193"/>
      <c r="F126" s="231"/>
      <c r="G126" s="205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2">
      <c r="A127" s="180">
        <f>'Données projet'!A125</f>
        <v>75</v>
      </c>
      <c r="B127" s="181">
        <f>'Données projet'!D125</f>
        <v>28</v>
      </c>
      <c r="C127" s="191"/>
      <c r="D127" s="179">
        <f t="shared" si="8"/>
        <v>0</v>
      </c>
      <c r="E127" s="193"/>
      <c r="F127" s="231"/>
      <c r="G127" s="205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2">
      <c r="A128" s="180">
        <f>'Données projet'!A126</f>
        <v>80</v>
      </c>
      <c r="B128" s="181">
        <f>'Données projet'!D126</f>
        <v>28</v>
      </c>
      <c r="C128" s="191"/>
      <c r="D128" s="179">
        <f t="shared" si="8"/>
        <v>0</v>
      </c>
      <c r="E128" s="193"/>
      <c r="F128" s="231"/>
      <c r="G128" s="205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2">
      <c r="A129" s="180">
        <f>'Données projet'!A127</f>
        <v>90</v>
      </c>
      <c r="B129" s="181">
        <f>'Données projet'!D127</f>
        <v>56</v>
      </c>
      <c r="C129" s="191"/>
      <c r="D129" s="179">
        <f t="shared" si="8"/>
        <v>0</v>
      </c>
      <c r="E129" s="193"/>
      <c r="F129" s="231"/>
      <c r="G129" s="205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2">
      <c r="A130" s="180">
        <f>'Données projet'!A128</f>
        <v>100</v>
      </c>
      <c r="B130" s="181">
        <f>'Données projet'!D128</f>
        <v>56</v>
      </c>
      <c r="C130" s="191"/>
      <c r="D130" s="179">
        <f t="shared" si="8"/>
        <v>0</v>
      </c>
      <c r="E130" s="193"/>
      <c r="F130" s="231"/>
      <c r="G130" s="205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2">
      <c r="A131" s="180">
        <f>'Données projet'!A129</f>
        <v>110</v>
      </c>
      <c r="B131" s="181">
        <f>'Données projet'!D129</f>
        <v>51</v>
      </c>
      <c r="C131" s="191"/>
      <c r="D131" s="179">
        <f t="shared" si="8"/>
        <v>0</v>
      </c>
      <c r="E131" s="193"/>
      <c r="F131" s="231"/>
      <c r="G131" s="205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2">
      <c r="A132" s="180">
        <f>'Données projet'!A130</f>
        <v>120</v>
      </c>
      <c r="B132" s="181">
        <f>'Données projet'!D130</f>
        <v>47</v>
      </c>
      <c r="C132" s="191"/>
      <c r="D132" s="179">
        <f t="shared" si="8"/>
        <v>0</v>
      </c>
      <c r="E132" s="193"/>
      <c r="F132" s="231"/>
      <c r="G132" s="205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2">
      <c r="A133" s="180">
        <f>'Données projet'!A131</f>
        <v>130</v>
      </c>
      <c r="B133" s="181">
        <f>'Données projet'!D131</f>
        <v>44</v>
      </c>
      <c r="C133" s="191"/>
      <c r="D133" s="179">
        <f t="shared" si="8"/>
        <v>0</v>
      </c>
      <c r="E133" s="193"/>
      <c r="F133" s="231"/>
      <c r="G133" s="205"/>
      <c r="H133" s="190"/>
      <c r="I133" s="191"/>
      <c r="J133" s="4"/>
      <c r="K133" s="173"/>
      <c r="Q133" s="23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2">
      <c r="A134" s="180">
        <f>'Données projet'!A132</f>
        <v>140</v>
      </c>
      <c r="B134" s="181">
        <f>'Données projet'!D132</f>
        <v>41</v>
      </c>
      <c r="C134" s="191"/>
      <c r="D134" s="179">
        <f t="shared" si="8"/>
        <v>0</v>
      </c>
      <c r="E134" s="193"/>
      <c r="F134" s="231"/>
      <c r="G134" s="205"/>
      <c r="H134" s="190"/>
      <c r="I134" s="191"/>
      <c r="J134" s="4"/>
      <c r="K134" s="173"/>
      <c r="Q134" s="23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2">
      <c r="A135" s="180">
        <f>'Données projet'!A133</f>
        <v>150</v>
      </c>
      <c r="B135" s="181">
        <f>'Données projet'!D133</f>
        <v>335</v>
      </c>
      <c r="C135" s="191"/>
      <c r="D135" s="179">
        <f t="shared" si="8"/>
        <v>0</v>
      </c>
      <c r="E135" s="193"/>
      <c r="F135" s="231"/>
      <c r="G135" s="205"/>
      <c r="H135" s="190"/>
      <c r="I135" s="191"/>
      <c r="J135" s="4"/>
      <c r="K135" s="173"/>
      <c r="Q135" s="23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2">
      <c r="A136" s="4"/>
      <c r="B136" s="4"/>
      <c r="C136" s="4"/>
      <c r="D136" s="4"/>
      <c r="E136" s="4"/>
      <c r="F136" s="229"/>
      <c r="G136" s="205"/>
      <c r="H136" s="190"/>
      <c r="I136" s="191"/>
      <c r="J136" s="4"/>
      <c r="K136" s="173"/>
      <c r="L136" s="4"/>
      <c r="M136" s="4"/>
      <c r="N136" s="4"/>
      <c r="Q136" s="23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2">
      <c r="A137" s="4"/>
      <c r="B137" s="4"/>
      <c r="C137" s="4"/>
      <c r="D137" s="4"/>
      <c r="E137" s="4"/>
      <c r="F137" s="229"/>
      <c r="G137" s="205"/>
      <c r="H137" s="190"/>
      <c r="I137" s="191"/>
      <c r="J137" s="4"/>
      <c r="K137" s="173"/>
      <c r="L137" s="4"/>
      <c r="M137" s="4"/>
      <c r="N137" s="4"/>
      <c r="Q137" s="23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2">
      <c r="A138" s="46" t="s">
        <v>169</v>
      </c>
      <c r="B138" s="174" t="str">
        <f>IF('Données projet'!B13="","",'Données projet'!B13)</f>
        <v>Chêne pubescent</v>
      </c>
      <c r="C138" s="4"/>
      <c r="D138" s="4"/>
      <c r="E138" s="4"/>
      <c r="F138" s="229"/>
      <c r="G138" s="205"/>
      <c r="H138" s="190"/>
      <c r="I138" s="191"/>
      <c r="J138" s="4"/>
      <c r="K138" s="173"/>
      <c r="L138" s="4"/>
      <c r="M138" s="4"/>
      <c r="N138" s="4"/>
      <c r="Q138" s="23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2">
      <c r="A139" s="4"/>
      <c r="B139" s="4"/>
      <c r="C139" s="4"/>
      <c r="D139" s="4"/>
      <c r="E139" s="4"/>
      <c r="F139" s="229"/>
      <c r="G139" s="205"/>
      <c r="H139" s="190"/>
      <c r="I139" s="191"/>
      <c r="J139" s="4"/>
      <c r="K139" s="173"/>
      <c r="L139" s="4"/>
      <c r="M139" s="4"/>
      <c r="N139" s="4"/>
      <c r="Q139" s="23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ht="16" x14ac:dyDescent="0.2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0"/>
      <c r="G140" s="205"/>
      <c r="H140" s="190"/>
      <c r="I140" s="191"/>
      <c r="J140" s="4"/>
      <c r="K140" s="173"/>
      <c r="L140" s="4"/>
      <c r="M140" s="4"/>
      <c r="N140" s="4"/>
      <c r="Q140" s="23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ht="16" x14ac:dyDescent="0.2">
      <c r="A141" s="49">
        <v>0</v>
      </c>
      <c r="B141" s="198" t="s">
        <v>132</v>
      </c>
      <c r="C141" s="197" t="s">
        <v>132</v>
      </c>
      <c r="D141" s="196" t="s">
        <v>132</v>
      </c>
      <c r="E141" s="193"/>
      <c r="F141" s="230"/>
      <c r="G141" s="205"/>
      <c r="H141" s="190"/>
      <c r="I141" s="191"/>
      <c r="J141" s="4"/>
      <c r="K141" s="173"/>
      <c r="L141" s="4"/>
      <c r="M141" s="4"/>
      <c r="N141" s="4"/>
      <c r="Q141" s="23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ht="16" x14ac:dyDescent="0.2">
      <c r="A142" s="49">
        <v>1</v>
      </c>
      <c r="B142" s="198" t="s">
        <v>132</v>
      </c>
      <c r="C142" s="197"/>
      <c r="D142" s="196" t="s">
        <v>132</v>
      </c>
      <c r="E142" s="193"/>
      <c r="F142" s="230"/>
      <c r="G142" s="23"/>
      <c r="H142" s="190"/>
      <c r="I142" s="191"/>
      <c r="J142" s="4"/>
      <c r="K142" s="173"/>
      <c r="L142" s="4"/>
      <c r="M142" s="4"/>
      <c r="N142" s="4"/>
      <c r="Q142" s="23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ht="16" x14ac:dyDescent="0.2">
      <c r="A143" s="49">
        <v>2</v>
      </c>
      <c r="B143" s="198" t="s">
        <v>132</v>
      </c>
      <c r="C143" s="197"/>
      <c r="D143" s="196" t="s">
        <v>132</v>
      </c>
      <c r="E143" s="193"/>
      <c r="F143" s="230"/>
      <c r="G143" s="23"/>
      <c r="H143" s="190"/>
      <c r="I143" s="191"/>
      <c r="J143" s="4"/>
      <c r="K143" s="173"/>
      <c r="L143" s="4"/>
      <c r="M143" s="4"/>
      <c r="N143" s="4"/>
      <c r="Q143" s="23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ht="16" x14ac:dyDescent="0.2">
      <c r="A144" s="49">
        <v>3</v>
      </c>
      <c r="B144" s="198" t="s">
        <v>132</v>
      </c>
      <c r="C144" s="197"/>
      <c r="D144" s="196" t="s">
        <v>132</v>
      </c>
      <c r="E144" s="193"/>
      <c r="F144" s="230"/>
      <c r="G144" s="23"/>
      <c r="H144" s="190"/>
      <c r="I144" s="191"/>
      <c r="J144" s="4"/>
      <c r="K144" s="173"/>
      <c r="L144" s="4"/>
      <c r="M144" s="4"/>
      <c r="N144" s="4"/>
      <c r="Q144" s="23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ht="16" x14ac:dyDescent="0.2">
      <c r="A145" s="49">
        <v>4</v>
      </c>
      <c r="B145" s="198" t="s">
        <v>132</v>
      </c>
      <c r="C145" s="197"/>
      <c r="D145" s="196" t="s">
        <v>132</v>
      </c>
      <c r="E145" s="193"/>
      <c r="F145" s="230"/>
      <c r="G145" s="23"/>
      <c r="H145" s="190"/>
      <c r="I145" s="191"/>
      <c r="J145" s="4"/>
      <c r="K145" s="173"/>
      <c r="L145" s="4"/>
      <c r="M145" s="4"/>
      <c r="N145" s="4"/>
      <c r="Q145" s="23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2">
      <c r="A146" s="49">
        <v>5</v>
      </c>
      <c r="B146" s="198" t="s">
        <v>132</v>
      </c>
      <c r="C146" s="197"/>
      <c r="D146" s="196" t="s">
        <v>132</v>
      </c>
      <c r="E146" s="193"/>
      <c r="F146" s="230"/>
      <c r="G146" s="204"/>
      <c r="H146" s="190"/>
      <c r="I146" s="191"/>
      <c r="J146" s="4"/>
      <c r="K146" s="173"/>
      <c r="L146" s="4"/>
      <c r="M146" s="4"/>
      <c r="N146" s="4"/>
      <c r="Q146" s="23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2">
      <c r="A147" s="42">
        <f>'Données projet'!A140</f>
        <v>20</v>
      </c>
      <c r="B147" s="175">
        <f>'Données projet'!D140</f>
        <v>0</v>
      </c>
      <c r="C147" s="191"/>
      <c r="D147" s="182">
        <f>B147*C147</f>
        <v>0</v>
      </c>
      <c r="E147" s="193"/>
      <c r="F147" s="232"/>
      <c r="G147" s="204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2">
      <c r="A148" s="42">
        <f>'Données projet'!A141</f>
        <v>25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2"/>
      <c r="G148" s="204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2">
      <c r="A149" s="42">
        <f>'Données projet'!A142</f>
        <v>30</v>
      </c>
      <c r="B149" s="175">
        <f>'Données projet'!D142</f>
        <v>62</v>
      </c>
      <c r="C149" s="191"/>
      <c r="D149" s="182">
        <f t="shared" si="10"/>
        <v>0</v>
      </c>
      <c r="E149" s="193"/>
      <c r="F149" s="232"/>
      <c r="G149" s="204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2">
      <c r="A150" s="42">
        <f>'Données projet'!A143</f>
        <v>35</v>
      </c>
      <c r="B150" s="175">
        <f>'Données projet'!D143</f>
        <v>28</v>
      </c>
      <c r="C150" s="191"/>
      <c r="D150" s="182">
        <f t="shared" si="10"/>
        <v>0</v>
      </c>
      <c r="E150" s="193"/>
      <c r="F150" s="232"/>
      <c r="G150" s="204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2">
      <c r="A151" s="42">
        <f>'Données projet'!A144</f>
        <v>40</v>
      </c>
      <c r="B151" s="175">
        <f>'Données projet'!D144</f>
        <v>28</v>
      </c>
      <c r="C151" s="191"/>
      <c r="D151" s="182">
        <f t="shared" si="10"/>
        <v>0</v>
      </c>
      <c r="E151" s="193"/>
      <c r="F151" s="232"/>
      <c r="G151" s="204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2">
      <c r="A152" s="42">
        <f>'Données projet'!A145</f>
        <v>45</v>
      </c>
      <c r="B152" s="175">
        <f>'Données projet'!D145</f>
        <v>28</v>
      </c>
      <c r="C152" s="191"/>
      <c r="D152" s="182">
        <f t="shared" si="10"/>
        <v>0</v>
      </c>
      <c r="E152" s="193"/>
      <c r="F152" s="232"/>
      <c r="G152" s="204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2">
      <c r="A153" s="42">
        <f>'Données projet'!A146</f>
        <v>50</v>
      </c>
      <c r="B153" s="175">
        <f>'Données projet'!D146</f>
        <v>28</v>
      </c>
      <c r="C153" s="191"/>
      <c r="D153" s="182">
        <f t="shared" si="10"/>
        <v>0</v>
      </c>
      <c r="E153" s="193"/>
      <c r="F153" s="232"/>
      <c r="G153" s="202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2">
      <c r="A154" s="42">
        <f>'Données projet'!A147</f>
        <v>55</v>
      </c>
      <c r="B154" s="175">
        <f>'Données projet'!D147</f>
        <v>28</v>
      </c>
      <c r="C154" s="191"/>
      <c r="D154" s="182">
        <f t="shared" si="10"/>
        <v>0</v>
      </c>
      <c r="E154" s="193"/>
      <c r="F154" s="232"/>
      <c r="G154" s="202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2">
      <c r="A155" s="42">
        <f>'Données projet'!A148</f>
        <v>60</v>
      </c>
      <c r="B155" s="175">
        <f>'Données projet'!D148</f>
        <v>28</v>
      </c>
      <c r="C155" s="191"/>
      <c r="D155" s="182">
        <f t="shared" si="10"/>
        <v>0</v>
      </c>
      <c r="E155" s="193"/>
      <c r="F155" s="232"/>
      <c r="G155" s="202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2">
      <c r="A156" s="42">
        <f>'Données projet'!A149</f>
        <v>65</v>
      </c>
      <c r="B156" s="175">
        <f>'Données projet'!D149</f>
        <v>28</v>
      </c>
      <c r="C156" s="191"/>
      <c r="D156" s="182">
        <f t="shared" si="10"/>
        <v>0</v>
      </c>
      <c r="E156" s="193"/>
      <c r="F156" s="232"/>
      <c r="G156" s="202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2">
      <c r="A157" s="42">
        <f>'Données projet'!A150</f>
        <v>70</v>
      </c>
      <c r="B157" s="175">
        <f>'Données projet'!D150</f>
        <v>28</v>
      </c>
      <c r="C157" s="191"/>
      <c r="D157" s="182">
        <f t="shared" si="10"/>
        <v>0</v>
      </c>
      <c r="E157" s="193"/>
      <c r="F157" s="232"/>
      <c r="G157" s="202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2">
      <c r="A158" s="42">
        <f>'Données projet'!A151</f>
        <v>75</v>
      </c>
      <c r="B158" s="175">
        <f>'Données projet'!D151</f>
        <v>28</v>
      </c>
      <c r="C158" s="191"/>
      <c r="D158" s="182">
        <f t="shared" si="10"/>
        <v>0</v>
      </c>
      <c r="E158" s="193"/>
      <c r="F158" s="232"/>
      <c r="G158" s="202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2">
      <c r="A159" s="42">
        <f>'Données projet'!A152</f>
        <v>80</v>
      </c>
      <c r="B159" s="175">
        <f>'Données projet'!D152</f>
        <v>28</v>
      </c>
      <c r="C159" s="191"/>
      <c r="D159" s="182">
        <f t="shared" si="10"/>
        <v>0</v>
      </c>
      <c r="E159" s="193"/>
      <c r="F159" s="232"/>
      <c r="G159" s="202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2">
      <c r="A160" s="42">
        <f>'Données projet'!A153</f>
        <v>90</v>
      </c>
      <c r="B160" s="175">
        <f>'Données projet'!D153</f>
        <v>56</v>
      </c>
      <c r="C160" s="191"/>
      <c r="D160" s="182">
        <f t="shared" si="10"/>
        <v>0</v>
      </c>
      <c r="E160" s="193"/>
      <c r="F160" s="232"/>
      <c r="G160" s="202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2">
      <c r="A161" s="42">
        <f>'Données projet'!A154</f>
        <v>100</v>
      </c>
      <c r="B161" s="175">
        <f>'Données projet'!D154</f>
        <v>56</v>
      </c>
      <c r="C161" s="191"/>
      <c r="D161" s="182">
        <f t="shared" si="10"/>
        <v>0</v>
      </c>
      <c r="E161" s="193"/>
      <c r="F161" s="232"/>
      <c r="G161" s="202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2">
      <c r="A162" s="42">
        <f>'Données projet'!A155</f>
        <v>110</v>
      </c>
      <c r="B162" s="175">
        <f>'Données projet'!D155</f>
        <v>51</v>
      </c>
      <c r="C162" s="191"/>
      <c r="D162" s="182">
        <f t="shared" si="10"/>
        <v>0</v>
      </c>
      <c r="E162" s="193"/>
      <c r="F162" s="232"/>
      <c r="G162" s="202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2">
      <c r="A163" s="42">
        <f>'Données projet'!A156</f>
        <v>120</v>
      </c>
      <c r="B163" s="175">
        <f>'Données projet'!D156</f>
        <v>47</v>
      </c>
      <c r="C163" s="191"/>
      <c r="D163" s="182">
        <f t="shared" si="10"/>
        <v>0</v>
      </c>
      <c r="E163" s="193"/>
      <c r="F163" s="232"/>
      <c r="G163" s="202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2">
      <c r="A164" s="42">
        <f>'Données projet'!A157</f>
        <v>130</v>
      </c>
      <c r="B164" s="175">
        <f>'Données projet'!D157</f>
        <v>44</v>
      </c>
      <c r="C164" s="191"/>
      <c r="D164" s="182">
        <f t="shared" si="10"/>
        <v>0</v>
      </c>
      <c r="E164" s="193"/>
      <c r="F164" s="232"/>
      <c r="G164" s="202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2">
      <c r="A165" s="42">
        <f>'Données projet'!A158</f>
        <v>140</v>
      </c>
      <c r="B165" s="175">
        <f>'Données projet'!D158</f>
        <v>41</v>
      </c>
      <c r="C165" s="191"/>
      <c r="D165" s="182">
        <f t="shared" si="10"/>
        <v>0</v>
      </c>
      <c r="E165" s="193"/>
      <c r="F165" s="232"/>
      <c r="G165" s="202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2">
      <c r="A166" s="42">
        <f>'Données projet'!A159</f>
        <v>150</v>
      </c>
      <c r="B166" s="175">
        <f>'Données projet'!D159</f>
        <v>335</v>
      </c>
      <c r="C166" s="191"/>
      <c r="D166" s="182">
        <f t="shared" si="10"/>
        <v>0</v>
      </c>
      <c r="E166" s="193"/>
      <c r="F166" s="232"/>
      <c r="G166" s="202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2">
      <c r="A167" s="4"/>
      <c r="B167" s="4"/>
      <c r="C167" s="4"/>
      <c r="D167" s="4"/>
      <c r="E167" s="4"/>
      <c r="F167" s="229"/>
      <c r="G167" s="202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2">
      <c r="A168" s="4"/>
      <c r="B168" s="4"/>
      <c r="C168" s="4"/>
      <c r="D168" s="4"/>
      <c r="E168" s="4"/>
      <c r="F168" s="229"/>
      <c r="G168" s="202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2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29"/>
      <c r="G169" s="202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2">
      <c r="A170" s="4"/>
      <c r="B170" s="4"/>
      <c r="C170" s="4"/>
      <c r="D170" s="4"/>
      <c r="E170" s="4"/>
      <c r="F170" s="229"/>
      <c r="G170" s="202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ht="16" x14ac:dyDescent="0.2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0"/>
      <c r="G171" s="202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ht="16" x14ac:dyDescent="0.2">
      <c r="A172" s="49">
        <v>0</v>
      </c>
      <c r="B172" s="198" t="s">
        <v>132</v>
      </c>
      <c r="C172" s="197" t="s">
        <v>132</v>
      </c>
      <c r="D172" s="196" t="s">
        <v>132</v>
      </c>
      <c r="E172" s="193"/>
      <c r="F172" s="230"/>
      <c r="G172" s="202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ht="16" x14ac:dyDescent="0.2">
      <c r="A173" s="49">
        <v>1</v>
      </c>
      <c r="B173" s="198" t="s">
        <v>132</v>
      </c>
      <c r="C173" s="197" t="s">
        <v>132</v>
      </c>
      <c r="D173" s="196" t="s">
        <v>132</v>
      </c>
      <c r="E173" s="193"/>
      <c r="F173" s="230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ht="16" x14ac:dyDescent="0.2">
      <c r="A174" s="49">
        <v>2</v>
      </c>
      <c r="B174" s="198" t="s">
        <v>132</v>
      </c>
      <c r="C174" s="197" t="s">
        <v>132</v>
      </c>
      <c r="D174" s="196" t="s">
        <v>132</v>
      </c>
      <c r="E174" s="193"/>
      <c r="F174" s="230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ht="16" x14ac:dyDescent="0.2">
      <c r="A175" s="49">
        <v>3</v>
      </c>
      <c r="B175" s="198" t="s">
        <v>132</v>
      </c>
      <c r="C175" s="197" t="s">
        <v>132</v>
      </c>
      <c r="D175" s="196" t="s">
        <v>132</v>
      </c>
      <c r="E175" s="193"/>
      <c r="F175" s="230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ht="16" x14ac:dyDescent="0.2">
      <c r="A176" s="49">
        <v>4</v>
      </c>
      <c r="B176" s="198" t="s">
        <v>132</v>
      </c>
      <c r="C176" s="197" t="s">
        <v>132</v>
      </c>
      <c r="D176" s="196" t="s">
        <v>132</v>
      </c>
      <c r="E176" s="193"/>
      <c r="F176" s="230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2">
      <c r="A177" s="49">
        <v>5</v>
      </c>
      <c r="B177" s="198" t="s">
        <v>132</v>
      </c>
      <c r="C177" s="197" t="s">
        <v>132</v>
      </c>
      <c r="D177" s="196" t="s">
        <v>132</v>
      </c>
      <c r="E177" s="193"/>
      <c r="F177" s="230"/>
      <c r="G177" s="204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2">
      <c r="A178" s="180">
        <f>'Données projet'!A166</f>
        <v>0</v>
      </c>
      <c r="B178" s="181">
        <f>'Données projet'!D166</f>
        <v>0</v>
      </c>
      <c r="C178" s="193">
        <f>300*'Données projet'!E166+13.8*('Données projet'!F166+'Données projet'!G168)+10*'Données projet'!H166</f>
        <v>0</v>
      </c>
      <c r="D178" s="179">
        <f>B178*C178</f>
        <v>0</v>
      </c>
      <c r="E178" s="193"/>
      <c r="F178" s="231"/>
      <c r="G178" s="204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2">
      <c r="A179" s="180">
        <f>'Données projet'!A167</f>
        <v>0</v>
      </c>
      <c r="B179" s="181">
        <f>'Données projet'!D167</f>
        <v>0</v>
      </c>
      <c r="C179" s="193">
        <f>300*'Données projet'!E167+13.8*('Données projet'!F167+'Données projet'!G169)+10*'Données projet'!H167</f>
        <v>0</v>
      </c>
      <c r="D179" s="179">
        <f t="shared" ref="D179:D197" si="11">B179*C179</f>
        <v>0</v>
      </c>
      <c r="E179" s="193"/>
      <c r="F179" s="231"/>
      <c r="G179" s="204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2">
      <c r="A180" s="180">
        <f>'Données projet'!A168</f>
        <v>0</v>
      </c>
      <c r="B180" s="181">
        <f>'Données projet'!D168</f>
        <v>0</v>
      </c>
      <c r="C180" s="193">
        <f>300*'Données projet'!E168+13.8*('Données projet'!F168+'Données projet'!G170)+10*'Données projet'!H168</f>
        <v>0</v>
      </c>
      <c r="D180" s="179">
        <f t="shared" si="11"/>
        <v>0</v>
      </c>
      <c r="E180" s="193"/>
      <c r="F180" s="231"/>
      <c r="G180" s="204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2">
      <c r="A181" s="180">
        <f>'Données projet'!A169</f>
        <v>0</v>
      </c>
      <c r="B181" s="181">
        <f>'Données projet'!D169</f>
        <v>0</v>
      </c>
      <c r="C181" s="193">
        <f>300*'Données projet'!E169+13.8*('Données projet'!F169+'Données projet'!G171)+10*'Données projet'!H169</f>
        <v>0</v>
      </c>
      <c r="D181" s="179">
        <f t="shared" si="11"/>
        <v>0</v>
      </c>
      <c r="E181" s="193"/>
      <c r="F181" s="231"/>
      <c r="G181" s="204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2">
      <c r="A182" s="180">
        <f>'Données projet'!A170</f>
        <v>0</v>
      </c>
      <c r="B182" s="181">
        <f>'Données projet'!D170</f>
        <v>0</v>
      </c>
      <c r="C182" s="193">
        <f>300*'Données projet'!E170+13.8*('Données projet'!F170+'Données projet'!G172)+10*'Données projet'!H170</f>
        <v>0</v>
      </c>
      <c r="D182" s="179">
        <f t="shared" si="11"/>
        <v>0</v>
      </c>
      <c r="E182" s="193"/>
      <c r="F182" s="231"/>
      <c r="G182" s="204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2">
      <c r="A183" s="180">
        <f>'Données projet'!A171</f>
        <v>0</v>
      </c>
      <c r="B183" s="181">
        <f>'Données projet'!D171</f>
        <v>0</v>
      </c>
      <c r="C183" s="193">
        <f>300*'Données projet'!E171+13.8*('Données projet'!F171+'Données projet'!G173)+10*'Données projet'!H171</f>
        <v>0</v>
      </c>
      <c r="D183" s="179">
        <f t="shared" si="11"/>
        <v>0</v>
      </c>
      <c r="E183" s="193"/>
      <c r="F183" s="231"/>
      <c r="G183" s="204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2">
      <c r="A184" s="180">
        <f>'Données projet'!A172</f>
        <v>0</v>
      </c>
      <c r="B184" s="181">
        <f>'Données projet'!D172</f>
        <v>0</v>
      </c>
      <c r="C184" s="193">
        <f>300*'Données projet'!E172+13.8*('Données projet'!F172+'Données projet'!G174)+10*'Données projet'!H172</f>
        <v>0</v>
      </c>
      <c r="D184" s="179">
        <f t="shared" si="11"/>
        <v>0</v>
      </c>
      <c r="E184" s="193"/>
      <c r="F184" s="231"/>
      <c r="G184" s="205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2">
      <c r="A185" s="180">
        <f>'Données projet'!A173</f>
        <v>0</v>
      </c>
      <c r="B185" s="181">
        <f>'Données projet'!D173</f>
        <v>0</v>
      </c>
      <c r="C185" s="193">
        <f>300*'Données projet'!E173+13.8*('Données projet'!F173+'Données projet'!G175)+10*'Données projet'!H173</f>
        <v>0</v>
      </c>
      <c r="D185" s="179">
        <f t="shared" si="11"/>
        <v>0</v>
      </c>
      <c r="E185" s="193"/>
      <c r="F185" s="231"/>
      <c r="G185" s="205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2">
      <c r="A186" s="180">
        <f>'Données projet'!A174</f>
        <v>0</v>
      </c>
      <c r="B186" s="181">
        <f>'Données projet'!D174</f>
        <v>0</v>
      </c>
      <c r="C186" s="193">
        <f>300*'Données projet'!E174+13.8*('Données projet'!F174+'Données projet'!G176)+10*'Données projet'!H174</f>
        <v>0</v>
      </c>
      <c r="D186" s="179">
        <f t="shared" si="11"/>
        <v>0</v>
      </c>
      <c r="E186" s="193"/>
      <c r="F186" s="231"/>
      <c r="G186" s="205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2">
      <c r="A187" s="180">
        <f>'Données projet'!A175</f>
        <v>0</v>
      </c>
      <c r="B187" s="181">
        <f>'Données projet'!D175</f>
        <v>0</v>
      </c>
      <c r="C187" s="193">
        <f>300*'Données projet'!E175+13.8*('Données projet'!F175+'Données projet'!G177)+10*'Données projet'!H175</f>
        <v>0</v>
      </c>
      <c r="D187" s="179">
        <f t="shared" si="11"/>
        <v>0</v>
      </c>
      <c r="E187" s="193"/>
      <c r="F187" s="231"/>
      <c r="G187" s="205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2">
      <c r="A188" s="180">
        <f>'Données projet'!A176</f>
        <v>0</v>
      </c>
      <c r="B188" s="181">
        <f>'Données projet'!D176</f>
        <v>0</v>
      </c>
      <c r="C188" s="193">
        <f>300*'Données projet'!E176+13.8*('Données projet'!F176+'Données projet'!G178)+10*'Données projet'!H176</f>
        <v>0</v>
      </c>
      <c r="D188" s="179">
        <f t="shared" si="11"/>
        <v>0</v>
      </c>
      <c r="E188" s="193"/>
      <c r="F188" s="231"/>
      <c r="G188" s="205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2">
      <c r="A189" s="180">
        <f>'Données projet'!A177</f>
        <v>0</v>
      </c>
      <c r="B189" s="181">
        <f>'Données projet'!D177</f>
        <v>0</v>
      </c>
      <c r="C189" s="193">
        <f>300*'Données projet'!E177+13.8*('Données projet'!F177+'Données projet'!G179)+10*'Données projet'!H177</f>
        <v>0</v>
      </c>
      <c r="D189" s="179">
        <f t="shared" si="11"/>
        <v>0</v>
      </c>
      <c r="E189" s="193"/>
      <c r="F189" s="231"/>
      <c r="G189" s="205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2">
      <c r="A190" s="180">
        <f>'Données projet'!A178</f>
        <v>0</v>
      </c>
      <c r="B190" s="181">
        <f>'Données projet'!D178</f>
        <v>0</v>
      </c>
      <c r="C190" s="193">
        <f>300*'Données projet'!E178+13.8*('Données projet'!F178+'Données projet'!G180)+10*'Données projet'!H178</f>
        <v>0</v>
      </c>
      <c r="D190" s="179">
        <f t="shared" si="11"/>
        <v>0</v>
      </c>
      <c r="E190" s="193"/>
      <c r="F190" s="231"/>
      <c r="G190" s="205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2">
      <c r="A191" s="180">
        <f>'Données projet'!A179</f>
        <v>0</v>
      </c>
      <c r="B191" s="181">
        <f>'Données projet'!D179</f>
        <v>0</v>
      </c>
      <c r="C191" s="193">
        <f>300*'Données projet'!E179+13.8*('Données projet'!F179+'Données projet'!G181)+10*'Données projet'!H179</f>
        <v>0</v>
      </c>
      <c r="D191" s="179">
        <f t="shared" si="11"/>
        <v>0</v>
      </c>
      <c r="E191" s="193"/>
      <c r="F191" s="231"/>
      <c r="G191" s="205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2">
      <c r="A192" s="180">
        <f>'Données projet'!A180</f>
        <v>0</v>
      </c>
      <c r="B192" s="181">
        <f>'Données projet'!D180</f>
        <v>0</v>
      </c>
      <c r="C192" s="193">
        <f>300*'Données projet'!E180+13.8*('Données projet'!F180+'Données projet'!G182)+10*'Données projet'!H180</f>
        <v>0</v>
      </c>
      <c r="D192" s="179">
        <f t="shared" si="11"/>
        <v>0</v>
      </c>
      <c r="E192" s="193"/>
      <c r="F192" s="231"/>
      <c r="G192" s="205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2">
      <c r="A193" s="180">
        <f>'Données projet'!A181</f>
        <v>0</v>
      </c>
      <c r="B193" s="181">
        <f>'Données projet'!D181</f>
        <v>0</v>
      </c>
      <c r="C193" s="193">
        <f>300*'Données projet'!E181+13.8*('Données projet'!F181+'Données projet'!G183)+10*'Données projet'!H181</f>
        <v>0</v>
      </c>
      <c r="D193" s="179">
        <f t="shared" si="11"/>
        <v>0</v>
      </c>
      <c r="E193" s="193"/>
      <c r="F193" s="231"/>
      <c r="G193" s="205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2">
      <c r="A194" s="180">
        <f>'Données projet'!A182</f>
        <v>0</v>
      </c>
      <c r="B194" s="181">
        <f>'Données projet'!D182</f>
        <v>0</v>
      </c>
      <c r="C194" s="193">
        <f>300*'Données projet'!E182+13.8*('Données projet'!F182+'Données projet'!G184)+10*'Données projet'!H182</f>
        <v>0</v>
      </c>
      <c r="D194" s="179">
        <f t="shared" si="11"/>
        <v>0</v>
      </c>
      <c r="E194" s="193"/>
      <c r="F194" s="231"/>
      <c r="G194" s="205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2">
      <c r="A195" s="180">
        <f>'Données projet'!A183</f>
        <v>0</v>
      </c>
      <c r="B195" s="181">
        <f>'Données projet'!D183</f>
        <v>0</v>
      </c>
      <c r="C195" s="193">
        <f>300*'Données projet'!E183+13.8*('Données projet'!F183+'Données projet'!G185)+10*'Données projet'!H183</f>
        <v>0</v>
      </c>
      <c r="D195" s="179">
        <f t="shared" si="11"/>
        <v>0</v>
      </c>
      <c r="E195" s="193"/>
      <c r="F195" s="231"/>
      <c r="G195" s="205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2">
      <c r="A196" s="180">
        <f>'Données projet'!A184</f>
        <v>0</v>
      </c>
      <c r="B196" s="181">
        <f>'Données projet'!D184</f>
        <v>0</v>
      </c>
      <c r="C196" s="193">
        <f>300*'Données projet'!E184+13.8*('Données projet'!F184+'Données projet'!G186)+10*'Données projet'!H184</f>
        <v>0</v>
      </c>
      <c r="D196" s="179">
        <f t="shared" si="11"/>
        <v>0</v>
      </c>
      <c r="E196" s="193"/>
      <c r="F196" s="231"/>
      <c r="G196" s="205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2">
      <c r="A197" s="180">
        <f>'Données projet'!A185</f>
        <v>0</v>
      </c>
      <c r="B197" s="181">
        <f>'Données projet'!D185</f>
        <v>0</v>
      </c>
      <c r="C197" s="193">
        <f>300*'Données projet'!E185+13.8*('Données projet'!F185+'Données projet'!G187)+10*'Données projet'!H185</f>
        <v>0</v>
      </c>
      <c r="D197" s="179">
        <f t="shared" si="11"/>
        <v>0</v>
      </c>
      <c r="E197" s="193"/>
      <c r="F197" s="231"/>
      <c r="G197" s="205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2">
      <c r="A198" s="4"/>
      <c r="B198" s="4"/>
      <c r="C198" s="4"/>
      <c r="D198" s="4"/>
      <c r="E198" s="4"/>
      <c r="F198" s="229"/>
      <c r="G198" s="205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2">
      <c r="A199" s="4"/>
      <c r="B199" s="4"/>
      <c r="C199" s="4"/>
      <c r="D199" s="4"/>
      <c r="E199" s="4"/>
      <c r="F199" s="229"/>
      <c r="G199" s="205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2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29"/>
      <c r="G200" s="205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2">
      <c r="A201" s="46"/>
      <c r="B201" s="4"/>
      <c r="C201" s="4"/>
      <c r="D201" s="4"/>
      <c r="E201" s="4"/>
      <c r="F201" s="229"/>
      <c r="G201" s="205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ht="16" x14ac:dyDescent="0.2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0"/>
      <c r="G202" s="205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ht="16" x14ac:dyDescent="0.2">
      <c r="A203" s="49">
        <v>0</v>
      </c>
      <c r="B203" s="198" t="s">
        <v>132</v>
      </c>
      <c r="C203" s="197" t="s">
        <v>132</v>
      </c>
      <c r="D203" s="196" t="s">
        <v>132</v>
      </c>
      <c r="E203" s="193"/>
      <c r="F203" s="230"/>
      <c r="G203" s="205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ht="16" x14ac:dyDescent="0.2">
      <c r="A204" s="49">
        <v>1</v>
      </c>
      <c r="B204" s="198" t="s">
        <v>132</v>
      </c>
      <c r="C204" s="197" t="s">
        <v>132</v>
      </c>
      <c r="D204" s="196" t="s">
        <v>132</v>
      </c>
      <c r="E204" s="193"/>
      <c r="F204" s="230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ht="16" x14ac:dyDescent="0.2">
      <c r="A205" s="49">
        <v>2</v>
      </c>
      <c r="B205" s="198" t="s">
        <v>132</v>
      </c>
      <c r="C205" s="197" t="s">
        <v>132</v>
      </c>
      <c r="D205" s="196" t="s">
        <v>132</v>
      </c>
      <c r="E205" s="193"/>
      <c r="F205" s="230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ht="16" x14ac:dyDescent="0.2">
      <c r="A206" s="49">
        <v>3</v>
      </c>
      <c r="B206" s="198" t="s">
        <v>132</v>
      </c>
      <c r="C206" s="197" t="s">
        <v>132</v>
      </c>
      <c r="D206" s="196" t="s">
        <v>132</v>
      </c>
      <c r="E206" s="193"/>
      <c r="F206" s="230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ht="16" x14ac:dyDescent="0.2">
      <c r="A207" s="49">
        <v>4</v>
      </c>
      <c r="B207" s="198" t="s">
        <v>132</v>
      </c>
      <c r="C207" s="197" t="s">
        <v>132</v>
      </c>
      <c r="D207" s="196" t="s">
        <v>132</v>
      </c>
      <c r="E207" s="193"/>
      <c r="F207" s="230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ht="16" x14ac:dyDescent="0.2">
      <c r="A208" s="49">
        <v>5</v>
      </c>
      <c r="B208" s="198" t="s">
        <v>132</v>
      </c>
      <c r="C208" s="197" t="s">
        <v>132</v>
      </c>
      <c r="D208" s="196" t="s">
        <v>132</v>
      </c>
      <c r="E208" s="193"/>
      <c r="F208" s="230"/>
      <c r="G208" s="204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2">
      <c r="A209" s="180">
        <f>'Données projet'!A192</f>
        <v>0</v>
      </c>
      <c r="B209" s="181">
        <f>'Données projet'!D192</f>
        <v>0</v>
      </c>
      <c r="C209" s="193">
        <f>150*'Données projet'!E192+13.8*('Données projet'!F192+'Données projet'!G192)+10*'Données projet'!H192</f>
        <v>0</v>
      </c>
      <c r="D209" s="179">
        <f>B209*C209</f>
        <v>0</v>
      </c>
      <c r="E209" s="193"/>
      <c r="F209" s="231"/>
      <c r="G209" s="204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2">
      <c r="A210" s="180">
        <f>'Données projet'!A193</f>
        <v>0</v>
      </c>
      <c r="B210" s="181">
        <f>'Données projet'!D193</f>
        <v>0</v>
      </c>
      <c r="C210" s="193">
        <f>150*'Données projet'!E193+13.8*('Données projet'!F193+'Données projet'!G193)+10*'Données projet'!H193</f>
        <v>0</v>
      </c>
      <c r="D210" s="179">
        <f t="shared" ref="D210:D228" si="12">B210*C210</f>
        <v>0</v>
      </c>
      <c r="E210" s="193"/>
      <c r="F210" s="231"/>
      <c r="G210" s="204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2">
      <c r="A211" s="180">
        <f>'Données projet'!A194</f>
        <v>0</v>
      </c>
      <c r="B211" s="181">
        <f>'Données projet'!D194</f>
        <v>0</v>
      </c>
      <c r="C211" s="193">
        <f>150*'Données projet'!E194+13.8*('Données projet'!F194+'Données projet'!G194)+10*'Données projet'!H194</f>
        <v>0</v>
      </c>
      <c r="D211" s="179">
        <f t="shared" si="12"/>
        <v>0</v>
      </c>
      <c r="E211" s="193"/>
      <c r="F211" s="231"/>
      <c r="G211" s="204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2">
      <c r="A212" s="180">
        <f>'Données projet'!A195</f>
        <v>0</v>
      </c>
      <c r="B212" s="181">
        <f>'Données projet'!D195</f>
        <v>0</v>
      </c>
      <c r="C212" s="193">
        <f>150*'Données projet'!E195+13.8*('Données projet'!F195+'Données projet'!G195)+10*'Données projet'!H195</f>
        <v>0</v>
      </c>
      <c r="D212" s="179">
        <f t="shared" si="12"/>
        <v>0</v>
      </c>
      <c r="E212" s="193"/>
      <c r="F212" s="231"/>
      <c r="G212" s="204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2">
      <c r="A213" s="180">
        <f>'Données projet'!A196</f>
        <v>0</v>
      </c>
      <c r="B213" s="181">
        <f>'Données projet'!D196</f>
        <v>0</v>
      </c>
      <c r="C213" s="193">
        <f>150*'Données projet'!E196+13.8*('Données projet'!F196+'Données projet'!G196)+10*'Données projet'!H196</f>
        <v>0</v>
      </c>
      <c r="D213" s="179">
        <f t="shared" si="12"/>
        <v>0</v>
      </c>
      <c r="E213" s="193"/>
      <c r="F213" s="231"/>
      <c r="G213" s="204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2">
      <c r="A214" s="180">
        <f>'Données projet'!A197</f>
        <v>0</v>
      </c>
      <c r="B214" s="181">
        <f>'Données projet'!D197</f>
        <v>0</v>
      </c>
      <c r="C214" s="193">
        <f>150*'Données projet'!E197+13.8*('Données projet'!F197+'Données projet'!G197)+10*'Données projet'!H197</f>
        <v>0</v>
      </c>
      <c r="D214" s="179">
        <f t="shared" si="12"/>
        <v>0</v>
      </c>
      <c r="E214" s="193"/>
      <c r="F214" s="231"/>
      <c r="G214" s="204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2">
      <c r="A215" s="180">
        <f>'Données projet'!A198</f>
        <v>0</v>
      </c>
      <c r="B215" s="181">
        <f>'Données projet'!D198</f>
        <v>0</v>
      </c>
      <c r="C215" s="193">
        <f>150*'Données projet'!E198+13.8*('Données projet'!F198+'Données projet'!G198)+10*'Données projet'!H198</f>
        <v>0</v>
      </c>
      <c r="D215" s="179">
        <f t="shared" si="12"/>
        <v>0</v>
      </c>
      <c r="E215" s="193"/>
      <c r="F215" s="231"/>
      <c r="G215" s="205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2">
      <c r="A216" s="180">
        <f>'Données projet'!A199</f>
        <v>0</v>
      </c>
      <c r="B216" s="181">
        <f>'Données projet'!D199</f>
        <v>0</v>
      </c>
      <c r="C216" s="193">
        <f>150*'Données projet'!E199+13.8*('Données projet'!F199+'Données projet'!G199)+10*'Données projet'!H199</f>
        <v>0</v>
      </c>
      <c r="D216" s="179">
        <f t="shared" si="12"/>
        <v>0</v>
      </c>
      <c r="E216" s="193"/>
      <c r="F216" s="231"/>
      <c r="G216" s="205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2">
      <c r="A217" s="180">
        <f>'Données projet'!A200</f>
        <v>0</v>
      </c>
      <c r="B217" s="181">
        <f>'Données projet'!D200</f>
        <v>0</v>
      </c>
      <c r="C217" s="193">
        <f>150*'Données projet'!E200+13.8*('Données projet'!F200+'Données projet'!G200)+10*'Données projet'!H200</f>
        <v>0</v>
      </c>
      <c r="D217" s="179">
        <f t="shared" si="12"/>
        <v>0</v>
      </c>
      <c r="E217" s="193"/>
      <c r="F217" s="231"/>
      <c r="G217" s="205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2">
      <c r="A218" s="180">
        <f>'Données projet'!A201</f>
        <v>0</v>
      </c>
      <c r="B218" s="181">
        <f>'Données projet'!D201</f>
        <v>0</v>
      </c>
      <c r="C218" s="193">
        <f>150*'Données projet'!E201+13.8*('Données projet'!F201+'Données projet'!G201)+10*'Données projet'!H201</f>
        <v>0</v>
      </c>
      <c r="D218" s="179">
        <f t="shared" si="12"/>
        <v>0</v>
      </c>
      <c r="E218" s="193"/>
      <c r="F218" s="231"/>
      <c r="G218" s="205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2">
      <c r="A219" s="180">
        <f>'Données projet'!A202</f>
        <v>0</v>
      </c>
      <c r="B219" s="181">
        <f>'Données projet'!D202</f>
        <v>0</v>
      </c>
      <c r="C219" s="193">
        <f>150*'Données projet'!E202+13.8*('Données projet'!F202+'Données projet'!G202)+10*'Données projet'!H202</f>
        <v>0</v>
      </c>
      <c r="D219" s="179">
        <f t="shared" si="12"/>
        <v>0</v>
      </c>
      <c r="E219" s="193"/>
      <c r="F219" s="231"/>
      <c r="G219" s="205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2">
      <c r="A220" s="180">
        <f>'Données projet'!A203</f>
        <v>0</v>
      </c>
      <c r="B220" s="181">
        <f>'Données projet'!D203</f>
        <v>0</v>
      </c>
      <c r="C220" s="193">
        <f>150*'Données projet'!E203+13.8*('Données projet'!F203+'Données projet'!G203)+10*'Données projet'!H203</f>
        <v>0</v>
      </c>
      <c r="D220" s="179">
        <f t="shared" si="12"/>
        <v>0</v>
      </c>
      <c r="E220" s="193"/>
      <c r="F220" s="231"/>
      <c r="G220" s="205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2">
      <c r="A221" s="180">
        <f>'Données projet'!A204</f>
        <v>0</v>
      </c>
      <c r="B221" s="181">
        <f>'Données projet'!D204</f>
        <v>0</v>
      </c>
      <c r="C221" s="193">
        <f>150*'Données projet'!E204+13.8*('Données projet'!F204+'Données projet'!G204)+10*'Données projet'!H204</f>
        <v>0</v>
      </c>
      <c r="D221" s="179">
        <f t="shared" si="12"/>
        <v>0</v>
      </c>
      <c r="E221" s="193"/>
      <c r="F221" s="231"/>
      <c r="G221" s="205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2">
      <c r="A222" s="180">
        <f>'Données projet'!A205</f>
        <v>0</v>
      </c>
      <c r="B222" s="181">
        <f>'Données projet'!D205</f>
        <v>0</v>
      </c>
      <c r="C222" s="193">
        <f>150*'Données projet'!E205+13.8*('Données projet'!F205+'Données projet'!G205)+10*'Données projet'!H205</f>
        <v>0</v>
      </c>
      <c r="D222" s="179">
        <f t="shared" si="12"/>
        <v>0</v>
      </c>
      <c r="E222" s="193"/>
      <c r="F222" s="231"/>
      <c r="G222" s="205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2">
      <c r="A223" s="180">
        <f>'Données projet'!A206</f>
        <v>0</v>
      </c>
      <c r="B223" s="181">
        <f>'Données projet'!D206</f>
        <v>0</v>
      </c>
      <c r="C223" s="193">
        <f>150*'Données projet'!E206+13.8*('Données projet'!F206+'Données projet'!G206)+10*'Données projet'!H206</f>
        <v>0</v>
      </c>
      <c r="D223" s="179">
        <f t="shared" si="12"/>
        <v>0</v>
      </c>
      <c r="E223" s="193"/>
      <c r="F223" s="231"/>
      <c r="G223" s="205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2">
      <c r="A224" s="180">
        <f>'Données projet'!A207</f>
        <v>0</v>
      </c>
      <c r="B224" s="181">
        <f>'Données projet'!D207</f>
        <v>0</v>
      </c>
      <c r="C224" s="193">
        <f>150*'Données projet'!E207+13.8*('Données projet'!F207+'Données projet'!G207)+10*'Données projet'!H207</f>
        <v>0</v>
      </c>
      <c r="D224" s="179">
        <f t="shared" si="12"/>
        <v>0</v>
      </c>
      <c r="E224" s="193"/>
      <c r="F224" s="231"/>
      <c r="G224" s="205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2">
      <c r="A225" s="180">
        <f>'Données projet'!A208</f>
        <v>0</v>
      </c>
      <c r="B225" s="181">
        <f>'Données projet'!D208</f>
        <v>0</v>
      </c>
      <c r="C225" s="193">
        <f>150*'Données projet'!E208+13.8*('Données projet'!F208+'Données projet'!G208)+10*'Données projet'!H208</f>
        <v>0</v>
      </c>
      <c r="D225" s="179">
        <f t="shared" si="12"/>
        <v>0</v>
      </c>
      <c r="E225" s="193"/>
      <c r="F225" s="231"/>
      <c r="G225" s="205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2">
      <c r="A226" s="180">
        <f>'Données projet'!A209</f>
        <v>0</v>
      </c>
      <c r="B226" s="181">
        <f>'Données projet'!D209</f>
        <v>0</v>
      </c>
      <c r="C226" s="193">
        <f>150*'Données projet'!E209+13.8*('Données projet'!F209+'Données projet'!G209)+10*'Données projet'!H209</f>
        <v>0</v>
      </c>
      <c r="D226" s="179">
        <f t="shared" si="12"/>
        <v>0</v>
      </c>
      <c r="E226" s="193"/>
      <c r="F226" s="231"/>
      <c r="G226" s="205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2">
      <c r="A227" s="180">
        <f>'Données projet'!A210</f>
        <v>0</v>
      </c>
      <c r="B227" s="181">
        <f>'Données projet'!D210</f>
        <v>0</v>
      </c>
      <c r="C227" s="193">
        <f>150*'Données projet'!E210+13.8*('Données projet'!F210+'Données projet'!G210)+10*'Données projet'!H210</f>
        <v>0</v>
      </c>
      <c r="D227" s="179">
        <f t="shared" si="12"/>
        <v>0</v>
      </c>
      <c r="E227" s="193"/>
      <c r="F227" s="231"/>
      <c r="G227" s="205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2">
      <c r="A228" s="180">
        <f>'Données projet'!A211</f>
        <v>0</v>
      </c>
      <c r="B228" s="181">
        <f>'Données projet'!D211</f>
        <v>0</v>
      </c>
      <c r="C228" s="193">
        <f>150*'Données projet'!E211+13.8*('Données projet'!F211+'Données projet'!G211)+10*'Données projet'!H211</f>
        <v>0</v>
      </c>
      <c r="D228" s="179">
        <f t="shared" si="12"/>
        <v>0</v>
      </c>
      <c r="E228" s="193"/>
      <c r="F228" s="231"/>
      <c r="G228" s="205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2">
      <c r="A229" s="4"/>
      <c r="B229" s="4"/>
      <c r="C229" s="4"/>
      <c r="D229" s="4"/>
      <c r="E229" s="4"/>
      <c r="F229" s="229"/>
      <c r="G229" s="205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2">
      <c r="A230" s="4"/>
      <c r="B230" s="4"/>
      <c r="C230" s="4"/>
      <c r="D230" s="4"/>
      <c r="E230" s="4"/>
      <c r="F230" s="229"/>
      <c r="G230" s="205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2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29"/>
      <c r="G231" s="205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2">
      <c r="A232" s="46"/>
      <c r="B232" s="4"/>
      <c r="C232" s="4"/>
      <c r="D232" s="4"/>
      <c r="E232" s="4"/>
      <c r="F232" s="229"/>
      <c r="G232" s="205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ht="16" x14ac:dyDescent="0.2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0"/>
      <c r="G233" s="205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ht="16" x14ac:dyDescent="0.2">
      <c r="A234" s="49">
        <v>0</v>
      </c>
      <c r="B234" s="198" t="s">
        <v>132</v>
      </c>
      <c r="C234" s="197" t="s">
        <v>132</v>
      </c>
      <c r="D234" s="196" t="s">
        <v>132</v>
      </c>
      <c r="E234" s="193"/>
      <c r="F234" s="230"/>
      <c r="G234" s="205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ht="16" x14ac:dyDescent="0.2">
      <c r="A235" s="49">
        <v>1</v>
      </c>
      <c r="B235" s="198" t="s">
        <v>132</v>
      </c>
      <c r="C235" s="197" t="s">
        <v>132</v>
      </c>
      <c r="D235" s="196" t="s">
        <v>132</v>
      </c>
      <c r="E235" s="193"/>
      <c r="F235" s="230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ht="16" x14ac:dyDescent="0.2">
      <c r="A236" s="49">
        <v>2</v>
      </c>
      <c r="B236" s="198" t="s">
        <v>132</v>
      </c>
      <c r="C236" s="197" t="s">
        <v>132</v>
      </c>
      <c r="D236" s="196" t="s">
        <v>132</v>
      </c>
      <c r="E236" s="193"/>
      <c r="F236" s="230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ht="16" x14ac:dyDescent="0.2">
      <c r="A237" s="49">
        <v>3</v>
      </c>
      <c r="B237" s="198" t="s">
        <v>132</v>
      </c>
      <c r="C237" s="197" t="s">
        <v>132</v>
      </c>
      <c r="D237" s="196" t="s">
        <v>132</v>
      </c>
      <c r="E237" s="193"/>
      <c r="F237" s="230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ht="16" x14ac:dyDescent="0.2">
      <c r="A238" s="49">
        <v>4</v>
      </c>
      <c r="B238" s="198" t="s">
        <v>132</v>
      </c>
      <c r="C238" s="197" t="s">
        <v>132</v>
      </c>
      <c r="D238" s="196" t="s">
        <v>132</v>
      </c>
      <c r="E238" s="193"/>
      <c r="F238" s="230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ht="16" x14ac:dyDescent="0.2">
      <c r="A239" s="49">
        <v>5</v>
      </c>
      <c r="B239" s="198" t="s">
        <v>132</v>
      </c>
      <c r="C239" s="197" t="s">
        <v>132</v>
      </c>
      <c r="D239" s="196" t="s">
        <v>132</v>
      </c>
      <c r="E239" s="193"/>
      <c r="F239" s="230"/>
      <c r="G239" s="204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2">
      <c r="A240" s="180">
        <f>'Données projet'!A218</f>
        <v>0</v>
      </c>
      <c r="B240" s="181">
        <f>'Données projet'!D218</f>
        <v>0</v>
      </c>
      <c r="C240" s="193">
        <f>60*'Données projet'!E218+13.8*('Données projet'!F218+'Données projet'!G218)+10*'Données projet'!H218</f>
        <v>0</v>
      </c>
      <c r="D240" s="179">
        <f>B240*C240</f>
        <v>0</v>
      </c>
      <c r="E240" s="193"/>
      <c r="F240" s="231"/>
      <c r="G240" s="204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2">
      <c r="A241" s="180">
        <f>'Données projet'!A219</f>
        <v>0</v>
      </c>
      <c r="B241" s="181">
        <f>'Données projet'!D219</f>
        <v>0</v>
      </c>
      <c r="C241" s="193">
        <f>60*'Données projet'!E219+13.8*('Données projet'!F219+'Données projet'!G219)+10*'Données projet'!H219</f>
        <v>0</v>
      </c>
      <c r="D241" s="179">
        <f t="shared" ref="D241:D259" si="13">B241*C241</f>
        <v>0</v>
      </c>
      <c r="E241" s="193"/>
      <c r="F241" s="231"/>
      <c r="G241" s="204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2">
      <c r="A242" s="180">
        <f>'Données projet'!A220</f>
        <v>0</v>
      </c>
      <c r="B242" s="181">
        <f>'Données projet'!D220</f>
        <v>0</v>
      </c>
      <c r="C242" s="193">
        <f>60*'Données projet'!E220+13.8*('Données projet'!F220+'Données projet'!G220)+10*'Données projet'!H220</f>
        <v>0</v>
      </c>
      <c r="D242" s="179">
        <f t="shared" si="13"/>
        <v>0</v>
      </c>
      <c r="E242" s="193"/>
      <c r="F242" s="231"/>
      <c r="G242" s="204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2">
      <c r="A243" s="180">
        <f>'Données projet'!A221</f>
        <v>0</v>
      </c>
      <c r="B243" s="181">
        <f>'Données projet'!D221</f>
        <v>0</v>
      </c>
      <c r="C243" s="193">
        <f>60*'Données projet'!E221+13.8*('Données projet'!F221+'Données projet'!G221)+10*'Données projet'!H221</f>
        <v>0</v>
      </c>
      <c r="D243" s="179">
        <f t="shared" si="13"/>
        <v>0</v>
      </c>
      <c r="E243" s="193"/>
      <c r="F243" s="231"/>
      <c r="G243" s="204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2">
      <c r="A244" s="180">
        <f>'Données projet'!A222</f>
        <v>0</v>
      </c>
      <c r="B244" s="181">
        <f>'Données projet'!D222</f>
        <v>0</v>
      </c>
      <c r="C244" s="193">
        <f>60*'Données projet'!E222+13.8*('Données projet'!F222+'Données projet'!G222)+10*'Données projet'!H222</f>
        <v>0</v>
      </c>
      <c r="D244" s="179">
        <f t="shared" si="13"/>
        <v>0</v>
      </c>
      <c r="E244" s="193"/>
      <c r="F244" s="231"/>
      <c r="G244" s="204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2">
      <c r="A245" s="180">
        <f>'Données projet'!A223</f>
        <v>0</v>
      </c>
      <c r="B245" s="181">
        <f>'Données projet'!D223</f>
        <v>0</v>
      </c>
      <c r="C245" s="193">
        <f>60*'Données projet'!E223+13.8*('Données projet'!F223+'Données projet'!G223)+10*'Données projet'!H223</f>
        <v>0</v>
      </c>
      <c r="D245" s="179">
        <f t="shared" si="13"/>
        <v>0</v>
      </c>
      <c r="E245" s="193"/>
      <c r="F245" s="231"/>
      <c r="G245" s="204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2">
      <c r="A246" s="180">
        <f>'Données projet'!A224</f>
        <v>0</v>
      </c>
      <c r="B246" s="181">
        <f>'Données projet'!D224</f>
        <v>0</v>
      </c>
      <c r="C246" s="193">
        <f>60*'Données projet'!E224+13.8*('Données projet'!F224+'Données projet'!G224)+10*'Données projet'!H224</f>
        <v>0</v>
      </c>
      <c r="D246" s="179">
        <f t="shared" si="13"/>
        <v>0</v>
      </c>
      <c r="E246" s="193"/>
      <c r="F246" s="231"/>
      <c r="G246" s="205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2">
      <c r="A247" s="180">
        <f>'Données projet'!A225</f>
        <v>0</v>
      </c>
      <c r="B247" s="181">
        <f>'Données projet'!D225</f>
        <v>0</v>
      </c>
      <c r="C247" s="193">
        <f>60*'Données projet'!E225+13.8*('Données projet'!F225+'Données projet'!G225)+10*'Données projet'!H225</f>
        <v>0</v>
      </c>
      <c r="D247" s="179">
        <f t="shared" si="13"/>
        <v>0</v>
      </c>
      <c r="E247" s="193"/>
      <c r="F247" s="231"/>
      <c r="G247" s="205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2">
      <c r="A248" s="180">
        <f>'Données projet'!A226</f>
        <v>0</v>
      </c>
      <c r="B248" s="181">
        <f>'Données projet'!D226</f>
        <v>0</v>
      </c>
      <c r="C248" s="193">
        <f>60*'Données projet'!E226+13.8*('Données projet'!F226+'Données projet'!G226)+10*'Données projet'!H226</f>
        <v>0</v>
      </c>
      <c r="D248" s="179">
        <f t="shared" si="13"/>
        <v>0</v>
      </c>
      <c r="E248" s="193"/>
      <c r="F248" s="231"/>
      <c r="G248" s="205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2">
      <c r="A249" s="180">
        <f>'Données projet'!A227</f>
        <v>0</v>
      </c>
      <c r="B249" s="181">
        <f>'Données projet'!D227</f>
        <v>0</v>
      </c>
      <c r="C249" s="193">
        <f>60*'Données projet'!E227+13.8*('Données projet'!F227+'Données projet'!G227)+10*'Données projet'!H227</f>
        <v>0</v>
      </c>
      <c r="D249" s="179">
        <f t="shared" si="13"/>
        <v>0</v>
      </c>
      <c r="E249" s="193"/>
      <c r="F249" s="231"/>
      <c r="G249" s="205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2">
      <c r="A250" s="180">
        <f>'Données projet'!A228</f>
        <v>0</v>
      </c>
      <c r="B250" s="181">
        <f>'Données projet'!D228</f>
        <v>0</v>
      </c>
      <c r="C250" s="193">
        <f>60*'Données projet'!E228+13.8*('Données projet'!F228+'Données projet'!G228)+10*'Données projet'!H228</f>
        <v>0</v>
      </c>
      <c r="D250" s="179">
        <f t="shared" si="13"/>
        <v>0</v>
      </c>
      <c r="E250" s="193"/>
      <c r="F250" s="231"/>
      <c r="G250" s="205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2">
      <c r="A251" s="180">
        <f>'Données projet'!A229</f>
        <v>0</v>
      </c>
      <c r="B251" s="181">
        <f>'Données projet'!D229</f>
        <v>0</v>
      </c>
      <c r="C251" s="193">
        <f>60*'Données projet'!E229+13.8*('Données projet'!F229+'Données projet'!G229)+10*'Données projet'!H229</f>
        <v>0</v>
      </c>
      <c r="D251" s="179">
        <f t="shared" si="13"/>
        <v>0</v>
      </c>
      <c r="E251" s="193"/>
      <c r="F251" s="231"/>
      <c r="G251" s="205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2">
      <c r="A252" s="180">
        <f>'Données projet'!A230</f>
        <v>0</v>
      </c>
      <c r="B252" s="181">
        <f>'Données projet'!D230</f>
        <v>0</v>
      </c>
      <c r="C252" s="193">
        <f>60*'Données projet'!E230+13.8*('Données projet'!F230+'Données projet'!G230)+10*'Données projet'!H230</f>
        <v>0</v>
      </c>
      <c r="D252" s="179">
        <f t="shared" si="13"/>
        <v>0</v>
      </c>
      <c r="E252" s="193"/>
      <c r="F252" s="231"/>
      <c r="G252" s="205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2">
      <c r="A253" s="180">
        <f>'Données projet'!A231</f>
        <v>0</v>
      </c>
      <c r="B253" s="181">
        <f>'Données projet'!D231</f>
        <v>0</v>
      </c>
      <c r="C253" s="193">
        <f>60*'Données projet'!E231+13.8*('Données projet'!F231+'Données projet'!G231)+10*'Données projet'!H231</f>
        <v>0</v>
      </c>
      <c r="D253" s="179">
        <f t="shared" si="13"/>
        <v>0</v>
      </c>
      <c r="E253" s="193"/>
      <c r="F253" s="231"/>
      <c r="G253" s="205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2">
      <c r="A254" s="180">
        <f>'Données projet'!A232</f>
        <v>0</v>
      </c>
      <c r="B254" s="181">
        <f>'Données projet'!D232</f>
        <v>0</v>
      </c>
      <c r="C254" s="193">
        <f>60*'Données projet'!E232+13.8*('Données projet'!F232+'Données projet'!G232)+10*'Données projet'!H232</f>
        <v>0</v>
      </c>
      <c r="D254" s="179">
        <f t="shared" si="13"/>
        <v>0</v>
      </c>
      <c r="E254" s="193"/>
      <c r="F254" s="231"/>
      <c r="G254" s="205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2">
      <c r="A255" s="180">
        <f>'Données projet'!A233</f>
        <v>0</v>
      </c>
      <c r="B255" s="181">
        <f>'Données projet'!D233</f>
        <v>0</v>
      </c>
      <c r="C255" s="193">
        <f>60*'Données projet'!E233+13.8*('Données projet'!F233+'Données projet'!G233)+10*'Données projet'!H233</f>
        <v>0</v>
      </c>
      <c r="D255" s="179">
        <f t="shared" si="13"/>
        <v>0</v>
      </c>
      <c r="E255" s="193"/>
      <c r="F255" s="231"/>
      <c r="G255" s="205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2">
      <c r="A256" s="180">
        <f>'Données projet'!A234</f>
        <v>0</v>
      </c>
      <c r="B256" s="181">
        <f>'Données projet'!D234</f>
        <v>0</v>
      </c>
      <c r="C256" s="193">
        <f>60*'Données projet'!E234+13.8*('Données projet'!F234+'Données projet'!G234)+10*'Données projet'!H234</f>
        <v>0</v>
      </c>
      <c r="D256" s="179">
        <f t="shared" si="13"/>
        <v>0</v>
      </c>
      <c r="E256" s="193"/>
      <c r="F256" s="231"/>
      <c r="G256" s="205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2">
      <c r="A257" s="180">
        <f>'Données projet'!A235</f>
        <v>0</v>
      </c>
      <c r="B257" s="181">
        <f>'Données projet'!D235</f>
        <v>0</v>
      </c>
      <c r="C257" s="193">
        <f>60*'Données projet'!E235+13.8*('Données projet'!F235+'Données projet'!G235)+10*'Données projet'!H235</f>
        <v>0</v>
      </c>
      <c r="D257" s="179">
        <f t="shared" si="13"/>
        <v>0</v>
      </c>
      <c r="E257" s="193"/>
      <c r="F257" s="231"/>
      <c r="G257" s="205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2">
      <c r="A258" s="180">
        <f>'Données projet'!A236</f>
        <v>0</v>
      </c>
      <c r="B258" s="181">
        <f>'Données projet'!D236</f>
        <v>0</v>
      </c>
      <c r="C258" s="193">
        <f>60*'Données projet'!E236+13.8*('Données projet'!F236+'Données projet'!G236)+10*'Données projet'!H236</f>
        <v>0</v>
      </c>
      <c r="D258" s="179">
        <f t="shared" si="13"/>
        <v>0</v>
      </c>
      <c r="E258" s="193"/>
      <c r="F258" s="231"/>
      <c r="G258" s="205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2">
      <c r="A259" s="180">
        <f>'Données projet'!A237</f>
        <v>0</v>
      </c>
      <c r="B259" s="181">
        <f>'Données projet'!D237</f>
        <v>0</v>
      </c>
      <c r="C259" s="193">
        <f>60*'Données projet'!E237+13.8*('Données projet'!F237+'Données projet'!G237)+10*'Données projet'!H237</f>
        <v>0</v>
      </c>
      <c r="D259" s="179">
        <f t="shared" si="13"/>
        <v>0</v>
      </c>
      <c r="E259" s="193"/>
      <c r="F259" s="231"/>
      <c r="G259" s="205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2">
      <c r="A260" s="4"/>
      <c r="B260" s="4"/>
      <c r="C260" s="4"/>
      <c r="D260" s="4"/>
      <c r="E260" s="4"/>
      <c r="F260" s="229"/>
      <c r="G260" s="205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2">
      <c r="A261" s="4"/>
      <c r="B261" s="4"/>
      <c r="C261" s="4"/>
      <c r="D261" s="4"/>
      <c r="E261" s="4"/>
      <c r="F261" s="229"/>
      <c r="G261" s="205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2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29"/>
      <c r="G262" s="205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2">
      <c r="A263" s="46"/>
      <c r="B263" s="4"/>
      <c r="C263" s="4"/>
      <c r="D263" s="4"/>
      <c r="E263" s="4"/>
      <c r="F263" s="229"/>
      <c r="G263" s="205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ht="16" x14ac:dyDescent="0.2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0"/>
      <c r="G264" s="205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ht="16" x14ac:dyDescent="0.2">
      <c r="A265" s="49">
        <v>0</v>
      </c>
      <c r="B265" s="198" t="s">
        <v>132</v>
      </c>
      <c r="C265" s="197" t="s">
        <v>132</v>
      </c>
      <c r="D265" s="196" t="s">
        <v>132</v>
      </c>
      <c r="E265" s="193"/>
      <c r="F265" s="230"/>
      <c r="G265" s="205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ht="16" x14ac:dyDescent="0.2">
      <c r="A266" s="49">
        <v>1</v>
      </c>
      <c r="B266" s="198" t="s">
        <v>132</v>
      </c>
      <c r="C266" s="197" t="s">
        <v>132</v>
      </c>
      <c r="D266" s="196" t="s">
        <v>132</v>
      </c>
      <c r="E266" s="193"/>
      <c r="F266" s="230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ht="16" x14ac:dyDescent="0.2">
      <c r="A267" s="49">
        <v>2</v>
      </c>
      <c r="B267" s="198" t="s">
        <v>132</v>
      </c>
      <c r="C267" s="197" t="s">
        <v>132</v>
      </c>
      <c r="D267" s="196" t="s">
        <v>132</v>
      </c>
      <c r="E267" s="193"/>
      <c r="F267" s="230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ht="16" x14ac:dyDescent="0.2">
      <c r="A268" s="49">
        <v>3</v>
      </c>
      <c r="B268" s="198" t="s">
        <v>132</v>
      </c>
      <c r="C268" s="197" t="s">
        <v>132</v>
      </c>
      <c r="D268" s="196" t="s">
        <v>132</v>
      </c>
      <c r="E268" s="193"/>
      <c r="F268" s="230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ht="16" x14ac:dyDescent="0.2">
      <c r="A269" s="49">
        <v>4</v>
      </c>
      <c r="B269" s="198" t="s">
        <v>132</v>
      </c>
      <c r="C269" s="197" t="s">
        <v>132</v>
      </c>
      <c r="D269" s="196" t="s">
        <v>132</v>
      </c>
      <c r="E269" s="193"/>
      <c r="F269" s="230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ht="16" x14ac:dyDescent="0.2">
      <c r="A270" s="49">
        <v>5</v>
      </c>
      <c r="B270" s="198" t="s">
        <v>132</v>
      </c>
      <c r="C270" s="197" t="s">
        <v>132</v>
      </c>
      <c r="D270" s="196" t="s">
        <v>132</v>
      </c>
      <c r="E270" s="193"/>
      <c r="F270" s="230"/>
      <c r="G270" s="204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2">
      <c r="A271" s="180">
        <f>'Données projet'!A244</f>
        <v>0</v>
      </c>
      <c r="B271" s="181">
        <f>'Données projet'!D244</f>
        <v>0</v>
      </c>
      <c r="C271" s="193">
        <f>60*'Données projet'!E244+13.8*('Données projet'!F244+'Données projet'!G244)+10*'Données projet'!H244</f>
        <v>0</v>
      </c>
      <c r="D271" s="179">
        <f>B271*C271</f>
        <v>0</v>
      </c>
      <c r="E271" s="193"/>
      <c r="F271" s="231"/>
      <c r="G271" s="204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2">
      <c r="A272" s="180">
        <f>'Données projet'!A245</f>
        <v>0</v>
      </c>
      <c r="B272" s="181">
        <f>'Données projet'!D245</f>
        <v>0</v>
      </c>
      <c r="C272" s="193">
        <f>60*'Données projet'!E245+13.8*('Données projet'!F245+'Données projet'!G245)+10*'Données projet'!H245</f>
        <v>0</v>
      </c>
      <c r="D272" s="179">
        <f t="shared" ref="D272:D290" si="14">B272*C272</f>
        <v>0</v>
      </c>
      <c r="E272" s="193"/>
      <c r="F272" s="231"/>
      <c r="G272" s="204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2">
      <c r="A273" s="180">
        <f>'Données projet'!A246</f>
        <v>0</v>
      </c>
      <c r="B273" s="181">
        <f>'Données projet'!D246</f>
        <v>0</v>
      </c>
      <c r="C273" s="193">
        <f>60*'Données projet'!E246+13.8*('Données projet'!F246+'Données projet'!G246)+10*'Données projet'!H246</f>
        <v>0</v>
      </c>
      <c r="D273" s="179">
        <f t="shared" si="14"/>
        <v>0</v>
      </c>
      <c r="E273" s="193"/>
      <c r="F273" s="231"/>
      <c r="G273" s="204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2">
      <c r="A274" s="180">
        <f>'Données projet'!A247</f>
        <v>0</v>
      </c>
      <c r="B274" s="181">
        <f>'Données projet'!D247</f>
        <v>0</v>
      </c>
      <c r="C274" s="193">
        <f>60*'Données projet'!E247+13.8*('Données projet'!F247+'Données projet'!G247)+10*'Données projet'!H247</f>
        <v>0</v>
      </c>
      <c r="D274" s="179">
        <f t="shared" si="14"/>
        <v>0</v>
      </c>
      <c r="E274" s="193"/>
      <c r="F274" s="231"/>
      <c r="G274" s="204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2">
      <c r="A275" s="180">
        <f>'Données projet'!A248</f>
        <v>0</v>
      </c>
      <c r="B275" s="181">
        <f>'Données projet'!D248</f>
        <v>0</v>
      </c>
      <c r="C275" s="193">
        <f>60*'Données projet'!E248+13.8*('Données projet'!F248+'Données projet'!G248)+10*'Données projet'!H248</f>
        <v>0</v>
      </c>
      <c r="D275" s="179">
        <f t="shared" si="14"/>
        <v>0</v>
      </c>
      <c r="E275" s="193"/>
      <c r="F275" s="231"/>
      <c r="G275" s="204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2">
      <c r="A276" s="180">
        <f>'Données projet'!A249</f>
        <v>0</v>
      </c>
      <c r="B276" s="181">
        <f>'Données projet'!D249</f>
        <v>0</v>
      </c>
      <c r="C276" s="193">
        <f>60*'Données projet'!E249+13.8*('Données projet'!F249+'Données projet'!G249)+10*'Données projet'!H249</f>
        <v>0</v>
      </c>
      <c r="D276" s="179">
        <f t="shared" si="14"/>
        <v>0</v>
      </c>
      <c r="E276" s="193"/>
      <c r="F276" s="231"/>
      <c r="G276" s="204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2">
      <c r="A277" s="180">
        <f>'Données projet'!A250</f>
        <v>0</v>
      </c>
      <c r="B277" s="181">
        <f>'Données projet'!D250</f>
        <v>0</v>
      </c>
      <c r="C277" s="193">
        <f>60*'Données projet'!E250+13.8*('Données projet'!F250+'Données projet'!G250)+10*'Données projet'!H250</f>
        <v>0</v>
      </c>
      <c r="D277" s="179">
        <f t="shared" si="14"/>
        <v>0</v>
      </c>
      <c r="E277" s="193"/>
      <c r="F277" s="231"/>
      <c r="G277" s="205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2">
      <c r="A278" s="180">
        <f>'Données projet'!A251</f>
        <v>0</v>
      </c>
      <c r="B278" s="181">
        <f>'Données projet'!D251</f>
        <v>0</v>
      </c>
      <c r="C278" s="193">
        <f>60*'Données projet'!E251+13.8*('Données projet'!F251+'Données projet'!G251)+10*'Données projet'!H251</f>
        <v>0</v>
      </c>
      <c r="D278" s="179">
        <f t="shared" si="14"/>
        <v>0</v>
      </c>
      <c r="E278" s="193"/>
      <c r="F278" s="231"/>
      <c r="G278" s="205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2">
      <c r="A279" s="180">
        <f>'Données projet'!A252</f>
        <v>0</v>
      </c>
      <c r="B279" s="181">
        <f>'Données projet'!D252</f>
        <v>0</v>
      </c>
      <c r="C279" s="193">
        <f>60*'Données projet'!E252+13.8*('Données projet'!F252+'Données projet'!G252)+10*'Données projet'!H252</f>
        <v>0</v>
      </c>
      <c r="D279" s="179">
        <f t="shared" si="14"/>
        <v>0</v>
      </c>
      <c r="E279" s="193"/>
      <c r="F279" s="231"/>
      <c r="G279" s="205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2">
      <c r="A280" s="180">
        <f>'Données projet'!A253</f>
        <v>0</v>
      </c>
      <c r="B280" s="181">
        <f>'Données projet'!D253</f>
        <v>0</v>
      </c>
      <c r="C280" s="193">
        <f>60*'Données projet'!E253+13.8*('Données projet'!F253+'Données projet'!G253)+10*'Données projet'!H253</f>
        <v>0</v>
      </c>
      <c r="D280" s="179">
        <f t="shared" si="14"/>
        <v>0</v>
      </c>
      <c r="E280" s="193"/>
      <c r="F280" s="231"/>
      <c r="G280" s="205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2">
      <c r="A281" s="180">
        <f>'Données projet'!A254</f>
        <v>0</v>
      </c>
      <c r="B281" s="181">
        <f>'Données projet'!D254</f>
        <v>0</v>
      </c>
      <c r="C281" s="193">
        <f>60*'Données projet'!E254+13.8*('Données projet'!F254+'Données projet'!G254)+10*'Données projet'!H254</f>
        <v>0</v>
      </c>
      <c r="D281" s="179">
        <f t="shared" si="14"/>
        <v>0</v>
      </c>
      <c r="E281" s="193"/>
      <c r="F281" s="231"/>
      <c r="G281" s="205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2">
      <c r="A282" s="180">
        <f>'Données projet'!A255</f>
        <v>0</v>
      </c>
      <c r="B282" s="181">
        <f>'Données projet'!D255</f>
        <v>0</v>
      </c>
      <c r="C282" s="193">
        <f>60*'Données projet'!E255+13.8*('Données projet'!F255+'Données projet'!G255)+10*'Données projet'!H255</f>
        <v>0</v>
      </c>
      <c r="D282" s="179">
        <f t="shared" si="14"/>
        <v>0</v>
      </c>
      <c r="E282" s="193"/>
      <c r="F282" s="231"/>
      <c r="G282" s="205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2">
      <c r="A283" s="180">
        <f>'Données projet'!A256</f>
        <v>0</v>
      </c>
      <c r="B283" s="181">
        <f>'Données projet'!D256</f>
        <v>0</v>
      </c>
      <c r="C283" s="193">
        <f>60*'Données projet'!E256+13.8*('Données projet'!F256+'Données projet'!G256)+10*'Données projet'!H256</f>
        <v>0</v>
      </c>
      <c r="D283" s="179">
        <f t="shared" si="14"/>
        <v>0</v>
      </c>
      <c r="E283" s="193"/>
      <c r="F283" s="231"/>
      <c r="G283" s="205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2">
      <c r="A284" s="180">
        <f>'Données projet'!A257</f>
        <v>0</v>
      </c>
      <c r="B284" s="181">
        <f>'Données projet'!D257</f>
        <v>0</v>
      </c>
      <c r="C284" s="193">
        <f>60*'Données projet'!E257+13.8*('Données projet'!F257+'Données projet'!G257)+10*'Données projet'!H257</f>
        <v>0</v>
      </c>
      <c r="D284" s="179">
        <f t="shared" si="14"/>
        <v>0</v>
      </c>
      <c r="E284" s="193"/>
      <c r="F284" s="231"/>
      <c r="G284" s="205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2">
      <c r="A285" s="180">
        <f>'Données projet'!A258</f>
        <v>0</v>
      </c>
      <c r="B285" s="181">
        <f>'Données projet'!D258</f>
        <v>0</v>
      </c>
      <c r="C285" s="193">
        <f>60*'Données projet'!E258+13.8*('Données projet'!F258+'Données projet'!G258)+10*'Données projet'!H258</f>
        <v>0</v>
      </c>
      <c r="D285" s="179">
        <f t="shared" si="14"/>
        <v>0</v>
      </c>
      <c r="E285" s="193"/>
      <c r="F285" s="231"/>
      <c r="G285" s="205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2">
      <c r="A286" s="180">
        <f>'Données projet'!A259</f>
        <v>0</v>
      </c>
      <c r="B286" s="181">
        <f>'Données projet'!D259</f>
        <v>0</v>
      </c>
      <c r="C286" s="193">
        <f>60*'Données projet'!E259+13.8*('Données projet'!F259+'Données projet'!G259)+10*'Données projet'!H259</f>
        <v>0</v>
      </c>
      <c r="D286" s="179">
        <f t="shared" si="14"/>
        <v>0</v>
      </c>
      <c r="E286" s="193"/>
      <c r="F286" s="231"/>
      <c r="G286" s="205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2">
      <c r="A287" s="180">
        <f>'Données projet'!A260</f>
        <v>0</v>
      </c>
      <c r="B287" s="181">
        <f>'Données projet'!D260</f>
        <v>0</v>
      </c>
      <c r="C287" s="193">
        <f>60*'Données projet'!E260+13.8*('Données projet'!F260+'Données projet'!G260)+10*'Données projet'!H260</f>
        <v>0</v>
      </c>
      <c r="D287" s="179">
        <f t="shared" si="14"/>
        <v>0</v>
      </c>
      <c r="E287" s="193"/>
      <c r="F287" s="231"/>
      <c r="G287" s="205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2">
      <c r="A288" s="180">
        <f>'Données projet'!A261</f>
        <v>0</v>
      </c>
      <c r="B288" s="181">
        <f>'Données projet'!D261</f>
        <v>0</v>
      </c>
      <c r="C288" s="193">
        <f>60*'Données projet'!E261+13.8*('Données projet'!F261+'Données projet'!G261)+10*'Données projet'!H261</f>
        <v>0</v>
      </c>
      <c r="D288" s="179">
        <f t="shared" si="14"/>
        <v>0</v>
      </c>
      <c r="E288" s="193"/>
      <c r="F288" s="231"/>
      <c r="G288" s="205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2">
      <c r="A289" s="180">
        <f>'Données projet'!A262</f>
        <v>0</v>
      </c>
      <c r="B289" s="181">
        <f>'Données projet'!D262</f>
        <v>0</v>
      </c>
      <c r="C289" s="193">
        <f>60*'Données projet'!E262+13.8*('Données projet'!F262+'Données projet'!G262)+10*'Données projet'!H262</f>
        <v>0</v>
      </c>
      <c r="D289" s="179">
        <f t="shared" si="14"/>
        <v>0</v>
      </c>
      <c r="E289" s="193"/>
      <c r="F289" s="231"/>
      <c r="G289" s="205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2">
      <c r="A290" s="180">
        <f>'Données projet'!A263</f>
        <v>0</v>
      </c>
      <c r="B290" s="181">
        <f>'Données projet'!D263</f>
        <v>0</v>
      </c>
      <c r="C290" s="193">
        <f>60*'Données projet'!E263+13.8*('Données projet'!F263+'Données projet'!G263)+10*'Données projet'!H263</f>
        <v>0</v>
      </c>
      <c r="D290" s="179">
        <f t="shared" si="14"/>
        <v>0</v>
      </c>
      <c r="E290" s="193"/>
      <c r="F290" s="231"/>
      <c r="G290" s="205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2">
      <c r="A291" s="4"/>
      <c r="B291" s="4"/>
      <c r="C291" s="4"/>
      <c r="D291" s="4"/>
      <c r="E291" s="4"/>
      <c r="F291" s="229"/>
      <c r="G291" s="205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2">
      <c r="A292" s="4"/>
      <c r="B292" s="4"/>
      <c r="C292" s="4"/>
      <c r="D292" s="4"/>
      <c r="E292" s="4"/>
      <c r="F292" s="229"/>
      <c r="G292" s="205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2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29"/>
      <c r="G293" s="205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2">
      <c r="A294" s="46"/>
      <c r="B294" s="4"/>
      <c r="C294" s="4"/>
      <c r="D294" s="4"/>
      <c r="E294" s="4"/>
      <c r="F294" s="229"/>
      <c r="G294" s="205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ht="16" x14ac:dyDescent="0.2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0"/>
      <c r="G295" s="205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ht="16" x14ac:dyDescent="0.2">
      <c r="A296" s="49">
        <v>0</v>
      </c>
      <c r="B296" s="198" t="s">
        <v>132</v>
      </c>
      <c r="C296" s="197" t="s">
        <v>132</v>
      </c>
      <c r="D296" s="196" t="s">
        <v>132</v>
      </c>
      <c r="E296" s="193"/>
      <c r="F296" s="230"/>
      <c r="G296" s="205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ht="16" x14ac:dyDescent="0.2">
      <c r="A297" s="49">
        <v>1</v>
      </c>
      <c r="B297" s="198" t="s">
        <v>132</v>
      </c>
      <c r="C297" s="197" t="s">
        <v>132</v>
      </c>
      <c r="D297" s="196" t="s">
        <v>132</v>
      </c>
      <c r="E297" s="193"/>
      <c r="F297" s="230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ht="16" x14ac:dyDescent="0.2">
      <c r="A298" s="49">
        <v>2</v>
      </c>
      <c r="B298" s="198" t="s">
        <v>132</v>
      </c>
      <c r="C298" s="197" t="s">
        <v>132</v>
      </c>
      <c r="D298" s="196" t="s">
        <v>132</v>
      </c>
      <c r="E298" s="193"/>
      <c r="F298" s="230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ht="16" x14ac:dyDescent="0.2">
      <c r="A299" s="49">
        <v>3</v>
      </c>
      <c r="B299" s="198" t="s">
        <v>132</v>
      </c>
      <c r="C299" s="197" t="s">
        <v>132</v>
      </c>
      <c r="D299" s="196" t="s">
        <v>132</v>
      </c>
      <c r="E299" s="193"/>
      <c r="F299" s="230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ht="16" x14ac:dyDescent="0.2">
      <c r="A300" s="49">
        <v>4</v>
      </c>
      <c r="B300" s="198" t="s">
        <v>132</v>
      </c>
      <c r="C300" s="197" t="s">
        <v>132</v>
      </c>
      <c r="D300" s="196" t="s">
        <v>132</v>
      </c>
      <c r="E300" s="193"/>
      <c r="F300" s="230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ht="16" x14ac:dyDescent="0.2">
      <c r="A301" s="49">
        <v>5</v>
      </c>
      <c r="B301" s="198" t="s">
        <v>132</v>
      </c>
      <c r="C301" s="197" t="s">
        <v>132</v>
      </c>
      <c r="D301" s="196" t="s">
        <v>132</v>
      </c>
      <c r="E301" s="193"/>
      <c r="F301" s="230"/>
      <c r="G301" s="204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2">
      <c r="A302" s="180">
        <f>'Données projet'!A270</f>
        <v>0</v>
      </c>
      <c r="B302" s="181">
        <f>'Données projet'!D270</f>
        <v>0</v>
      </c>
      <c r="C302" s="191">
        <f>80*'Données projet'!E270+13.8*('Données projet'!F270+'Données projet'!G270)+10*'Données projet'!H270</f>
        <v>0</v>
      </c>
      <c r="D302" s="182">
        <f>B302*C302</f>
        <v>0</v>
      </c>
      <c r="E302" s="193"/>
      <c r="F302" s="232"/>
      <c r="G302" s="204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2">
      <c r="A303" s="180">
        <f>'Données projet'!A271</f>
        <v>0</v>
      </c>
      <c r="B303" s="181">
        <f>'Données projet'!D271</f>
        <v>0</v>
      </c>
      <c r="C303" s="191">
        <f>80*'Données projet'!E271+13.8*('Données projet'!F271+'Données projet'!G271)+10*'Données projet'!H271</f>
        <v>0</v>
      </c>
      <c r="D303" s="182">
        <f t="shared" ref="D303:D321" si="15">B303*C303</f>
        <v>0</v>
      </c>
      <c r="E303" s="193"/>
      <c r="F303" s="232"/>
      <c r="G303" s="204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2">
      <c r="A304" s="180">
        <f>'Données projet'!A272</f>
        <v>0</v>
      </c>
      <c r="B304" s="181">
        <f>'Données projet'!D272</f>
        <v>0</v>
      </c>
      <c r="C304" s="191">
        <f>80*'Données projet'!E272+13.8*('Données projet'!F272+'Données projet'!G272)+10*'Données projet'!H272</f>
        <v>0</v>
      </c>
      <c r="D304" s="182">
        <f t="shared" si="15"/>
        <v>0</v>
      </c>
      <c r="E304" s="193"/>
      <c r="F304" s="232"/>
      <c r="G304" s="204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2">
      <c r="A305" s="180">
        <f>'Données projet'!A273</f>
        <v>0</v>
      </c>
      <c r="B305" s="181">
        <f>'Données projet'!D273</f>
        <v>0</v>
      </c>
      <c r="C305" s="191">
        <f>80*'Données projet'!E273+13.8*('Données projet'!F273+'Données projet'!G273)+10*'Données projet'!H273</f>
        <v>0</v>
      </c>
      <c r="D305" s="182">
        <f t="shared" si="15"/>
        <v>0</v>
      </c>
      <c r="E305" s="193"/>
      <c r="F305" s="232"/>
      <c r="G305" s="204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2">
      <c r="A306" s="180">
        <f>'Données projet'!A274</f>
        <v>0</v>
      </c>
      <c r="B306" s="181">
        <f>'Données projet'!D274</f>
        <v>0</v>
      </c>
      <c r="C306" s="191">
        <f>80*'Données projet'!E274+13.8*('Données projet'!F274+'Données projet'!G274)+10*'Données projet'!H274</f>
        <v>0</v>
      </c>
      <c r="D306" s="182">
        <f t="shared" si="15"/>
        <v>0</v>
      </c>
      <c r="E306" s="193"/>
      <c r="F306" s="232"/>
      <c r="G306" s="204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2">
      <c r="A307" s="180">
        <f>'Données projet'!A275</f>
        <v>0</v>
      </c>
      <c r="B307" s="181">
        <f>'Données projet'!D275</f>
        <v>0</v>
      </c>
      <c r="C307" s="191">
        <f>80*'Données projet'!E275+13.8*('Données projet'!F275+'Données projet'!G275)+10*'Données projet'!H275</f>
        <v>0</v>
      </c>
      <c r="D307" s="182">
        <f t="shared" si="15"/>
        <v>0</v>
      </c>
      <c r="E307" s="193"/>
      <c r="F307" s="232"/>
      <c r="G307" s="204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2">
      <c r="A308" s="180">
        <f>'Données projet'!A276</f>
        <v>0</v>
      </c>
      <c r="B308" s="181">
        <f>'Données projet'!D276</f>
        <v>0</v>
      </c>
      <c r="C308" s="191">
        <f>80*'Données projet'!E276+13.8*('Données projet'!F276+'Données projet'!G276)+10*'Données projet'!H276</f>
        <v>0</v>
      </c>
      <c r="D308" s="182">
        <f t="shared" si="15"/>
        <v>0</v>
      </c>
      <c r="E308" s="193"/>
      <c r="F308" s="232"/>
      <c r="G308" s="202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2">
      <c r="A309" s="180">
        <f>'Données projet'!A277</f>
        <v>0</v>
      </c>
      <c r="B309" s="181">
        <f>'Données projet'!D277</f>
        <v>0</v>
      </c>
      <c r="C309" s="191">
        <f>80*'Données projet'!E277+13.8*('Données projet'!F277+'Données projet'!G277)+10*'Données projet'!H277</f>
        <v>0</v>
      </c>
      <c r="D309" s="182">
        <f t="shared" si="15"/>
        <v>0</v>
      </c>
      <c r="E309" s="193"/>
      <c r="F309" s="232"/>
      <c r="G309" s="202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2">
      <c r="A310" s="180">
        <f>'Données projet'!A278</f>
        <v>0</v>
      </c>
      <c r="B310" s="181">
        <f>'Données projet'!D278</f>
        <v>0</v>
      </c>
      <c r="C310" s="191">
        <f>80*'Données projet'!E278+13.8*('Données projet'!F278+'Données projet'!G278)+10*'Données projet'!H278</f>
        <v>0</v>
      </c>
      <c r="D310" s="182">
        <f t="shared" si="15"/>
        <v>0</v>
      </c>
      <c r="E310" s="193"/>
      <c r="F310" s="232"/>
      <c r="G310" s="202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2">
      <c r="A311" s="180">
        <f>'Données projet'!A279</f>
        <v>0</v>
      </c>
      <c r="B311" s="181">
        <f>'Données projet'!D279</f>
        <v>0</v>
      </c>
      <c r="C311" s="191">
        <f>80*'Données projet'!E279+13.8*('Données projet'!F279+'Données projet'!G279)+10*'Données projet'!H279</f>
        <v>0</v>
      </c>
      <c r="D311" s="182">
        <f t="shared" si="15"/>
        <v>0</v>
      </c>
      <c r="E311" s="193"/>
      <c r="F311" s="232"/>
      <c r="G311" s="202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2">
      <c r="A312" s="180">
        <f>'Données projet'!A280</f>
        <v>0</v>
      </c>
      <c r="B312" s="181">
        <f>'Données projet'!D280</f>
        <v>0</v>
      </c>
      <c r="C312" s="191">
        <f>80*'Données projet'!E280+13.8*('Données projet'!F280+'Données projet'!G280)+10*'Données projet'!H280</f>
        <v>0</v>
      </c>
      <c r="D312" s="182">
        <f t="shared" si="15"/>
        <v>0</v>
      </c>
      <c r="E312" s="193"/>
      <c r="F312" s="232"/>
      <c r="G312" s="202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2">
      <c r="A313" s="180">
        <f>'Données projet'!A281</f>
        <v>0</v>
      </c>
      <c r="B313" s="181">
        <f>'Données projet'!D281</f>
        <v>0</v>
      </c>
      <c r="C313" s="191">
        <f>80*'Données projet'!E281+13.8*('Données projet'!F281+'Données projet'!G281)+10*'Données projet'!H281</f>
        <v>0</v>
      </c>
      <c r="D313" s="182">
        <f t="shared" si="15"/>
        <v>0</v>
      </c>
      <c r="E313" s="193"/>
      <c r="F313" s="232"/>
      <c r="G313" s="202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2">
      <c r="A314" s="180">
        <f>'Données projet'!A282</f>
        <v>0</v>
      </c>
      <c r="B314" s="181">
        <f>'Données projet'!D282</f>
        <v>0</v>
      </c>
      <c r="C314" s="191">
        <f>80*'Données projet'!E282+13.8*('Données projet'!F282+'Données projet'!G282)+10*'Données projet'!H282</f>
        <v>0</v>
      </c>
      <c r="D314" s="182">
        <f t="shared" si="15"/>
        <v>0</v>
      </c>
      <c r="E314" s="193"/>
      <c r="F314" s="232"/>
      <c r="G314" s="202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2">
      <c r="A315" s="180">
        <f>'Données projet'!A283</f>
        <v>0</v>
      </c>
      <c r="B315" s="181">
        <f>'Données projet'!D283</f>
        <v>0</v>
      </c>
      <c r="C315" s="191">
        <f>80*'Données projet'!E283+13.8*('Données projet'!F283+'Données projet'!G283)+10*'Données projet'!H283</f>
        <v>0</v>
      </c>
      <c r="D315" s="182">
        <f t="shared" si="15"/>
        <v>0</v>
      </c>
      <c r="E315" s="193"/>
      <c r="F315" s="232"/>
      <c r="G315" s="202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2">
      <c r="A316" s="180">
        <f>'Données projet'!A284</f>
        <v>0</v>
      </c>
      <c r="B316" s="181">
        <f>'Données projet'!D284</f>
        <v>0</v>
      </c>
      <c r="C316" s="191">
        <f>80*'Données projet'!E284+13.8*('Données projet'!F284+'Données projet'!G284)+10*'Données projet'!H284</f>
        <v>0</v>
      </c>
      <c r="D316" s="182">
        <f t="shared" si="15"/>
        <v>0</v>
      </c>
      <c r="E316" s="193"/>
      <c r="F316" s="232"/>
      <c r="G316" s="202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2">
      <c r="A317" s="180">
        <f>'Données projet'!A285</f>
        <v>0</v>
      </c>
      <c r="B317" s="181">
        <f>'Données projet'!D285</f>
        <v>0</v>
      </c>
      <c r="C317" s="191">
        <f>80*'Données projet'!E285+13.8*('Données projet'!F285+'Données projet'!G285)+10*'Données projet'!H285</f>
        <v>0</v>
      </c>
      <c r="D317" s="182">
        <f>B317*C317</f>
        <v>0</v>
      </c>
      <c r="E317" s="193"/>
      <c r="F317" s="232"/>
      <c r="G317" s="202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2">
      <c r="A318" s="180">
        <f>'Données projet'!A286</f>
        <v>0</v>
      </c>
      <c r="B318" s="181">
        <f>'Données projet'!D286</f>
        <v>0</v>
      </c>
      <c r="C318" s="191">
        <f>80*'Données projet'!E286+13.8*('Données projet'!F286+'Données projet'!G286)+10*'Données projet'!H286</f>
        <v>0</v>
      </c>
      <c r="D318" s="182">
        <f t="shared" si="15"/>
        <v>0</v>
      </c>
      <c r="E318" s="193"/>
      <c r="F318" s="232"/>
      <c r="G318" s="202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2">
      <c r="A319" s="180">
        <f>'Données projet'!A287</f>
        <v>0</v>
      </c>
      <c r="B319" s="181">
        <f>'Données projet'!D287</f>
        <v>0</v>
      </c>
      <c r="C319" s="191">
        <f>80*'Données projet'!E287+13.8*('Données projet'!F287+'Données projet'!G287)+10*'Données projet'!H287</f>
        <v>0</v>
      </c>
      <c r="D319" s="182">
        <f t="shared" si="15"/>
        <v>0</v>
      </c>
      <c r="E319" s="193"/>
      <c r="F319" s="232"/>
      <c r="G319" s="202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2">
      <c r="A320" s="180">
        <f>'Données projet'!A288</f>
        <v>0</v>
      </c>
      <c r="B320" s="181">
        <f>'Données projet'!D288</f>
        <v>0</v>
      </c>
      <c r="C320" s="191">
        <f>80*'Données projet'!E288+13.8*('Données projet'!F288+'Données projet'!G288)+10*'Données projet'!H288</f>
        <v>0</v>
      </c>
      <c r="D320" s="182">
        <f t="shared" si="15"/>
        <v>0</v>
      </c>
      <c r="E320" s="193"/>
      <c r="F320" s="232"/>
      <c r="G320" s="202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2">
      <c r="A321" s="180">
        <f>'Données projet'!A289</f>
        <v>0</v>
      </c>
      <c r="B321" s="181">
        <f>'Données projet'!D289</f>
        <v>0</v>
      </c>
      <c r="C321" s="191">
        <f>80*'Données projet'!E289+13.8*('Données projet'!F289+'Données projet'!G289)+10*'Données projet'!H289</f>
        <v>0</v>
      </c>
      <c r="D321" s="182">
        <f t="shared" si="15"/>
        <v>0</v>
      </c>
      <c r="E321" s="193"/>
      <c r="F321" s="232"/>
      <c r="G321" s="202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2">
      <c r="G322" s="202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2">
      <c r="G323" s="202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2">
      <c r="G324" s="202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2">
      <c r="G325" s="202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2">
      <c r="G326" s="202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2">
      <c r="G327" s="202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2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2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2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2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2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2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2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2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2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2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2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2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2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2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2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2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2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2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2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2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2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2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2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2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2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2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2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2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2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2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2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2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2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2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2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2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2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2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2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2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2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2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2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2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2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2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2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2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2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2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2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2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2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2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2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2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2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2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2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2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2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2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2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2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2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2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2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2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2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2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2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2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2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2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2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2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2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2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2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2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2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2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2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2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2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2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2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2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2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2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2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2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2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2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2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2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2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2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2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2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2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2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2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2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2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2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2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2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2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2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2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2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2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2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2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2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2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2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2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2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2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2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2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2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2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2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2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2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2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2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2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2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2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2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2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2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2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2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2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2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2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2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2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2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2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2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2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2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2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2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2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2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2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2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2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2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2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2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2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2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2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2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2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2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2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2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2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2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2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2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2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2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2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2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2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2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2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2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2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2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2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2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2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2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2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2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2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2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2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2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2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2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2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2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2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2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2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2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2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2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2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2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2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2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2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2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2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2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2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2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2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2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2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2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2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2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2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2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2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2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2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Microsoft Office User</cp:lastModifiedBy>
  <dcterms:created xsi:type="dcterms:W3CDTF">2021-02-01T08:22:39Z</dcterms:created>
  <dcterms:modified xsi:type="dcterms:W3CDTF">2024-01-30T15:07:26Z</dcterms:modified>
</cp:coreProperties>
</file>