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 codeName="ThisWorkbook"/>
  <mc:AlternateContent xmlns:mc="http://schemas.openxmlformats.org/markup-compatibility/2006">
    <mc:Choice Requires="x15">
      <x15ac:absPath xmlns:x15ac="http://schemas.microsoft.com/office/spreadsheetml/2010/11/ac" url="D:\Projet\Start-up\Forêt\Atmosylva\Projets forestiers\Gregory Restoy\Projets Label Bas Carbone\Mant\Préparation dossier\"/>
    </mc:Choice>
  </mc:AlternateContent>
  <xr:revisionPtr revIDLastSave="0" documentId="13_ncr:1_{1504BB3F-F1C1-440E-B0A0-9CAF08118D23}" xr6:coauthVersionLast="47" xr6:coauthVersionMax="47" xr10:uidLastSave="{00000000-0000-0000-0000-000000000000}"/>
  <bookViews>
    <workbookView xWindow="12" yWindow="696" windowWidth="16404" windowHeight="11652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2" i="6" l="1"/>
  <c r="I23" i="6"/>
  <c r="I24" i="6"/>
  <c r="I21" i="6"/>
  <c r="I20" i="6"/>
  <c r="C31" i="6"/>
  <c r="C30" i="6"/>
  <c r="C29" i="6"/>
  <c r="E28" i="6"/>
  <c r="E27" i="6"/>
  <c r="E26" i="6"/>
  <c r="E25" i="6"/>
  <c r="E24" i="6"/>
  <c r="E23" i="6"/>
  <c r="C28" i="6" l="1"/>
  <c r="C27" i="6"/>
  <c r="C26" i="6"/>
  <c r="C25" i="6"/>
  <c r="C24" i="6"/>
  <c r="C23" i="6"/>
  <c r="E96" i="6" l="1"/>
  <c r="E95" i="6"/>
  <c r="E94" i="6"/>
  <c r="E93" i="6"/>
  <c r="E92" i="6"/>
  <c r="E91" i="6"/>
  <c r="E90" i="6"/>
  <c r="E89" i="6"/>
  <c r="E88" i="6"/>
  <c r="E87" i="6"/>
  <c r="E86" i="6"/>
  <c r="E85" i="6"/>
  <c r="C96" i="6"/>
  <c r="C95" i="6"/>
  <c r="C94" i="6"/>
  <c r="C93" i="6"/>
  <c r="C92" i="6"/>
  <c r="C91" i="6"/>
  <c r="C90" i="6"/>
  <c r="C89" i="6"/>
  <c r="C88" i="6"/>
  <c r="C87" i="6"/>
  <c r="C86" i="6"/>
  <c r="C85" i="6"/>
  <c r="E54" i="6"/>
  <c r="E73" i="6"/>
  <c r="E72" i="6"/>
  <c r="E71" i="6"/>
  <c r="E70" i="6"/>
  <c r="E69" i="6"/>
  <c r="E68" i="6"/>
  <c r="E67" i="6"/>
  <c r="E66" i="6"/>
  <c r="E65" i="6"/>
  <c r="E64" i="6"/>
  <c r="E63" i="6"/>
  <c r="E62" i="6"/>
  <c r="E61" i="6"/>
  <c r="E60" i="6"/>
  <c r="E59" i="6"/>
  <c r="E58" i="6"/>
  <c r="E57" i="6"/>
  <c r="E56" i="6"/>
  <c r="E55" i="6"/>
  <c r="C73" i="6"/>
  <c r="C72" i="6"/>
  <c r="C71" i="6"/>
  <c r="C70" i="6"/>
  <c r="C69" i="6"/>
  <c r="C68" i="6"/>
  <c r="C67" i="6"/>
  <c r="C66" i="6"/>
  <c r="C65" i="6"/>
  <c r="C64" i="6"/>
  <c r="C63" i="6"/>
  <c r="C62" i="6"/>
  <c r="C61" i="6"/>
  <c r="C60" i="6"/>
  <c r="C59" i="6"/>
  <c r="C58" i="6"/>
  <c r="C57" i="6"/>
  <c r="C56" i="6"/>
  <c r="C55" i="6"/>
  <c r="C54" i="6"/>
  <c r="B75" i="1" l="1"/>
  <c r="B74" i="1"/>
  <c r="B73" i="1"/>
  <c r="B72" i="1"/>
  <c r="B71" i="1"/>
  <c r="B70" i="1"/>
  <c r="B69" i="1"/>
  <c r="B68" i="1"/>
  <c r="B67" i="1"/>
  <c r="B66" i="1"/>
  <c r="B65" i="1"/>
  <c r="B64" i="1"/>
  <c r="B63" i="1"/>
  <c r="B62" i="1"/>
  <c r="B44" i="1" l="1"/>
  <c r="B43" i="1"/>
  <c r="B42" i="1"/>
  <c r="B41" i="1"/>
  <c r="B40" i="1"/>
  <c r="B39" i="1"/>
  <c r="B38" i="1"/>
  <c r="B37" i="1"/>
  <c r="B36" i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E29" i="6" s="1"/>
  <c r="D30" i="6"/>
  <c r="E30" i="6" s="1"/>
  <c r="D31" i="6"/>
  <c r="E31" i="6" s="1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FQ4" i="2" s="1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EA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R5" i="2" s="1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EX5" i="2" s="1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EC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EA6" i="2" s="1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V7" i="2" s="1"/>
  <c r="ET7" i="2"/>
  <c r="FO7" i="2"/>
  <c r="FN7" i="2"/>
  <c r="DY7" i="2"/>
  <c r="EB7" i="2" s="1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G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HG11" i="2" l="1"/>
  <c r="EC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EW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EC13" i="2" s="1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FS15" i="2" s="1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HH16" i="2" s="1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FS18" i="2"/>
  <c r="EA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EW20" i="2" s="1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C20" i="2" l="1"/>
  <c r="FS20" i="2"/>
  <c r="HH20" i="2"/>
  <c r="EV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B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C22" i="2" l="1"/>
  <c r="EA22" i="2"/>
  <c r="HH22" i="2"/>
  <c r="EW22" i="2"/>
  <c r="HG22" i="2"/>
  <c r="EB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H24" i="2" s="1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HH26" i="2" s="1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FS26" i="2" l="1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HI27" i="2" l="1"/>
  <c r="FS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EV28" i="2" s="1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C28" i="2" l="1"/>
  <c r="EB28" i="2"/>
  <c r="HG28" i="2"/>
  <c r="FS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EA33" i="2" s="1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V33" i="2" l="1"/>
  <c r="EB33" i="2"/>
  <c r="HG33" i="2"/>
  <c r="EW33" i="2"/>
  <c r="HH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A35" i="2" l="1"/>
  <c r="CM35" i="2"/>
  <c r="FQ35" i="2"/>
  <c r="HH35" i="2"/>
  <c r="EB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EA37" i="2" s="1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B37" i="2" l="1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I38" i="2" s="1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W38" i="2" l="1"/>
  <c r="HG38" i="2"/>
  <c r="EA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HG40" i="2" s="1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EX40" i="2" l="1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EV42" i="2" s="1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HG42" i="2" l="1"/>
  <c r="EA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EA43" i="2" s="1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I43" i="2" l="1"/>
  <c r="HG43" i="2"/>
  <c r="D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FO44" i="2"/>
  <c r="GI44" i="2"/>
  <c r="DY44" i="2"/>
  <c r="ES44" i="2"/>
  <c r="DX44" i="2"/>
  <c r="DD44" i="2"/>
  <c r="CI44" i="2"/>
  <c r="BM44" i="2"/>
  <c r="FN44" i="2"/>
  <c r="DC44" i="2"/>
  <c r="ET44" i="2"/>
  <c r="EW44" i="2" s="1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FS44" i="2" l="1"/>
  <c r="HH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X45" i="2" l="1"/>
  <c r="HG45" i="2"/>
  <c r="HI45" i="2"/>
  <c r="EB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W46" i="2" l="1"/>
  <c r="HG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EA47" i="2" s="1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HG47" i="2" l="1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EC48" i="2" s="1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G48" i="2" l="1"/>
  <c r="HH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I50" i="2" s="1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G50" i="2" l="1"/>
  <c r="FS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EA51" i="2" s="1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B51" i="2" l="1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EA53" i="2" s="1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 l="1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HG57" i="2" s="1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I57" i="2" l="1"/>
  <c r="EB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EB59" i="2"/>
  <c r="HH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EV60" i="2"/>
  <c r="HH60" i="2"/>
  <c r="HI60" i="2"/>
  <c r="HG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EW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 l="1"/>
  <c r="EC63" i="2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EA64" i="2" s="1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HH67" i="2" s="1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EW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H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A75" i="2" l="1"/>
  <c r="HH75" i="2"/>
  <c r="FS75" i="2"/>
  <c r="HG75" i="2"/>
  <c r="EB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HI77" i="2" l="1"/>
  <c r="EB77" i="2"/>
  <c r="EW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EW78" i="2" s="1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B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G79" i="2" l="1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G82" i="2"/>
  <c r="HH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EC85" i="2" s="1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H85" i="2" l="1"/>
  <c r="EV85" i="2"/>
  <c r="HI85" i="2"/>
  <c r="EW85" i="2"/>
  <c r="HG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EB86" i="2" s="1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EB87" i="2" s="1"/>
  <c r="DD87" i="2"/>
  <c r="DC87" i="2"/>
  <c r="BN87" i="2"/>
  <c r="CI87" i="2"/>
  <c r="CH87" i="2"/>
  <c r="AS87" i="2"/>
  <c r="W87" i="2"/>
  <c r="DX87" i="2"/>
  <c r="EA87" i="2" s="1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HG87" i="2" l="1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EW92" i="2" s="1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FQ95" i="2" s="1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HG95" i="2" l="1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EW98" i="2"/>
  <c r="EX98" i="2"/>
  <c r="FS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EV100" i="2" s="1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A105" i="2" l="1"/>
  <c r="FS105" i="2"/>
  <c r="EV105" i="2"/>
  <c r="HH105" i="2"/>
  <c r="EB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EA107" i="2" s="1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EC107" i="2" s="1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HG107" i="2"/>
  <c r="EX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EA108" i="2" s="1"/>
  <c r="CI108" i="2"/>
  <c r="BM108" i="2"/>
  <c r="FN108" i="2"/>
  <c r="DY108" i="2"/>
  <c r="EB108" i="2" s="1"/>
  <c r="DC108" i="2"/>
  <c r="ET108" i="2"/>
  <c r="EW108" i="2" s="1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EB112" i="2" s="1"/>
  <c r="CI112" i="2"/>
  <c r="BM112" i="2"/>
  <c r="DC112" i="2"/>
  <c r="AR112" i="2"/>
  <c r="CH112" i="2"/>
  <c r="DD112" i="2"/>
  <c r="BN112" i="2"/>
  <c r="AS112" i="2"/>
  <c r="X112" i="2"/>
  <c r="W112" i="2"/>
  <c r="HC112" i="2"/>
  <c r="HI112" i="2" s="1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FQ112" i="2" l="1"/>
  <c r="EC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EB113" i="2" s="1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C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HG114" i="2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C116" i="2"/>
  <c r="EV116" i="2"/>
  <c r="HG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I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S118" i="2" s="1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Q118" i="2" l="1"/>
  <c r="HH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HG119" i="2" l="1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R120" i="2" l="1"/>
  <c r="HI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HH122" i="2" s="1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I122" i="2" l="1"/>
  <c r="EW122" i="2"/>
  <c r="FS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G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EC125" i="2" s="1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G128" i="2" l="1"/>
  <c r="EX128" i="2"/>
  <c r="EB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HH130" i="2" s="1"/>
  <c r="GI130" i="2"/>
  <c r="GJ130" i="2"/>
  <c r="ET130" i="2"/>
  <c r="FN130" i="2"/>
  <c r="DD130" i="2"/>
  <c r="BN130" i="2"/>
  <c r="CH130" i="2"/>
  <c r="AS130" i="2"/>
  <c r="DY130" i="2"/>
  <c r="EB130" i="2" s="1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FS130" i="2" l="1"/>
  <c r="EX130" i="2"/>
  <c r="HI130" i="2"/>
  <c r="EW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EC132" i="2" s="1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FS132" i="2" l="1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W133" i="2" s="1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W134" i="2" l="1"/>
  <c r="HG134" i="2"/>
  <c r="EV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EW135" i="2" s="1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X135" i="2" l="1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H137" i="2" s="1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HH139" i="2" l="1"/>
  <c r="EA139" i="2"/>
  <c r="EB139" i="2"/>
  <c r="FS139" i="2"/>
  <c r="EW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HH140" i="2" s="1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FS140" i="2" l="1"/>
  <c r="EX140" i="2"/>
  <c r="EB140" i="2"/>
  <c r="FR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EB141" i="2" s="1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H141" i="2" l="1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HH144" i="2" s="1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HG144" i="2" l="1"/>
  <c r="EA144" i="2"/>
  <c r="FR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FR145" i="2"/>
  <c r="EB145" i="2"/>
  <c r="EA145" i="2"/>
  <c r="HG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HH146" i="2" s="1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EW147" i="2" s="1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EX149" i="2" s="1"/>
  <c r="DV149" i="2"/>
  <c r="DM149" i="2"/>
  <c r="DA149" i="2"/>
  <c r="EU149" i="2"/>
  <c r="EG149" i="2"/>
  <c r="DW149" i="2"/>
  <c r="EC149" i="2" s="1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EV150" i="2" s="1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I150" i="2" s="1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HG150" i="2" l="1"/>
  <c r="FS150" i="2"/>
  <c r="HH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X151" i="2" l="1"/>
  <c r="EC151" i="2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EB153" i="2"/>
  <c r="EX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HG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X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B157" i="2" s="1"/>
  <c r="EG157" i="2"/>
  <c r="EH157" i="2"/>
  <c r="GK157" i="2"/>
  <c r="ER157" i="2"/>
  <c r="EX157" i="2" s="1"/>
  <c r="DM157" i="2"/>
  <c r="ES157" i="2"/>
  <c r="ET157" i="2"/>
  <c r="DW157" i="2"/>
  <c r="EC157" i="2" s="1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HG157" i="2" l="1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EW158" i="2" s="1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FL159" i="2"/>
  <c r="ES159" i="2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AB161" i="2" s="1"/>
  <c r="H199" i="2"/>
  <c r="AX158" i="2"/>
  <c r="D200" i="2"/>
  <c r="G200" i="2" s="1"/>
  <c r="FS161" i="2" l="1"/>
  <c r="EB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HG162" i="2" l="1"/>
  <c r="EB162" i="2"/>
  <c r="HH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I163" i="2" s="1"/>
  <c r="HD163" i="2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A163" i="2" l="1"/>
  <c r="EV163" i="2"/>
  <c r="EB163" i="2"/>
  <c r="HG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EX164" i="2" l="1"/>
  <c r="EA164" i="2"/>
  <c r="EV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HG165" i="2" l="1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G166" i="2" l="1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HI167" i="2" s="1"/>
  <c r="GI167" i="2"/>
  <c r="FP167" i="2"/>
  <c r="EG167" i="2"/>
  <c r="FL167" i="2"/>
  <c r="EQ167" i="2"/>
  <c r="FW167" i="2"/>
  <c r="EU167" i="2"/>
  <c r="DW167" i="2"/>
  <c r="EC167" i="2" s="1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HH167" i="2" l="1"/>
  <c r="EA167" i="2"/>
  <c r="EB167" i="2"/>
  <c r="FR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EV168" i="2" s="1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EW168" i="2" s="1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FS168" i="2" l="1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FS169" i="2"/>
  <c r="EX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A172" i="2" l="1"/>
  <c r="HI172" i="2"/>
  <c r="EW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EB173" i="2" s="1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W173" i="2" l="1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HG174" i="2" l="1"/>
  <c r="HH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FS175" i="2" s="1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EW175" i="2" s="1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B175" i="2"/>
  <c r="EA175" i="2"/>
  <c r="HI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X176" i="2" l="1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C177" i="2" l="1"/>
  <c r="FS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HB178" i="2"/>
  <c r="HC178" i="2"/>
  <c r="GI178" i="2"/>
  <c r="FP178" i="2"/>
  <c r="HD178" i="2"/>
  <c r="HG178" i="2" s="1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EA178" i="2" s="1"/>
  <c r="CQ178" i="2"/>
  <c r="EH178" i="2"/>
  <c r="DY178" i="2"/>
  <c r="EB178" i="2" s="1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FQ178" i="2" l="1"/>
  <c r="HH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EV179" i="2" l="1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I180" i="2" l="1"/>
  <c r="EX180" i="2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W181" i="2" l="1"/>
  <c r="FS181" i="2"/>
  <c r="HG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C182" i="2" l="1"/>
  <c r="EX182" i="2"/>
  <c r="EA182" i="2"/>
  <c r="EV182" i="2"/>
  <c r="EY182" i="2" s="1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B183" i="2" l="1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HH185" i="2" s="1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I185" i="2" l="1"/>
  <c r="EW185" i="2"/>
  <c r="HG185" i="2"/>
  <c r="EA185" i="2"/>
  <c r="EV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FS186" i="2"/>
  <c r="ED185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EY188" i="2"/>
  <c r="AX186" i="2"/>
  <c r="EV189" i="2" l="1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EB190" i="2" s="1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V190" i="2" l="1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G191" i="2" l="1"/>
  <c r="HH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CR192" i="2"/>
  <c r="CJ192" i="2"/>
  <c r="BO192" i="2"/>
  <c r="ER192" i="2"/>
  <c r="DY192" i="2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A192" i="2" l="1"/>
  <c r="HH192" i="2"/>
  <c r="EB192" i="2"/>
  <c r="EW192" i="2"/>
  <c r="HG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A193" i="2" l="1"/>
  <c r="EX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EW196" i="2"/>
  <c r="HG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EA197" i="2" s="1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C197" i="2" l="1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EV198" i="2" s="1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FS198" i="2" l="1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H199" i="2" l="1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BC5" i="2" s="1" a="1"/>
  <c r="BC5" i="2" s="1"/>
  <c r="BD5" i="2" s="1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D200" i="2"/>
  <c r="DI200" i="2"/>
  <c r="EA201" i="2" l="1"/>
  <c r="EB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R202" i="2" l="1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HG203" i="2" l="1"/>
  <c r="BP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<sst xmlns="http://schemas.openxmlformats.org/spreadsheetml/2006/main" count="1172" uniqueCount="324">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</sst>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1.9648039078119286</c:v>
                </c:pt>
                <c:pt idx="2">
                  <c:v>2.4893035487377086</c:v>
                </c:pt>
                <c:pt idx="3">
                  <c:v>3.1543749107316565</c:v>
                </c:pt>
                <c:pt idx="4">
                  <c:v>3.9978339381315364</c:v>
                </c:pt>
                <c:pt idx="5">
                  <c:v>5.0677052252114896</c:v>
                </c:pt>
                <c:pt idx="6">
                  <c:v>6.4249868403277004</c:v>
                </c:pt>
                <c:pt idx="7">
                  <c:v>8.1471661876445207</c:v>
                </c:pt>
                <c:pt idx="8">
                  <c:v>10.332691476251483</c:v>
                </c:pt>
                <c:pt idx="9">
                  <c:v>13.106659226515797</c:v>
                </c:pt>
                <c:pt idx="10">
                  <c:v>16.628049391148242</c:v>
                </c:pt>
                <c:pt idx="11">
                  <c:v>21.098930296065898</c:v>
                </c:pt>
                <c:pt idx="12">
                  <c:v>26.776171057877107</c:v>
                </c:pt>
                <c:pt idx="13">
                  <c:v>33.986346223601721</c:v>
                </c:pt>
                <c:pt idx="14">
                  <c:v>43.144704790029486</c:v>
                </c:pt>
                <c:pt idx="15">
                  <c:v>54.779314569670618</c:v>
                </c:pt>
                <c:pt idx="16">
                  <c:v>69.561797199090492</c:v>
                </c:pt>
                <c:pt idx="17">
                  <c:v>62.588742439467694</c:v>
                </c:pt>
                <c:pt idx="18">
                  <c:v>75.524331412025802</c:v>
                </c:pt>
                <c:pt idx="19">
                  <c:v>88.403326986725247</c:v>
                </c:pt>
                <c:pt idx="20">
                  <c:v>101.2351647140362</c:v>
                </c:pt>
                <c:pt idx="21">
                  <c:v>86.095416636931532</c:v>
                </c:pt>
                <c:pt idx="22">
                  <c:v>99.921034513938423</c:v>
                </c:pt>
                <c:pt idx="23">
                  <c:v>113.69914945997108</c:v>
                </c:pt>
                <c:pt idx="24">
                  <c:v>127.43634005216967</c:v>
                </c:pt>
                <c:pt idx="25">
                  <c:v>105.17504328024955</c:v>
                </c:pt>
                <c:pt idx="26">
                  <c:v>123.51528748012358</c:v>
                </c:pt>
                <c:pt idx="27">
                  <c:v>141.78926461478019</c:v>
                </c:pt>
                <c:pt idx="28">
                  <c:v>160.0067319394324</c:v>
                </c:pt>
                <c:pt idx="29">
                  <c:v>128.96039882975376</c:v>
                </c:pt>
                <c:pt idx="30">
                  <c:v>143.52656566942861</c:v>
                </c:pt>
                <c:pt idx="31">
                  <c:v>158.0573260252676</c:v>
                </c:pt>
                <c:pt idx="32">
                  <c:v>172.55639592736918</c:v>
                </c:pt>
                <c:pt idx="33">
                  <c:v>187.02681480015954</c:v>
                </c:pt>
                <c:pt idx="34">
                  <c:v>201.4711126607273</c:v>
                </c:pt>
                <c:pt idx="35">
                  <c:v>160.65640843900908</c:v>
                </c:pt>
                <c:pt idx="36">
                  <c:v>179.47104913917383</c:v>
                </c:pt>
                <c:pt idx="37">
                  <c:v>198.23946870558811</c:v>
                </c:pt>
                <c:pt idx="38">
                  <c:v>216.96666025537795</c:v>
                </c:pt>
                <c:pt idx="39">
                  <c:v>235.6566834392496</c:v>
                </c:pt>
                <c:pt idx="40">
                  <c:v>254.31290079767018</c:v>
                </c:pt>
                <c:pt idx="41">
                  <c:v>219.33174356123664</c:v>
                </c:pt>
                <c:pt idx="42">
                  <c:v>237.15896823706899</c:v>
                </c:pt>
                <c:pt idx="43">
                  <c:v>254.95565122562834</c:v>
                </c:pt>
                <c:pt idx="44">
                  <c:v>272.7242242833733</c:v>
                </c:pt>
                <c:pt idx="45">
                  <c:v>290.46677631348359</c:v>
                </c:pt>
                <c:pt idx="46">
                  <c:v>308.1851201400745</c:v>
                </c:pt>
                <c:pt idx="47">
                  <c:v>282.72084884613577</c:v>
                </c:pt>
                <c:pt idx="48">
                  <c:v>294.41808301264047</c:v>
                </c:pt>
                <c:pt idx="49">
                  <c:v>306.10494980768692</c:v>
                </c:pt>
                <c:pt idx="50">
                  <c:v>317.78190098794818</c:v>
                </c:pt>
                <c:pt idx="51">
                  <c:v>329.44935238599902</c:v>
                </c:pt>
                <c:pt idx="52">
                  <c:v>341.10768796533586</c:v>
                </c:pt>
                <c:pt idx="53">
                  <c:v>352.75726329182407</c:v>
                </c:pt>
                <c:pt idx="54">
                  <c:v>364.3984085224493</c:v>
                </c:pt>
                <c:pt idx="55">
                  <c:v>350.20466418392272</c:v>
                </c:pt>
                <c:pt idx="56">
                  <c:v>356.42591601774166</c:v>
                </c:pt>
                <c:pt idx="57">
                  <c:v>362.64479042154329</c:v>
                </c:pt>
                <c:pt idx="58">
                  <c:v>368.86133395874549</c:v>
                </c:pt>
                <c:pt idx="59">
                  <c:v>375.07559149363414</c:v>
                </c:pt>
                <c:pt idx="60">
                  <c:v>381.28760628111854</c:v>
                </c:pt>
                <c:pt idx="61">
                  <c:v>387.49742005032766</c:v>
                </c:pt>
                <c:pt idx="62">
                  <c:v>393.70507308256555</c:v>
                </c:pt>
                <c:pt idx="63">
                  <c:v>384.79084614161474</c:v>
                </c:pt>
                <c:pt idx="64">
                  <c:v>384.79084614161474</c:v>
                </c:pt>
                <c:pt idx="65">
                  <c:v>384.79084614161474</c:v>
                </c:pt>
                <c:pt idx="66">
                  <c:v>384.79084614161474</c:v>
                </c:pt>
                <c:pt idx="67">
                  <c:v>384.79084614161474</c:v>
                </c:pt>
                <c:pt idx="68">
                  <c:v>384.79084614161474</c:v>
                </c:pt>
                <c:pt idx="69">
                  <c:v>384.79084614161474</c:v>
                </c:pt>
                <c:pt idx="70">
                  <c:v>384.79084614161474</c:v>
                </c:pt>
                <c:pt idx="71">
                  <c:v>384.79084614161474</c:v>
                </c:pt>
                <c:pt idx="72">
                  <c:v>384.79084614161474</c:v>
                </c:pt>
                <c:pt idx="73">
                  <c:v>384.79084614161474</c:v>
                </c:pt>
                <c:pt idx="74">
                  <c:v>384.79084614161474</c:v>
                </c:pt>
                <c:pt idx="75">
                  <c:v>384.79084614161474</c:v>
                </c:pt>
                <c:pt idx="76">
                  <c:v>384.79084614161474</c:v>
                </c:pt>
                <c:pt idx="77">
                  <c:v>384.79084614161474</c:v>
                </c:pt>
                <c:pt idx="78">
                  <c:v>384.79084614161474</c:v>
                </c:pt>
                <c:pt idx="79">
                  <c:v>384.79084614161474</c:v>
                </c:pt>
                <c:pt idx="80">
                  <c:v>384.79084614161474</c:v>
                </c:pt>
                <c:pt idx="81">
                  <c:v>384.79084614161474</c:v>
                </c:pt>
                <c:pt idx="82">
                  <c:v>384.79084614161474</c:v>
                </c:pt>
                <c:pt idx="83">
                  <c:v>384.79084614161474</c:v>
                </c:pt>
                <c:pt idx="84">
                  <c:v>384.79084614161474</c:v>
                </c:pt>
                <c:pt idx="85">
                  <c:v>384.79084614161474</c:v>
                </c:pt>
                <c:pt idx="86">
                  <c:v>384.79084614161474</c:v>
                </c:pt>
                <c:pt idx="87">
                  <c:v>384.79084614161474</c:v>
                </c:pt>
                <c:pt idx="88">
                  <c:v>384.79084614161474</c:v>
                </c:pt>
                <c:pt idx="89">
                  <c:v>384.79084614161474</c:v>
                </c:pt>
                <c:pt idx="90">
                  <c:v>384.79084614161474</c:v>
                </c:pt>
                <c:pt idx="91">
                  <c:v>384.79084614161474</c:v>
                </c:pt>
                <c:pt idx="92">
                  <c:v>384.79084614161474</c:v>
                </c:pt>
                <c:pt idx="93">
                  <c:v>384.79084614161474</c:v>
                </c:pt>
                <c:pt idx="94">
                  <c:v>384.79084614161474</c:v>
                </c:pt>
                <c:pt idx="95">
                  <c:v>384.79084614161474</c:v>
                </c:pt>
                <c:pt idx="96">
                  <c:v>384.79084614161474</c:v>
                </c:pt>
                <c:pt idx="97">
                  <c:v>384.79084614161474</c:v>
                </c:pt>
                <c:pt idx="98">
                  <c:v>384.79084614161474</c:v>
                </c:pt>
                <c:pt idx="99">
                  <c:v>384.79084614161474</c:v>
                </c:pt>
                <c:pt idx="100">
                  <c:v>384.79084614161474</c:v>
                </c:pt>
                <c:pt idx="101">
                  <c:v>384.79084614161474</c:v>
                </c:pt>
                <c:pt idx="102">
                  <c:v>384.79084614161474</c:v>
                </c:pt>
                <c:pt idx="103">
                  <c:v>384.79084614161474</c:v>
                </c:pt>
                <c:pt idx="104">
                  <c:v>384.79084614161474</c:v>
                </c:pt>
                <c:pt idx="105">
                  <c:v>384.79084614161474</c:v>
                </c:pt>
                <c:pt idx="106">
                  <c:v>384.79084614161474</c:v>
                </c:pt>
                <c:pt idx="107">
                  <c:v>384.79084614161474</c:v>
                </c:pt>
                <c:pt idx="108">
                  <c:v>384.79084614161474</c:v>
                </c:pt>
                <c:pt idx="109">
                  <c:v>384.79084614161474</c:v>
                </c:pt>
                <c:pt idx="110">
                  <c:v>384.79084614161474</c:v>
                </c:pt>
                <c:pt idx="111">
                  <c:v>384.79084614161474</c:v>
                </c:pt>
                <c:pt idx="112">
                  <c:v>384.79084614161474</c:v>
                </c:pt>
                <c:pt idx="113">
                  <c:v>384.79084614161474</c:v>
                </c:pt>
                <c:pt idx="114">
                  <c:v>384.79084614161474</c:v>
                </c:pt>
                <c:pt idx="115">
                  <c:v>384.79084614161474</c:v>
                </c:pt>
                <c:pt idx="116">
                  <c:v>384.79084614161474</c:v>
                </c:pt>
                <c:pt idx="117">
                  <c:v>384.79084614161474</c:v>
                </c:pt>
                <c:pt idx="118">
                  <c:v>384.79084614161474</c:v>
                </c:pt>
                <c:pt idx="119">
                  <c:v>384.79084614161474</c:v>
                </c:pt>
                <c:pt idx="120">
                  <c:v>384.79084614161474</c:v>
                </c:pt>
                <c:pt idx="121">
                  <c:v>384.79084614161474</c:v>
                </c:pt>
                <c:pt idx="122">
                  <c:v>384.79084614161474</c:v>
                </c:pt>
                <c:pt idx="123">
                  <c:v>384.79084614161474</c:v>
                </c:pt>
                <c:pt idx="124">
                  <c:v>384.79084614161474</c:v>
                </c:pt>
                <c:pt idx="125">
                  <c:v>384.79084614161474</c:v>
                </c:pt>
                <c:pt idx="126">
                  <c:v>384.79084614161474</c:v>
                </c:pt>
                <c:pt idx="127">
                  <c:v>384.79084614161474</c:v>
                </c:pt>
                <c:pt idx="128">
                  <c:v>384.79084614161474</c:v>
                </c:pt>
                <c:pt idx="129">
                  <c:v>384.79084614161474</c:v>
                </c:pt>
                <c:pt idx="130">
                  <c:v>384.79084614161474</c:v>
                </c:pt>
                <c:pt idx="131">
                  <c:v>384.79084614161474</c:v>
                </c:pt>
                <c:pt idx="132">
                  <c:v>384.79084614161474</c:v>
                </c:pt>
                <c:pt idx="133">
                  <c:v>384.79084614161474</c:v>
                </c:pt>
                <c:pt idx="134">
                  <c:v>384.79084614161474</c:v>
                </c:pt>
                <c:pt idx="135">
                  <c:v>384.79084614161474</c:v>
                </c:pt>
                <c:pt idx="136">
                  <c:v>384.79084614161474</c:v>
                </c:pt>
                <c:pt idx="137">
                  <c:v>384.79084614161474</c:v>
                </c:pt>
                <c:pt idx="138">
                  <c:v>384.79084614161474</c:v>
                </c:pt>
                <c:pt idx="139">
                  <c:v>384.79084614161474</c:v>
                </c:pt>
                <c:pt idx="140">
                  <c:v>384.79084614161474</c:v>
                </c:pt>
                <c:pt idx="141">
                  <c:v>384.79084614161474</c:v>
                </c:pt>
                <c:pt idx="142">
                  <c:v>384.79084614161474</c:v>
                </c:pt>
                <c:pt idx="143">
                  <c:v>384.79084614161474</c:v>
                </c:pt>
                <c:pt idx="144">
                  <c:v>384.79084614161474</c:v>
                </c:pt>
                <c:pt idx="145">
                  <c:v>384.79084614161474</c:v>
                </c:pt>
                <c:pt idx="146">
                  <c:v>384.79084614161474</c:v>
                </c:pt>
                <c:pt idx="147">
                  <c:v>384.79084614161474</c:v>
                </c:pt>
                <c:pt idx="148">
                  <c:v>384.79084614161474</c:v>
                </c:pt>
                <c:pt idx="149">
                  <c:v>384.79084614161474</c:v>
                </c:pt>
                <c:pt idx="150">
                  <c:v>384.79084614161474</c:v>
                </c:pt>
                <c:pt idx="151">
                  <c:v>384.79084614161474</c:v>
                </c:pt>
                <c:pt idx="152">
                  <c:v>384.79084614161474</c:v>
                </c:pt>
                <c:pt idx="153">
                  <c:v>384.79084614161474</c:v>
                </c:pt>
                <c:pt idx="154">
                  <c:v>384.79084614161474</c:v>
                </c:pt>
                <c:pt idx="155">
                  <c:v>384.79084614161474</c:v>
                </c:pt>
                <c:pt idx="156">
                  <c:v>384.79084614161474</c:v>
                </c:pt>
                <c:pt idx="157">
                  <c:v>384.79084614161474</c:v>
                </c:pt>
                <c:pt idx="158">
                  <c:v>384.79084614161474</c:v>
                </c:pt>
                <c:pt idx="159">
                  <c:v>384.79084614161474</c:v>
                </c:pt>
                <c:pt idx="160">
                  <c:v>384.79084614161474</c:v>
                </c:pt>
                <c:pt idx="161">
                  <c:v>384.79084614161474</c:v>
                </c:pt>
                <c:pt idx="162">
                  <c:v>384.79084614161474</c:v>
                </c:pt>
                <c:pt idx="163">
                  <c:v>384.79084614161474</c:v>
                </c:pt>
                <c:pt idx="164">
                  <c:v>384.79084614161474</c:v>
                </c:pt>
                <c:pt idx="165">
                  <c:v>384.79084614161474</c:v>
                </c:pt>
                <c:pt idx="166">
                  <c:v>384.79084614161474</c:v>
                </c:pt>
                <c:pt idx="167">
                  <c:v>384.79084614161474</c:v>
                </c:pt>
                <c:pt idx="168">
                  <c:v>384.79084614161474</c:v>
                </c:pt>
                <c:pt idx="169">
                  <c:v>384.79084614161474</c:v>
                </c:pt>
                <c:pt idx="170">
                  <c:v>384.79084614161474</c:v>
                </c:pt>
                <c:pt idx="171">
                  <c:v>384.79084614161474</c:v>
                </c:pt>
                <c:pt idx="172">
                  <c:v>384.79084614161474</c:v>
                </c:pt>
                <c:pt idx="173">
                  <c:v>384.79084614161474</c:v>
                </c:pt>
                <c:pt idx="174">
                  <c:v>384.79084614161474</c:v>
                </c:pt>
                <c:pt idx="175">
                  <c:v>384.79084614161474</c:v>
                </c:pt>
                <c:pt idx="176">
                  <c:v>384.79084614161474</c:v>
                </c:pt>
                <c:pt idx="177">
                  <c:v>384.79084614161474</c:v>
                </c:pt>
                <c:pt idx="178">
                  <c:v>384.79084614161474</c:v>
                </c:pt>
                <c:pt idx="179">
                  <c:v>384.79084614161474</c:v>
                </c:pt>
                <c:pt idx="180">
                  <c:v>384.79084614161474</c:v>
                </c:pt>
                <c:pt idx="181">
                  <c:v>384.79084614161474</c:v>
                </c:pt>
                <c:pt idx="182">
                  <c:v>384.79084614161474</c:v>
                </c:pt>
                <c:pt idx="183">
                  <c:v>384.79084614161474</c:v>
                </c:pt>
                <c:pt idx="184">
                  <c:v>384.79084614161474</c:v>
                </c:pt>
                <c:pt idx="185">
                  <c:v>384.79084614161474</c:v>
                </c:pt>
                <c:pt idx="186">
                  <c:v>384.79084614161474</c:v>
                </c:pt>
                <c:pt idx="187">
                  <c:v>384.79084614161474</c:v>
                </c:pt>
                <c:pt idx="188">
                  <c:v>384.79084614161474</c:v>
                </c:pt>
                <c:pt idx="189">
                  <c:v>384.79084614161474</c:v>
                </c:pt>
                <c:pt idx="190">
                  <c:v>384.79084614161474</c:v>
                </c:pt>
                <c:pt idx="191">
                  <c:v>384.79084614161474</c:v>
                </c:pt>
                <c:pt idx="192">
                  <c:v>384.79084614161474</c:v>
                </c:pt>
                <c:pt idx="193">
                  <c:v>384.79084614161474</c:v>
                </c:pt>
                <c:pt idx="194">
                  <c:v>384.79084614161474</c:v>
                </c:pt>
                <c:pt idx="195">
                  <c:v>384.79084614161474</c:v>
                </c:pt>
                <c:pt idx="196">
                  <c:v>384.79084614161474</c:v>
                </c:pt>
                <c:pt idx="197">
                  <c:v>384.79084614161474</c:v>
                </c:pt>
                <c:pt idx="198">
                  <c:v>384.79084614161474</c:v>
                </c:pt>
                <c:pt idx="199">
                  <c:v>384.79084614161474</c:v>
                </c:pt>
                <c:pt idx="200">
                  <c:v>384.79084614161474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2.7215305644991119</c:v>
                </c:pt>
                <c:pt idx="2">
                  <c:v>3.2058292136632871</c:v>
                </c:pt>
                <c:pt idx="3">
                  <c:v>3.7766249877618967</c:v>
                </c:pt>
                <c:pt idx="4">
                  <c:v>4.4494197759318128</c:v>
                </c:pt>
                <c:pt idx="5">
                  <c:v>5.2425026420165475</c:v>
                </c:pt>
                <c:pt idx="6">
                  <c:v>6.1774524454073623</c:v>
                </c:pt>
                <c:pt idx="7">
                  <c:v>7.279731351365875</c:v>
                </c:pt>
                <c:pt idx="8">
                  <c:v>8.5793857081002205</c:v>
                </c:pt>
                <c:pt idx="9">
                  <c:v>10.111873761925157</c:v>
                </c:pt>
                <c:pt idx="10">
                  <c:v>11.919043221083896</c:v>
                </c:pt>
                <c:pt idx="11">
                  <c:v>14.050285862708584</c:v>
                </c:pt>
                <c:pt idx="12">
                  <c:v>16.563901323586503</c:v>
                </c:pt>
                <c:pt idx="13">
                  <c:v>19.528708063023274</c:v>
                </c:pt>
                <c:pt idx="14">
                  <c:v>23.025946399735997</c:v>
                </c:pt>
                <c:pt idx="15">
                  <c:v>27.151526699050493</c:v>
                </c:pt>
                <c:pt idx="16">
                  <c:v>32.018685452011319</c:v>
                </c:pt>
                <c:pt idx="17">
                  <c:v>37.761123416768235</c:v>
                </c:pt>
                <c:pt idx="18">
                  <c:v>44.536713507062494</c:v>
                </c:pt>
                <c:pt idx="19">
                  <c:v>52.531882094072188</c:v>
                </c:pt>
                <c:pt idx="20">
                  <c:v>61.966786287367512</c:v>
                </c:pt>
                <c:pt idx="21">
                  <c:v>73.101432111948</c:v>
                </c:pt>
                <c:pt idx="22">
                  <c:v>86.242904932711554</c:v>
                </c:pt>
                <c:pt idx="23">
                  <c:v>101.75391474233156</c:v>
                </c:pt>
                <c:pt idx="24">
                  <c:v>120.06289590738133</c:v>
                </c:pt>
                <c:pt idx="25">
                  <c:v>141.67594470663133</c:v>
                </c:pt>
                <c:pt idx="26">
                  <c:v>139.70382844505221</c:v>
                </c:pt>
                <c:pt idx="27">
                  <c:v>153.49516770691636</c:v>
                </c:pt>
                <c:pt idx="28">
                  <c:v>167.25702755094335</c:v>
                </c:pt>
                <c:pt idx="29">
                  <c:v>180.99217685858619</c:v>
                </c:pt>
                <c:pt idx="30">
                  <c:v>194.7029293179402</c:v>
                </c:pt>
                <c:pt idx="31">
                  <c:v>169.22076873606747</c:v>
                </c:pt>
                <c:pt idx="32">
                  <c:v>184.91193253803269</c:v>
                </c:pt>
                <c:pt idx="33">
                  <c:v>200.57199414028256</c:v>
                </c:pt>
                <c:pt idx="34">
                  <c:v>216.20372460175972</c:v>
                </c:pt>
                <c:pt idx="35">
                  <c:v>231.8094611658297</c:v>
                </c:pt>
                <c:pt idx="36">
                  <c:v>207.21879690654114</c:v>
                </c:pt>
                <c:pt idx="37">
                  <c:v>223.61956111075639</c:v>
                </c:pt>
                <c:pt idx="38">
                  <c:v>239.99275146392395</c:v>
                </c:pt>
                <c:pt idx="39">
                  <c:v>256.34051411178774</c:v>
                </c:pt>
                <c:pt idx="40">
                  <c:v>272.6646989766358</c:v>
                </c:pt>
                <c:pt idx="41">
                  <c:v>248.16968942779496</c:v>
                </c:pt>
                <c:pt idx="42">
                  <c:v>264.50544806917623</c:v>
                </c:pt>
                <c:pt idx="43">
                  <c:v>280.81846105391611</c:v>
                </c:pt>
                <c:pt idx="44">
                  <c:v>297.11023564036327</c:v>
                </c:pt>
                <c:pt idx="45">
                  <c:v>313.38210026249641</c:v>
                </c:pt>
                <c:pt idx="46">
                  <c:v>288.57901240448905</c:v>
                </c:pt>
                <c:pt idx="47">
                  <c:v>304.47370954373423</c:v>
                </c:pt>
                <c:pt idx="48">
                  <c:v>320.34995854628937</c:v>
                </c:pt>
                <c:pt idx="49">
                  <c:v>336.20880231759617</c:v>
                </c:pt>
                <c:pt idx="50">
                  <c:v>352.05117734371055</c:v>
                </c:pt>
                <c:pt idx="51">
                  <c:v>326.9276331083118</c:v>
                </c:pt>
                <c:pt idx="52">
                  <c:v>342.393103483792</c:v>
                </c:pt>
                <c:pt idx="53">
                  <c:v>357.84322260194625</c:v>
                </c:pt>
                <c:pt idx="54">
                  <c:v>373.27874650728046</c:v>
                </c:pt>
                <c:pt idx="55">
                  <c:v>388.70036362009404</c:v>
                </c:pt>
                <c:pt idx="56">
                  <c:v>362.8613341480654</c:v>
                </c:pt>
                <c:pt idx="57">
                  <c:v>377.52104986809326</c:v>
                </c:pt>
                <c:pt idx="58">
                  <c:v>392.16837634017293</c:v>
                </c:pt>
                <c:pt idx="59">
                  <c:v>406.80384141548689</c:v>
                </c:pt>
                <c:pt idx="60">
                  <c:v>421.42793186976087</c:v>
                </c:pt>
                <c:pt idx="61">
                  <c:v>394.86525935006392</c:v>
                </c:pt>
                <c:pt idx="62">
                  <c:v>408.72870365690932</c:v>
                </c:pt>
                <c:pt idx="63">
                  <c:v>422.5819944009279</c:v>
                </c:pt>
                <c:pt idx="64">
                  <c:v>436.42551129808606</c:v>
                </c:pt>
                <c:pt idx="65">
                  <c:v>450.25960801246725</c:v>
                </c:pt>
                <c:pt idx="66">
                  <c:v>422.96666682108594</c:v>
                </c:pt>
                <c:pt idx="67">
                  <c:v>436.04109794385857</c:v>
                </c:pt>
                <c:pt idx="68">
                  <c:v>449.10711821530072</c:v>
                </c:pt>
                <c:pt idx="69">
                  <c:v>462.16500679362099</c:v>
                </c:pt>
                <c:pt idx="70">
                  <c:v>475.21502577729035</c:v>
                </c:pt>
                <c:pt idx="71">
                  <c:v>446.80194854061978</c:v>
                </c:pt>
                <c:pt idx="72">
                  <c:v>458.70928319621316</c:v>
                </c:pt>
                <c:pt idx="73">
                  <c:v>470.61001955868886</c:v>
                </c:pt>
                <c:pt idx="74">
                  <c:v>482.50434799892832</c:v>
                </c:pt>
                <c:pt idx="75">
                  <c:v>494.3924487367961</c:v>
                </c:pt>
                <c:pt idx="76">
                  <c:v>465.62017905920658</c:v>
                </c:pt>
                <c:pt idx="77">
                  <c:v>477.13349754486745</c:v>
                </c:pt>
                <c:pt idx="78">
                  <c:v>488.64090858857691</c:v>
                </c:pt>
                <c:pt idx="79">
                  <c:v>500.14257091604264</c:v>
                </c:pt>
                <c:pt idx="80">
                  <c:v>511.63863535742689</c:v>
                </c:pt>
                <c:pt idx="81">
                  <c:v>482.50434799892832</c:v>
                </c:pt>
                <c:pt idx="82">
                  <c:v>493.62565905582659</c:v>
                </c:pt>
                <c:pt idx="83">
                  <c:v>504.74166024448397</c:v>
                </c:pt>
                <c:pt idx="84">
                  <c:v>515.85248498703129</c:v>
                </c:pt>
                <c:pt idx="85">
                  <c:v>526.95826048952051</c:v>
                </c:pt>
                <c:pt idx="86">
                  <c:v>497.07601440225949</c:v>
                </c:pt>
                <c:pt idx="87">
                  <c:v>507.42405248193222</c:v>
                </c:pt>
                <c:pt idx="88">
                  <c:v>517.76763064124964</c:v>
                </c:pt>
                <c:pt idx="89">
                  <c:v>528.10685054075043</c:v>
                </c:pt>
                <c:pt idx="90">
                  <c:v>538.44180953565808</c:v>
                </c:pt>
                <c:pt idx="91">
                  <c:v>507.80722686130588</c:v>
                </c:pt>
                <c:pt idx="92">
                  <c:v>517.38461348648946</c:v>
                </c:pt>
                <c:pt idx="93">
                  <c:v>526.95826048952051</c:v>
                </c:pt>
                <c:pt idx="94">
                  <c:v>536.52824539615096</c:v>
                </c:pt>
                <c:pt idx="95">
                  <c:v>546.09464274073537</c:v>
                </c:pt>
                <c:pt idx="96">
                  <c:v>515.08638473795281</c:v>
                </c:pt>
                <c:pt idx="97">
                  <c:v>524.27801174542856</c:v>
                </c:pt>
                <c:pt idx="98">
                  <c:v>533.46624406259423</c:v>
                </c:pt>
                <c:pt idx="99">
                  <c:v>542.65114840915578</c:v>
                </c:pt>
                <c:pt idx="100">
                  <c:v>551.83278906179692</c:v>
                </c:pt>
                <c:pt idx="101">
                  <c:v>520.44858362500713</c:v>
                </c:pt>
                <c:pt idx="102">
                  <c:v>529.25538799232447</c:v>
                </c:pt>
                <c:pt idx="103">
                  <c:v>538.05910815921254</c:v>
                </c:pt>
                <c:pt idx="104">
                  <c:v>546.8598017122614</c:v>
                </c:pt>
                <c:pt idx="105">
                  <c:v>555.65752423315951</c:v>
                </c:pt>
                <c:pt idx="106">
                  <c:v>525.42672503969118</c:v>
                </c:pt>
                <c:pt idx="107">
                  <c:v>533.46624406259446</c:v>
                </c:pt>
                <c:pt idx="108">
                  <c:v>541.50321514452014</c:v>
                </c:pt>
                <c:pt idx="109">
                  <c:v>549.53768144295748</c:v>
                </c:pt>
                <c:pt idx="110">
                  <c:v>557.56968475025781</c:v>
                </c:pt>
                <c:pt idx="111">
                  <c:v>528.48970219589683</c:v>
                </c:pt>
                <c:pt idx="112">
                  <c:v>535.76277959494894</c:v>
                </c:pt>
                <c:pt idx="113">
                  <c:v>543.03378149300659</c:v>
                </c:pt>
                <c:pt idx="114">
                  <c:v>550.30273960772308</c:v>
                </c:pt>
                <c:pt idx="115">
                  <c:v>557.56968475025803</c:v>
                </c:pt>
                <c:pt idx="116">
                  <c:v>530.02105046908684</c:v>
                </c:pt>
                <c:pt idx="117">
                  <c:v>536.91096968482668</c:v>
                </c:pt>
                <c:pt idx="118">
                  <c:v>543.79903068153806</c:v>
                </c:pt>
                <c:pt idx="119">
                  <c:v>550.68526032404031</c:v>
                </c:pt>
                <c:pt idx="120">
                  <c:v>557.56968475025815</c:v>
                </c:pt>
                <c:pt idx="121">
                  <c:v>525.04382649327385</c:v>
                </c:pt>
                <c:pt idx="122">
                  <c:v>525.04382649327385</c:v>
                </c:pt>
                <c:pt idx="123">
                  <c:v>525.04382649327385</c:v>
                </c:pt>
                <c:pt idx="124">
                  <c:v>525.04382649327385</c:v>
                </c:pt>
                <c:pt idx="125">
                  <c:v>525.04382649327385</c:v>
                </c:pt>
                <c:pt idx="126">
                  <c:v>525.04382649327385</c:v>
                </c:pt>
                <c:pt idx="127">
                  <c:v>525.04382649327385</c:v>
                </c:pt>
                <c:pt idx="128">
                  <c:v>525.04382649327385</c:v>
                </c:pt>
                <c:pt idx="129">
                  <c:v>525.04382649327385</c:v>
                </c:pt>
                <c:pt idx="130">
                  <c:v>525.04382649327385</c:v>
                </c:pt>
                <c:pt idx="131">
                  <c:v>525.04382649327385</c:v>
                </c:pt>
                <c:pt idx="132">
                  <c:v>525.04382649327385</c:v>
                </c:pt>
                <c:pt idx="133">
                  <c:v>525.04382649327385</c:v>
                </c:pt>
                <c:pt idx="134">
                  <c:v>525.04382649327385</c:v>
                </c:pt>
                <c:pt idx="135">
                  <c:v>525.04382649327385</c:v>
                </c:pt>
                <c:pt idx="136">
                  <c:v>525.04382649327385</c:v>
                </c:pt>
                <c:pt idx="137">
                  <c:v>525.04382649327385</c:v>
                </c:pt>
                <c:pt idx="138">
                  <c:v>525.04382649327385</c:v>
                </c:pt>
                <c:pt idx="139">
                  <c:v>525.04382649327385</c:v>
                </c:pt>
                <c:pt idx="140">
                  <c:v>525.04382649327385</c:v>
                </c:pt>
                <c:pt idx="141">
                  <c:v>525.04382649327385</c:v>
                </c:pt>
                <c:pt idx="142">
                  <c:v>525.04382649327385</c:v>
                </c:pt>
                <c:pt idx="143">
                  <c:v>525.04382649327385</c:v>
                </c:pt>
                <c:pt idx="144">
                  <c:v>525.04382649327385</c:v>
                </c:pt>
                <c:pt idx="145">
                  <c:v>525.04382649327385</c:v>
                </c:pt>
                <c:pt idx="146">
                  <c:v>525.04382649327385</c:v>
                </c:pt>
                <c:pt idx="147">
                  <c:v>525.04382649327385</c:v>
                </c:pt>
                <c:pt idx="148">
                  <c:v>525.04382649327385</c:v>
                </c:pt>
                <c:pt idx="149">
                  <c:v>525.04382649327385</c:v>
                </c:pt>
                <c:pt idx="150">
                  <c:v>525.04382649327385</c:v>
                </c:pt>
                <c:pt idx="151">
                  <c:v>525.04382649327385</c:v>
                </c:pt>
                <c:pt idx="152">
                  <c:v>525.04382649327385</c:v>
                </c:pt>
                <c:pt idx="153">
                  <c:v>525.04382649327385</c:v>
                </c:pt>
                <c:pt idx="154">
                  <c:v>525.04382649327385</c:v>
                </c:pt>
                <c:pt idx="155">
                  <c:v>525.04382649327385</c:v>
                </c:pt>
                <c:pt idx="156">
                  <c:v>525.04382649327385</c:v>
                </c:pt>
                <c:pt idx="157">
                  <c:v>525.04382649327385</c:v>
                </c:pt>
                <c:pt idx="158">
                  <c:v>525.04382649327385</c:v>
                </c:pt>
                <c:pt idx="159">
                  <c:v>525.04382649327385</c:v>
                </c:pt>
                <c:pt idx="160">
                  <c:v>525.04382649327385</c:v>
                </c:pt>
                <c:pt idx="161">
                  <c:v>525.04382649327385</c:v>
                </c:pt>
                <c:pt idx="162">
                  <c:v>525.04382649327385</c:v>
                </c:pt>
                <c:pt idx="163">
                  <c:v>525.04382649327385</c:v>
                </c:pt>
                <c:pt idx="164">
                  <c:v>525.04382649327385</c:v>
                </c:pt>
                <c:pt idx="165">
                  <c:v>525.04382649327385</c:v>
                </c:pt>
                <c:pt idx="166">
                  <c:v>525.04382649327385</c:v>
                </c:pt>
                <c:pt idx="167">
                  <c:v>525.04382649327385</c:v>
                </c:pt>
                <c:pt idx="168">
                  <c:v>525.04382649327385</c:v>
                </c:pt>
                <c:pt idx="169">
                  <c:v>525.04382649327385</c:v>
                </c:pt>
                <c:pt idx="170">
                  <c:v>525.04382649327385</c:v>
                </c:pt>
                <c:pt idx="171">
                  <c:v>525.04382649327385</c:v>
                </c:pt>
                <c:pt idx="172">
                  <c:v>525.04382649327385</c:v>
                </c:pt>
                <c:pt idx="173">
                  <c:v>525.04382649327385</c:v>
                </c:pt>
                <c:pt idx="174">
                  <c:v>525.04382649327385</c:v>
                </c:pt>
                <c:pt idx="175">
                  <c:v>525.04382649327385</c:v>
                </c:pt>
                <c:pt idx="176">
                  <c:v>525.04382649327385</c:v>
                </c:pt>
                <c:pt idx="177">
                  <c:v>525.04382649327385</c:v>
                </c:pt>
                <c:pt idx="178">
                  <c:v>525.04382649327385</c:v>
                </c:pt>
                <c:pt idx="179">
                  <c:v>525.04382649327385</c:v>
                </c:pt>
                <c:pt idx="180">
                  <c:v>525.04382649327385</c:v>
                </c:pt>
                <c:pt idx="181">
                  <c:v>525.04382649327385</c:v>
                </c:pt>
                <c:pt idx="182">
                  <c:v>525.04382649327385</c:v>
                </c:pt>
                <c:pt idx="183">
                  <c:v>525.04382649327385</c:v>
                </c:pt>
                <c:pt idx="184">
                  <c:v>525.04382649327385</c:v>
                </c:pt>
                <c:pt idx="185">
                  <c:v>525.04382649327385</c:v>
                </c:pt>
                <c:pt idx="186">
                  <c:v>525.04382649327385</c:v>
                </c:pt>
                <c:pt idx="187">
                  <c:v>525.04382649327385</c:v>
                </c:pt>
                <c:pt idx="188">
                  <c:v>525.04382649327385</c:v>
                </c:pt>
                <c:pt idx="189">
                  <c:v>525.04382649327385</c:v>
                </c:pt>
                <c:pt idx="190">
                  <c:v>525.04382649327385</c:v>
                </c:pt>
                <c:pt idx="191">
                  <c:v>525.04382649327385</c:v>
                </c:pt>
                <c:pt idx="192">
                  <c:v>525.04382649327385</c:v>
                </c:pt>
                <c:pt idx="193">
                  <c:v>525.04382649327385</c:v>
                </c:pt>
                <c:pt idx="194">
                  <c:v>525.04382649327385</c:v>
                </c:pt>
                <c:pt idx="195">
                  <c:v>525.04382649327385</c:v>
                </c:pt>
                <c:pt idx="196">
                  <c:v>525.04382649327385</c:v>
                </c:pt>
                <c:pt idx="197">
                  <c:v>525.04382649327385</c:v>
                </c:pt>
                <c:pt idx="198">
                  <c:v>525.04382649327385</c:v>
                </c:pt>
                <c:pt idx="199">
                  <c:v>525.04382649327385</c:v>
                </c:pt>
                <c:pt idx="200">
                  <c:v>525.04382649327385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3.1448827526014789</c:v>
                </c:pt>
                <c:pt idx="2">
                  <c:v>4.0783538994547595</c:v>
                </c:pt>
                <c:pt idx="3">
                  <c:v>5.2900001998470128</c:v>
                </c:pt>
                <c:pt idx="4">
                  <c:v>6.8630264169854067</c:v>
                </c:pt>
                <c:pt idx="5">
                  <c:v>8.9056107073051347</c:v>
                </c:pt>
                <c:pt idx="6">
                  <c:v>11.558424170388015</c:v>
                </c:pt>
                <c:pt idx="7">
                  <c:v>15.004421189528943</c:v>
                </c:pt>
                <c:pt idx="8">
                  <c:v>19.481588140849077</c:v>
                </c:pt>
                <c:pt idx="9">
                  <c:v>25.299546747201394</c:v>
                </c:pt>
                <c:pt idx="10">
                  <c:v>32.861180535774103</c:v>
                </c:pt>
                <c:pt idx="11">
                  <c:v>42.690807874706756</c:v>
                </c:pt>
                <c:pt idx="12">
                  <c:v>55.470888171561171</c:v>
                </c:pt>
                <c:pt idx="13">
                  <c:v>72.089851987131979</c:v>
                </c:pt>
                <c:pt idx="14">
                  <c:v>93.704434098445333</c:v>
                </c:pt>
                <c:pt idx="15">
                  <c:v>121.82091713898713</c:v>
                </c:pt>
                <c:pt idx="16">
                  <c:v>119.32266184146289</c:v>
                </c:pt>
                <c:pt idx="17">
                  <c:v>139.69022533269052</c:v>
                </c:pt>
                <c:pt idx="18">
                  <c:v>159.98639323229054</c:v>
                </c:pt>
                <c:pt idx="19">
                  <c:v>180.22150974210368</c:v>
                </c:pt>
                <c:pt idx="20">
                  <c:v>200.40339902760681</c:v>
                </c:pt>
                <c:pt idx="21">
                  <c:v>190.52462490535592</c:v>
                </c:pt>
                <c:pt idx="22">
                  <c:v>211.50356294225205</c:v>
                </c:pt>
                <c:pt idx="23">
                  <c:v>232.43452337580371</c:v>
                </c:pt>
                <c:pt idx="24">
                  <c:v>253.32243416283723</c:v>
                </c:pt>
                <c:pt idx="25">
                  <c:v>274.17134356368149</c:v>
                </c:pt>
                <c:pt idx="26">
                  <c:v>256.18627627912707</c:v>
                </c:pt>
                <c:pt idx="27">
                  <c:v>277.03010943782311</c:v>
                </c:pt>
                <c:pt idx="28">
                  <c:v>297.83874433354407</c:v>
                </c:pt>
                <c:pt idx="29">
                  <c:v>318.61498499805043</c:v>
                </c:pt>
                <c:pt idx="30">
                  <c:v>339.36123992303629</c:v>
                </c:pt>
                <c:pt idx="31">
                  <c:v>316.98658873887399</c:v>
                </c:pt>
                <c:pt idx="32">
                  <c:v>337.32855839291466</c:v>
                </c:pt>
                <c:pt idx="33">
                  <c:v>357.64353127694943</c:v>
                </c:pt>
                <c:pt idx="34">
                  <c:v>377.93325577983637</c:v>
                </c:pt>
                <c:pt idx="35">
                  <c:v>398.19927730859052</c:v>
                </c:pt>
                <c:pt idx="36">
                  <c:v>372.25458524998066</c:v>
                </c:pt>
                <c:pt idx="37">
                  <c:v>390.90615020805762</c:v>
                </c:pt>
                <c:pt idx="38">
                  <c:v>409.53841471156375</c:v>
                </c:pt>
                <c:pt idx="39">
                  <c:v>428.15237998828275</c:v>
                </c:pt>
                <c:pt idx="40">
                  <c:v>446.74895314532552</c:v>
                </c:pt>
                <c:pt idx="41">
                  <c:v>418.44297119801377</c:v>
                </c:pt>
                <c:pt idx="42">
                  <c:v>436.6442259968922</c:v>
                </c:pt>
                <c:pt idx="43">
                  <c:v>454.82920658695576</c:v>
                </c:pt>
                <c:pt idx="44">
                  <c:v>472.99865488119258</c:v>
                </c:pt>
                <c:pt idx="45">
                  <c:v>491.15325117467358</c:v>
                </c:pt>
                <c:pt idx="46">
                  <c:v>460.07972261531557</c:v>
                </c:pt>
                <c:pt idx="47">
                  <c:v>477.43779176321937</c:v>
                </c:pt>
                <c:pt idx="48">
                  <c:v>494.78244415923376</c:v>
                </c:pt>
                <c:pt idx="49">
                  <c:v>512.11421609335616</c:v>
                </c:pt>
                <c:pt idx="50">
                  <c:v>529.43360461515215</c:v>
                </c:pt>
                <c:pt idx="51">
                  <c:v>497.60475956110253</c:v>
                </c:pt>
                <c:pt idx="52">
                  <c:v>514.12872559596747</c:v>
                </c:pt>
                <c:pt idx="53">
                  <c:v>530.64148401823616</c:v>
                </c:pt>
                <c:pt idx="54">
                  <c:v>547.14343251865023</c:v>
                </c:pt>
                <c:pt idx="55">
                  <c:v>563.63494285621744</c:v>
                </c:pt>
                <c:pt idx="56">
                  <c:v>532.65448784339935</c:v>
                </c:pt>
                <c:pt idx="57">
                  <c:v>547.94813569401742</c:v>
                </c:pt>
                <c:pt idx="58">
                  <c:v>563.23283231364178</c:v>
                </c:pt>
                <c:pt idx="59">
                  <c:v>578.50885471155289</c:v>
                </c:pt>
                <c:pt idx="60">
                  <c:v>593.77646408241515</c:v>
                </c:pt>
                <c:pt idx="61">
                  <c:v>562.02646462929238</c:v>
                </c:pt>
                <c:pt idx="62">
                  <c:v>576.49933790299667</c:v>
                </c:pt>
                <c:pt idx="63">
                  <c:v>590.96463046211261</c:v>
                </c:pt>
                <c:pt idx="64">
                  <c:v>605.42255391496565</c:v>
                </c:pt>
                <c:pt idx="65">
                  <c:v>619.87330894420143</c:v>
                </c:pt>
                <c:pt idx="66">
                  <c:v>587.34900624869272</c:v>
                </c:pt>
                <c:pt idx="67">
                  <c:v>601.00562468188161</c:v>
                </c:pt>
                <c:pt idx="68">
                  <c:v>614.65579543478577</c:v>
                </c:pt>
                <c:pt idx="69">
                  <c:v>628.29968180581488</c:v>
                </c:pt>
                <c:pt idx="70">
                  <c:v>641.93743942630658</c:v>
                </c:pt>
                <c:pt idx="71">
                  <c:v>597.79288898117682</c:v>
                </c:pt>
                <c:pt idx="72">
                  <c:v>597.79288898117682</c:v>
                </c:pt>
                <c:pt idx="73">
                  <c:v>597.79288898117682</c:v>
                </c:pt>
                <c:pt idx="74">
                  <c:v>597.79288898117682</c:v>
                </c:pt>
                <c:pt idx="75">
                  <c:v>597.79288898117682</c:v>
                </c:pt>
                <c:pt idx="76">
                  <c:v>597.79288898117682</c:v>
                </c:pt>
                <c:pt idx="77">
                  <c:v>597.79288898117682</c:v>
                </c:pt>
                <c:pt idx="78">
                  <c:v>597.79288898117682</c:v>
                </c:pt>
                <c:pt idx="79">
                  <c:v>597.79288898117682</c:v>
                </c:pt>
                <c:pt idx="80">
                  <c:v>597.79288898117682</c:v>
                </c:pt>
                <c:pt idx="81">
                  <c:v>597.79288898117682</c:v>
                </c:pt>
                <c:pt idx="82">
                  <c:v>597.79288898117682</c:v>
                </c:pt>
                <c:pt idx="83">
                  <c:v>597.79288898117682</c:v>
                </c:pt>
                <c:pt idx="84">
                  <c:v>597.79288898117682</c:v>
                </c:pt>
                <c:pt idx="85">
                  <c:v>597.79288898117682</c:v>
                </c:pt>
                <c:pt idx="86">
                  <c:v>597.79288898117682</c:v>
                </c:pt>
                <c:pt idx="87">
                  <c:v>597.79288898117682</c:v>
                </c:pt>
                <c:pt idx="88">
                  <c:v>597.79288898117682</c:v>
                </c:pt>
                <c:pt idx="89">
                  <c:v>597.79288898117682</c:v>
                </c:pt>
                <c:pt idx="90">
                  <c:v>597.79288898117682</c:v>
                </c:pt>
                <c:pt idx="91">
                  <c:v>597.79288898117682</c:v>
                </c:pt>
                <c:pt idx="92">
                  <c:v>597.79288898117682</c:v>
                </c:pt>
                <c:pt idx="93">
                  <c:v>597.79288898117682</c:v>
                </c:pt>
                <c:pt idx="94">
                  <c:v>597.79288898117682</c:v>
                </c:pt>
                <c:pt idx="95">
                  <c:v>597.79288898117682</c:v>
                </c:pt>
                <c:pt idx="96">
                  <c:v>597.79288898117682</c:v>
                </c:pt>
                <c:pt idx="97">
                  <c:v>597.79288898117682</c:v>
                </c:pt>
                <c:pt idx="98">
                  <c:v>597.79288898117682</c:v>
                </c:pt>
                <c:pt idx="99">
                  <c:v>597.79288898117682</c:v>
                </c:pt>
                <c:pt idx="100">
                  <c:v>597.79288898117682</c:v>
                </c:pt>
                <c:pt idx="101">
                  <c:v>597.79288898117682</c:v>
                </c:pt>
                <c:pt idx="102">
                  <c:v>597.79288898117682</c:v>
                </c:pt>
                <c:pt idx="103">
                  <c:v>597.79288898117682</c:v>
                </c:pt>
                <c:pt idx="104">
                  <c:v>597.79288898117682</c:v>
                </c:pt>
                <c:pt idx="105">
                  <c:v>597.79288898117682</c:v>
                </c:pt>
                <c:pt idx="106">
                  <c:v>597.79288898117682</c:v>
                </c:pt>
                <c:pt idx="107">
                  <c:v>597.79288898117682</c:v>
                </c:pt>
                <c:pt idx="108">
                  <c:v>597.79288898117682</c:v>
                </c:pt>
                <c:pt idx="109">
                  <c:v>597.79288898117682</c:v>
                </c:pt>
                <c:pt idx="110">
                  <c:v>597.79288898117682</c:v>
                </c:pt>
                <c:pt idx="111">
                  <c:v>597.79288898117682</c:v>
                </c:pt>
                <c:pt idx="112">
                  <c:v>597.79288898117682</c:v>
                </c:pt>
                <c:pt idx="113">
                  <c:v>597.79288898117682</c:v>
                </c:pt>
                <c:pt idx="114">
                  <c:v>597.79288898117682</c:v>
                </c:pt>
                <c:pt idx="115">
                  <c:v>597.79288898117682</c:v>
                </c:pt>
                <c:pt idx="116">
                  <c:v>597.79288898117682</c:v>
                </c:pt>
                <c:pt idx="117">
                  <c:v>597.79288898117682</c:v>
                </c:pt>
                <c:pt idx="118">
                  <c:v>597.79288898117682</c:v>
                </c:pt>
                <c:pt idx="119">
                  <c:v>597.79288898117682</c:v>
                </c:pt>
                <c:pt idx="120">
                  <c:v>597.79288898117682</c:v>
                </c:pt>
                <c:pt idx="121">
                  <c:v>597.79288898117682</c:v>
                </c:pt>
                <c:pt idx="122">
                  <c:v>597.79288898117682</c:v>
                </c:pt>
                <c:pt idx="123">
                  <c:v>597.79288898117682</c:v>
                </c:pt>
                <c:pt idx="124">
                  <c:v>597.79288898117682</c:v>
                </c:pt>
                <c:pt idx="125">
                  <c:v>597.79288898117682</c:v>
                </c:pt>
                <c:pt idx="126">
                  <c:v>597.79288898117682</c:v>
                </c:pt>
                <c:pt idx="127">
                  <c:v>597.79288898117682</c:v>
                </c:pt>
                <c:pt idx="128">
                  <c:v>597.79288898117682</c:v>
                </c:pt>
                <c:pt idx="129">
                  <c:v>597.79288898117682</c:v>
                </c:pt>
                <c:pt idx="130">
                  <c:v>597.79288898117682</c:v>
                </c:pt>
                <c:pt idx="131">
                  <c:v>597.79288898117682</c:v>
                </c:pt>
                <c:pt idx="132">
                  <c:v>597.79288898117682</c:v>
                </c:pt>
                <c:pt idx="133">
                  <c:v>597.79288898117682</c:v>
                </c:pt>
                <c:pt idx="134">
                  <c:v>597.79288898117682</c:v>
                </c:pt>
                <c:pt idx="135">
                  <c:v>597.79288898117682</c:v>
                </c:pt>
                <c:pt idx="136">
                  <c:v>597.79288898117682</c:v>
                </c:pt>
                <c:pt idx="137">
                  <c:v>597.79288898117682</c:v>
                </c:pt>
                <c:pt idx="138">
                  <c:v>597.79288898117682</c:v>
                </c:pt>
                <c:pt idx="139">
                  <c:v>597.79288898117682</c:v>
                </c:pt>
                <c:pt idx="140">
                  <c:v>597.79288898117682</c:v>
                </c:pt>
                <c:pt idx="141">
                  <c:v>597.79288898117682</c:v>
                </c:pt>
                <c:pt idx="142">
                  <c:v>597.79288898117682</c:v>
                </c:pt>
                <c:pt idx="143">
                  <c:v>597.79288898117682</c:v>
                </c:pt>
                <c:pt idx="144">
                  <c:v>597.79288898117682</c:v>
                </c:pt>
                <c:pt idx="145">
                  <c:v>597.79288898117682</c:v>
                </c:pt>
                <c:pt idx="146">
                  <c:v>597.79288898117682</c:v>
                </c:pt>
                <c:pt idx="147">
                  <c:v>597.79288898117682</c:v>
                </c:pt>
                <c:pt idx="148">
                  <c:v>597.79288898117682</c:v>
                </c:pt>
                <c:pt idx="149">
                  <c:v>597.79288898117682</c:v>
                </c:pt>
                <c:pt idx="150">
                  <c:v>597.79288898117682</c:v>
                </c:pt>
                <c:pt idx="151">
                  <c:v>597.79288898117682</c:v>
                </c:pt>
                <c:pt idx="152">
                  <c:v>597.79288898117682</c:v>
                </c:pt>
                <c:pt idx="153">
                  <c:v>597.79288898117682</c:v>
                </c:pt>
                <c:pt idx="154">
                  <c:v>597.79288898117682</c:v>
                </c:pt>
                <c:pt idx="155">
                  <c:v>597.79288898117682</c:v>
                </c:pt>
                <c:pt idx="156">
                  <c:v>597.79288898117682</c:v>
                </c:pt>
                <c:pt idx="157">
                  <c:v>597.79288898117682</c:v>
                </c:pt>
                <c:pt idx="158">
                  <c:v>597.79288898117682</c:v>
                </c:pt>
                <c:pt idx="159">
                  <c:v>597.79288898117682</c:v>
                </c:pt>
                <c:pt idx="160">
                  <c:v>597.79288898117682</c:v>
                </c:pt>
                <c:pt idx="161">
                  <c:v>597.79288898117682</c:v>
                </c:pt>
                <c:pt idx="162">
                  <c:v>597.79288898117682</c:v>
                </c:pt>
                <c:pt idx="163">
                  <c:v>597.79288898117682</c:v>
                </c:pt>
                <c:pt idx="164">
                  <c:v>597.79288898117682</c:v>
                </c:pt>
                <c:pt idx="165">
                  <c:v>597.79288898117682</c:v>
                </c:pt>
                <c:pt idx="166">
                  <c:v>597.79288898117682</c:v>
                </c:pt>
                <c:pt idx="167">
                  <c:v>597.79288898117682</c:v>
                </c:pt>
                <c:pt idx="168">
                  <c:v>597.79288898117682</c:v>
                </c:pt>
                <c:pt idx="169">
                  <c:v>597.79288898117682</c:v>
                </c:pt>
                <c:pt idx="170">
                  <c:v>597.79288898117682</c:v>
                </c:pt>
                <c:pt idx="171">
                  <c:v>597.79288898117682</c:v>
                </c:pt>
                <c:pt idx="172">
                  <c:v>597.79288898117682</c:v>
                </c:pt>
                <c:pt idx="173">
                  <c:v>597.79288898117682</c:v>
                </c:pt>
                <c:pt idx="174">
                  <c:v>597.79288898117682</c:v>
                </c:pt>
                <c:pt idx="175">
                  <c:v>597.79288898117682</c:v>
                </c:pt>
                <c:pt idx="176">
                  <c:v>597.79288898117682</c:v>
                </c:pt>
                <c:pt idx="177">
                  <c:v>597.79288898117682</c:v>
                </c:pt>
                <c:pt idx="178">
                  <c:v>597.79288898117682</c:v>
                </c:pt>
                <c:pt idx="179">
                  <c:v>597.79288898117682</c:v>
                </c:pt>
                <c:pt idx="180">
                  <c:v>597.79288898117682</c:v>
                </c:pt>
                <c:pt idx="181">
                  <c:v>597.79288898117682</c:v>
                </c:pt>
                <c:pt idx="182">
                  <c:v>597.79288898117682</c:v>
                </c:pt>
                <c:pt idx="183">
                  <c:v>597.79288898117682</c:v>
                </c:pt>
                <c:pt idx="184">
                  <c:v>597.79288898117682</c:v>
                </c:pt>
                <c:pt idx="185">
                  <c:v>597.79288898117682</c:v>
                </c:pt>
                <c:pt idx="186">
                  <c:v>597.79288898117682</c:v>
                </c:pt>
                <c:pt idx="187">
                  <c:v>597.79288898117682</c:v>
                </c:pt>
                <c:pt idx="188">
                  <c:v>597.79288898117682</c:v>
                </c:pt>
                <c:pt idx="189">
                  <c:v>597.79288898117682</c:v>
                </c:pt>
                <c:pt idx="190">
                  <c:v>597.79288898117682</c:v>
                </c:pt>
                <c:pt idx="191">
                  <c:v>597.79288898117682</c:v>
                </c:pt>
                <c:pt idx="192">
                  <c:v>597.79288898117682</c:v>
                </c:pt>
                <c:pt idx="193">
                  <c:v>597.79288898117682</c:v>
                </c:pt>
                <c:pt idx="194">
                  <c:v>597.79288898117682</c:v>
                </c:pt>
                <c:pt idx="195">
                  <c:v>597.79288898117682</c:v>
                </c:pt>
                <c:pt idx="196">
                  <c:v>597.79288898117682</c:v>
                </c:pt>
                <c:pt idx="197">
                  <c:v>597.79288898117682</c:v>
                </c:pt>
                <c:pt idx="198">
                  <c:v>597.79288898117682</c:v>
                </c:pt>
                <c:pt idx="199">
                  <c:v>597.79288898117682</c:v>
                </c:pt>
                <c:pt idx="200">
                  <c:v>597.79288898117682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57" t="s">
        <v>291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3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3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3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3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3">
      <c r="B18" s="257" t="s">
        <v>292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3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3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3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3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3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3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3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3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3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3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3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3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3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3" zoomScale="80" zoomScaleNormal="80" workbookViewId="0">
      <selection activeCell="H13" sqref="H13"/>
    </sheetView>
  </sheetViews>
  <sheetFormatPr baseColWidth="10" defaultColWidth="11.44140625" defaultRowHeight="14.4" x14ac:dyDescent="0.3"/>
  <cols>
    <col min="1" max="1" width="13.6640625" style="23" customWidth="1"/>
    <col min="2" max="2" width="36.109375" style="23" customWidth="1"/>
    <col min="3" max="3" width="14.88671875" style="23" bestFit="1" customWidth="1"/>
    <col min="4" max="4" width="16.44140625" style="23" customWidth="1"/>
    <col min="5" max="5" width="23.33203125" style="23" customWidth="1"/>
    <col min="6" max="6" width="28.88671875" style="23" bestFit="1" customWidth="1"/>
    <col min="7" max="8" width="14.6640625" style="23" customWidth="1"/>
    <col min="9" max="9" width="17" style="23" customWidth="1"/>
    <col min="10" max="10" width="13.88671875" style="23" customWidth="1"/>
    <col min="11" max="16384" width="11.44140625" style="23"/>
  </cols>
  <sheetData>
    <row r="1" spans="1:38" x14ac:dyDescent="0.3">
      <c r="A1" s="4"/>
      <c r="B1" s="4"/>
      <c r="C1" s="258" t="s">
        <v>190</v>
      </c>
      <c r="D1" s="258"/>
      <c r="E1" s="258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35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4" thickBot="1" x14ac:dyDescent="0.35">
      <c r="A3" s="4"/>
      <c r="B3" s="263" t="s">
        <v>192</v>
      </c>
      <c r="C3" s="264"/>
      <c r="D3" s="264"/>
      <c r="E3" s="264"/>
      <c r="F3" s="265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8" x14ac:dyDescent="0.3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8" x14ac:dyDescent="0.3">
      <c r="A5" s="268" t="s">
        <v>231</v>
      </c>
      <c r="B5" s="268"/>
      <c r="C5" s="24">
        <v>6.4</v>
      </c>
      <c r="D5" s="269" t="s">
        <v>229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8" x14ac:dyDescent="0.3">
      <c r="A7" s="267" t="s">
        <v>226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">
      <c r="A9" s="30" t="s">
        <v>165</v>
      </c>
      <c r="B9" s="31" t="s">
        <v>138</v>
      </c>
      <c r="C9" s="32">
        <v>0.9</v>
      </c>
      <c r="D9" s="33">
        <f t="shared" ref="D9:D18" si="0">C9*$C$5</f>
        <v>5.7600000000000007</v>
      </c>
      <c r="E9" s="34">
        <v>62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">
      <c r="A10" s="30" t="s">
        <v>166</v>
      </c>
      <c r="B10" s="31" t="s">
        <v>14</v>
      </c>
      <c r="C10" s="32">
        <v>0.05</v>
      </c>
      <c r="D10" s="33">
        <f t="shared" si="0"/>
        <v>0.32000000000000006</v>
      </c>
      <c r="E10" s="34">
        <v>120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">
      <c r="A11" s="30" t="s">
        <v>167</v>
      </c>
      <c r="B11" s="31" t="s">
        <v>6</v>
      </c>
      <c r="C11" s="32">
        <v>0.05</v>
      </c>
      <c r="D11" s="33">
        <f t="shared" si="0"/>
        <v>0.32000000000000006</v>
      </c>
      <c r="E11" s="34">
        <v>70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">
      <c r="A12" s="30" t="s">
        <v>168</v>
      </c>
      <c r="B12" s="31"/>
      <c r="C12" s="32"/>
      <c r="D12" s="33">
        <f t="shared" si="0"/>
        <v>0</v>
      </c>
      <c r="E12" s="34"/>
      <c r="F12" s="35" t="str">
        <f t="array" ref="F12">IF(E12="","",IF(INDEX(A:A,MAX(IF(ISNUMBER($A$114:$A$133),ROW($A$114:$A$133),"")))&lt;&gt;E12,"Corrigez : révolution incorrecte","OK"))</f>
        <v/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">
      <c r="A19" s="78"/>
      <c r="B19" s="36" t="s">
        <v>175</v>
      </c>
      <c r="C19" s="37">
        <f>SUM(C9:C18)</f>
        <v>1</v>
      </c>
      <c r="D19" s="38">
        <f>SUM(D9:D18)</f>
        <v>6.4000000000000012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4">
      <c r="A22" s="266" t="s">
        <v>232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">
      <c r="A26" s="41" t="s">
        <v>222</v>
      </c>
      <c r="B26" s="42" t="s">
        <v>221</v>
      </c>
      <c r="C26" s="43">
        <v>0.05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">
      <c r="A30" s="267" t="s">
        <v>227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">
      <c r="A32" s="46" t="s">
        <v>165</v>
      </c>
      <c r="B32" s="47" t="str">
        <f>IF(B9="","",B9)</f>
        <v>Pin taeda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">
      <c r="A34" s="4"/>
      <c r="B34" s="85" t="s">
        <v>185</v>
      </c>
      <c r="C34" s="259" t="s">
        <v>186</v>
      </c>
      <c r="D34" s="259"/>
      <c r="E34" s="260" t="s">
        <v>187</v>
      </c>
      <c r="F34" s="261"/>
      <c r="G34" s="261"/>
      <c r="H34" s="262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2" x14ac:dyDescent="0.3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">
      <c r="A36" s="50">
        <v>16</v>
      </c>
      <c r="B36" s="60">
        <f>66-D36</f>
        <v>51</v>
      </c>
      <c r="C36" s="60">
        <v>1</v>
      </c>
      <c r="D36" s="60">
        <v>15</v>
      </c>
      <c r="E36" s="51"/>
      <c r="F36" s="51">
        <v>0.4</v>
      </c>
      <c r="G36" s="51">
        <v>0.6</v>
      </c>
      <c r="H36" s="51"/>
      <c r="I36" s="49">
        <f>IFERROR(B36/A36,"")</f>
        <v>3.1875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">
      <c r="A37" s="50">
        <v>20</v>
      </c>
      <c r="B37" s="60">
        <f>97-D37</f>
        <v>75</v>
      </c>
      <c r="C37" s="60">
        <v>2</v>
      </c>
      <c r="D37" s="60">
        <v>22</v>
      </c>
      <c r="E37" s="51"/>
      <c r="F37" s="51">
        <v>0.4</v>
      </c>
      <c r="G37" s="51">
        <v>0.6</v>
      </c>
      <c r="H37" s="51"/>
      <c r="I37" s="53">
        <f t="shared" ref="I37:I55" si="1">IF(A37&lt;&gt;0,(B37-(B36-D36))/(A37-A36),"")</f>
        <v>9.75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">
      <c r="A38" s="50">
        <v>24</v>
      </c>
      <c r="B38" s="60">
        <f>126-D38</f>
        <v>95</v>
      </c>
      <c r="C38" s="60">
        <v>3</v>
      </c>
      <c r="D38" s="60">
        <v>31</v>
      </c>
      <c r="E38" s="51">
        <v>0.5</v>
      </c>
      <c r="F38" s="51">
        <v>0.2</v>
      </c>
      <c r="G38" s="51">
        <v>0.3</v>
      </c>
      <c r="H38" s="51"/>
      <c r="I38" s="53">
        <f t="shared" si="1"/>
        <v>10.5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">
      <c r="A39" s="50">
        <v>28</v>
      </c>
      <c r="B39" s="60">
        <f>155-D39</f>
        <v>120</v>
      </c>
      <c r="C39" s="60">
        <v>4</v>
      </c>
      <c r="D39" s="60">
        <v>35</v>
      </c>
      <c r="E39" s="51">
        <v>0.7</v>
      </c>
      <c r="F39" s="51">
        <v>0.12</v>
      </c>
      <c r="G39" s="51">
        <v>0.18</v>
      </c>
      <c r="H39" s="51"/>
      <c r="I39" s="49">
        <f t="shared" si="1"/>
        <v>14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">
      <c r="A40" s="50">
        <v>34</v>
      </c>
      <c r="B40" s="60">
        <f>198-D40</f>
        <v>152</v>
      </c>
      <c r="C40" s="60">
        <v>5</v>
      </c>
      <c r="D40" s="60">
        <v>46</v>
      </c>
      <c r="E40" s="51">
        <v>0.7</v>
      </c>
      <c r="F40" s="51">
        <v>0.12</v>
      </c>
      <c r="G40" s="51">
        <v>0.18</v>
      </c>
      <c r="H40" s="51"/>
      <c r="I40" s="49">
        <f t="shared" si="1"/>
        <v>11.166666666666666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">
      <c r="A41" s="50">
        <v>40</v>
      </c>
      <c r="B41" s="60">
        <f>234-D41</f>
        <v>193</v>
      </c>
      <c r="C41" s="60">
        <v>6</v>
      </c>
      <c r="D41" s="60">
        <v>41</v>
      </c>
      <c r="E41" s="51">
        <v>0.7</v>
      </c>
      <c r="F41" s="51">
        <v>0.12</v>
      </c>
      <c r="G41" s="51">
        <v>0.18</v>
      </c>
      <c r="H41" s="51"/>
      <c r="I41" s="53">
        <f t="shared" si="1"/>
        <v>14.5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">
      <c r="A42" s="50">
        <v>46</v>
      </c>
      <c r="B42" s="60">
        <f>264-D42</f>
        <v>235</v>
      </c>
      <c r="C42" s="60">
        <v>7</v>
      </c>
      <c r="D42" s="60">
        <v>29</v>
      </c>
      <c r="E42" s="51">
        <v>0.7</v>
      </c>
      <c r="F42" s="51">
        <v>0.12</v>
      </c>
      <c r="G42" s="51">
        <v>0.18</v>
      </c>
      <c r="H42" s="51"/>
      <c r="I42" s="53">
        <f t="shared" si="1"/>
        <v>13.833333333333334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">
      <c r="A43" s="50">
        <v>54</v>
      </c>
      <c r="B43" s="60">
        <f>295-D43</f>
        <v>279</v>
      </c>
      <c r="C43" s="60">
        <v>8</v>
      </c>
      <c r="D43" s="60">
        <v>16</v>
      </c>
      <c r="E43" s="51">
        <v>0.7</v>
      </c>
      <c r="F43" s="51">
        <v>0.12</v>
      </c>
      <c r="G43" s="51">
        <v>0.18</v>
      </c>
      <c r="H43" s="51"/>
      <c r="I43" s="49">
        <f t="shared" si="1"/>
        <v>9.125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">
      <c r="A44" s="50">
        <v>62</v>
      </c>
      <c r="B44" s="60">
        <f>309-D44</f>
        <v>302</v>
      </c>
      <c r="C44" s="60">
        <v>9</v>
      </c>
      <c r="D44" s="60">
        <v>7</v>
      </c>
      <c r="E44" s="51">
        <v>0.7</v>
      </c>
      <c r="F44" s="51">
        <v>0.12</v>
      </c>
      <c r="G44" s="51">
        <v>0.18</v>
      </c>
      <c r="H44" s="51"/>
      <c r="I44" s="49">
        <f t="shared" si="1"/>
        <v>4.875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">
      <c r="A45" s="50"/>
      <c r="B45" s="60"/>
      <c r="C45" s="60"/>
      <c r="D45" s="60"/>
      <c r="E45" s="51"/>
      <c r="F45" s="51"/>
      <c r="G45" s="51"/>
      <c r="H45" s="51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">
      <c r="A58" s="46" t="s">
        <v>166</v>
      </c>
      <c r="B58" s="52" t="str">
        <f>IF(B10="","",B10)</f>
        <v>Chêne sessile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">
      <c r="A60" s="4"/>
      <c r="B60" s="85" t="s">
        <v>185</v>
      </c>
      <c r="C60" s="259" t="s">
        <v>186</v>
      </c>
      <c r="D60" s="259"/>
      <c r="E60" s="260" t="s">
        <v>187</v>
      </c>
      <c r="F60" s="261"/>
      <c r="G60" s="261"/>
      <c r="H60" s="262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2" x14ac:dyDescent="0.3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">
      <c r="A62" s="50">
        <v>25</v>
      </c>
      <c r="B62" s="60">
        <f>62+8</f>
        <v>70</v>
      </c>
      <c r="C62" s="60">
        <v>1</v>
      </c>
      <c r="D62" s="60">
        <v>8</v>
      </c>
      <c r="E62" s="51"/>
      <c r="F62" s="51"/>
      <c r="G62" s="51"/>
      <c r="H62" s="51">
        <v>1</v>
      </c>
      <c r="I62" s="53">
        <f>IFERROR(B62/A62,"")</f>
        <v>2.8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">
      <c r="A63" s="50">
        <v>30</v>
      </c>
      <c r="B63" s="60">
        <f>76+D63</f>
        <v>97</v>
      </c>
      <c r="C63" s="60">
        <v>2</v>
      </c>
      <c r="D63" s="60">
        <v>21</v>
      </c>
      <c r="E63" s="51"/>
      <c r="F63" s="51"/>
      <c r="G63" s="51"/>
      <c r="H63" s="51">
        <v>1</v>
      </c>
      <c r="I63" s="49">
        <f>IF(A63&lt;&gt;0,(B63-(B62-D62))/(A63-A62),"")</f>
        <v>7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">
      <c r="A64" s="50">
        <v>35</v>
      </c>
      <c r="B64" s="60">
        <f>95+D64</f>
        <v>116</v>
      </c>
      <c r="C64" s="60">
        <v>3</v>
      </c>
      <c r="D64" s="60">
        <v>21</v>
      </c>
      <c r="E64" s="51">
        <v>0.4</v>
      </c>
      <c r="F64" s="51">
        <v>0.08</v>
      </c>
      <c r="G64" s="51">
        <v>0.12</v>
      </c>
      <c r="H64" s="51">
        <v>0.4</v>
      </c>
      <c r="I64" s="49">
        <f>IF(A64&lt;&gt;0,(B64-(B63-D63))/(A64-A63),"")</f>
        <v>8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">
      <c r="A65" s="50">
        <v>40</v>
      </c>
      <c r="B65" s="60">
        <f>116+D65</f>
        <v>137</v>
      </c>
      <c r="C65" s="60">
        <v>4</v>
      </c>
      <c r="D65" s="60">
        <v>21</v>
      </c>
      <c r="E65" s="51">
        <v>0.4</v>
      </c>
      <c r="F65" s="51">
        <v>0.08</v>
      </c>
      <c r="G65" s="51">
        <v>0.12</v>
      </c>
      <c r="H65" s="51">
        <v>0.4</v>
      </c>
      <c r="I65" s="49">
        <f>IF(A65&lt;&gt;0,(B65-(B64-D64))/(A65-A64),"")</f>
        <v>8.4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">
      <c r="A66" s="50">
        <v>45</v>
      </c>
      <c r="B66" s="60">
        <f>137+D66</f>
        <v>158</v>
      </c>
      <c r="C66" s="60">
        <v>5</v>
      </c>
      <c r="D66" s="60">
        <v>21</v>
      </c>
      <c r="E66" s="51">
        <v>0.6</v>
      </c>
      <c r="F66" s="51">
        <v>0.04</v>
      </c>
      <c r="G66" s="51">
        <v>0.06</v>
      </c>
      <c r="H66" s="51">
        <v>0.3</v>
      </c>
      <c r="I66" s="49">
        <f t="shared" ref="I66:I81" si="2">IF(A66&lt;&gt;0,(B66-(B65-D65))/(A66-A65),"")</f>
        <v>8.4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">
      <c r="A67" s="50">
        <v>50</v>
      </c>
      <c r="B67" s="60">
        <f>157+D67</f>
        <v>178</v>
      </c>
      <c r="C67" s="60">
        <v>6</v>
      </c>
      <c r="D67" s="60">
        <v>21</v>
      </c>
      <c r="E67" s="51">
        <v>0.6</v>
      </c>
      <c r="F67" s="51">
        <v>0.04</v>
      </c>
      <c r="G67" s="51">
        <v>0.06</v>
      </c>
      <c r="H67" s="51">
        <v>0.3</v>
      </c>
      <c r="I67" s="49">
        <f t="shared" si="2"/>
        <v>8.1999999999999993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">
      <c r="A68" s="50">
        <v>55</v>
      </c>
      <c r="B68" s="60">
        <f>176+D68</f>
        <v>197</v>
      </c>
      <c r="C68" s="60">
        <v>7</v>
      </c>
      <c r="D68" s="60">
        <v>21</v>
      </c>
      <c r="E68" s="51">
        <v>0.8</v>
      </c>
      <c r="F68" s="51">
        <v>0.04</v>
      </c>
      <c r="G68" s="51">
        <v>0.06</v>
      </c>
      <c r="H68" s="51">
        <v>0.1</v>
      </c>
      <c r="I68" s="49">
        <f t="shared" si="2"/>
        <v>8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">
      <c r="A69" s="50">
        <v>60</v>
      </c>
      <c r="B69" s="50">
        <f>193+D69</f>
        <v>214</v>
      </c>
      <c r="C69" s="50">
        <v>8</v>
      </c>
      <c r="D69" s="50">
        <v>21</v>
      </c>
      <c r="E69" s="51">
        <v>0.8</v>
      </c>
      <c r="F69" s="51">
        <v>0.04</v>
      </c>
      <c r="G69" s="51">
        <v>0.06</v>
      </c>
      <c r="H69" s="51">
        <v>0.1</v>
      </c>
      <c r="I69" s="49">
        <f t="shared" si="2"/>
        <v>7.6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">
      <c r="A70" s="50">
        <v>65</v>
      </c>
      <c r="B70" s="50">
        <f>208+D70</f>
        <v>229</v>
      </c>
      <c r="C70" s="50">
        <v>9</v>
      </c>
      <c r="D70" s="50">
        <v>21</v>
      </c>
      <c r="E70" s="51">
        <v>0.8</v>
      </c>
      <c r="F70" s="51">
        <v>0.04</v>
      </c>
      <c r="G70" s="51">
        <v>0.06</v>
      </c>
      <c r="H70" s="51">
        <v>0.1</v>
      </c>
      <c r="I70" s="49">
        <f t="shared" si="2"/>
        <v>7.2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">
      <c r="A71" s="50">
        <v>70</v>
      </c>
      <c r="B71" s="50">
        <f>221+D71</f>
        <v>242</v>
      </c>
      <c r="C71" s="50">
        <v>10</v>
      </c>
      <c r="D71" s="50">
        <v>21</v>
      </c>
      <c r="E71" s="51">
        <v>0.8</v>
      </c>
      <c r="F71" s="51">
        <v>0.04</v>
      </c>
      <c r="G71" s="51">
        <v>0.06</v>
      </c>
      <c r="H71" s="51">
        <v>0.1</v>
      </c>
      <c r="I71" s="49">
        <f t="shared" si="2"/>
        <v>6.8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">
      <c r="A72" s="50">
        <v>75</v>
      </c>
      <c r="B72" s="50">
        <f>231+D72</f>
        <v>252</v>
      </c>
      <c r="C72" s="50">
        <v>11</v>
      </c>
      <c r="D72" s="50">
        <v>21</v>
      </c>
      <c r="E72" s="51">
        <v>0.8</v>
      </c>
      <c r="F72" s="51">
        <v>0.04</v>
      </c>
      <c r="G72" s="51">
        <v>0.06</v>
      </c>
      <c r="H72" s="51">
        <v>0.1</v>
      </c>
      <c r="I72" s="49">
        <f t="shared" si="2"/>
        <v>6.2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">
      <c r="A73" s="50">
        <v>80</v>
      </c>
      <c r="B73" s="50">
        <f>240+D73</f>
        <v>261</v>
      </c>
      <c r="C73" s="50">
        <v>12</v>
      </c>
      <c r="D73" s="50">
        <v>21</v>
      </c>
      <c r="E73" s="51">
        <v>0.8</v>
      </c>
      <c r="F73" s="51">
        <v>0.04</v>
      </c>
      <c r="G73" s="51">
        <v>0.06</v>
      </c>
      <c r="H73" s="51">
        <v>0.1</v>
      </c>
      <c r="I73" s="49">
        <f t="shared" si="2"/>
        <v>6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">
      <c r="A74" s="50">
        <v>85</v>
      </c>
      <c r="B74" s="50">
        <f>248+D74</f>
        <v>269</v>
      </c>
      <c r="C74" s="50">
        <v>13</v>
      </c>
      <c r="D74" s="50">
        <v>21</v>
      </c>
      <c r="E74" s="51">
        <v>0.8</v>
      </c>
      <c r="F74" s="51">
        <v>0.04</v>
      </c>
      <c r="G74" s="51">
        <v>0.06</v>
      </c>
      <c r="H74" s="51">
        <v>0.1</v>
      </c>
      <c r="I74" s="49">
        <f t="shared" si="2"/>
        <v>5.8</v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">
      <c r="A75" s="50">
        <v>90</v>
      </c>
      <c r="B75" s="50">
        <f>254+D75</f>
        <v>275</v>
      </c>
      <c r="C75" s="50">
        <v>14</v>
      </c>
      <c r="D75" s="50">
        <v>21</v>
      </c>
      <c r="E75" s="51">
        <v>0.8</v>
      </c>
      <c r="F75" s="51">
        <v>0.04</v>
      </c>
      <c r="G75" s="51">
        <v>0.06</v>
      </c>
      <c r="H75" s="51">
        <v>0.1</v>
      </c>
      <c r="I75" s="49">
        <f t="shared" si="2"/>
        <v>5.4</v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">
      <c r="A76" s="50">
        <v>95</v>
      </c>
      <c r="B76" s="50">
        <v>279</v>
      </c>
      <c r="C76" s="50">
        <v>15</v>
      </c>
      <c r="D76" s="50">
        <v>21</v>
      </c>
      <c r="E76" s="51">
        <v>0.8</v>
      </c>
      <c r="F76" s="51">
        <v>0.04</v>
      </c>
      <c r="G76" s="51">
        <v>0.06</v>
      </c>
      <c r="H76" s="51">
        <v>0.1</v>
      </c>
      <c r="I76" s="49">
        <f t="shared" si="2"/>
        <v>5</v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">
      <c r="A77" s="50">
        <v>100</v>
      </c>
      <c r="B77" s="50">
        <v>282</v>
      </c>
      <c r="C77" s="50">
        <v>16</v>
      </c>
      <c r="D77" s="50">
        <v>21</v>
      </c>
      <c r="E77" s="51">
        <v>0.8</v>
      </c>
      <c r="F77" s="51">
        <v>0.04</v>
      </c>
      <c r="G77" s="51">
        <v>0.06</v>
      </c>
      <c r="H77" s="51">
        <v>0.1</v>
      </c>
      <c r="I77" s="49">
        <f t="shared" si="2"/>
        <v>4.8</v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">
      <c r="A78" s="50">
        <v>105</v>
      </c>
      <c r="B78" s="50">
        <v>284</v>
      </c>
      <c r="C78" s="50">
        <v>17</v>
      </c>
      <c r="D78" s="50">
        <v>20</v>
      </c>
      <c r="E78" s="51">
        <v>0.8</v>
      </c>
      <c r="F78" s="51">
        <v>0.04</v>
      </c>
      <c r="G78" s="51">
        <v>0.06</v>
      </c>
      <c r="H78" s="51">
        <v>0.1</v>
      </c>
      <c r="I78" s="49">
        <f t="shared" si="2"/>
        <v>4.5999999999999996</v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">
      <c r="A79" s="50">
        <v>110</v>
      </c>
      <c r="B79" s="50">
        <v>285</v>
      </c>
      <c r="C79" s="50">
        <v>18</v>
      </c>
      <c r="D79" s="50">
        <v>19</v>
      </c>
      <c r="E79" s="51">
        <v>0.8</v>
      </c>
      <c r="F79" s="51">
        <v>0.04</v>
      </c>
      <c r="G79" s="51">
        <v>0.06</v>
      </c>
      <c r="H79" s="51">
        <v>0.1</v>
      </c>
      <c r="I79" s="49">
        <f t="shared" si="2"/>
        <v>4.2</v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">
      <c r="A80" s="50">
        <v>115</v>
      </c>
      <c r="B80" s="50">
        <v>285</v>
      </c>
      <c r="C80" s="50">
        <v>19</v>
      </c>
      <c r="D80" s="50">
        <v>18</v>
      </c>
      <c r="E80" s="51">
        <v>0.8</v>
      </c>
      <c r="F80" s="51">
        <v>0.04</v>
      </c>
      <c r="G80" s="51">
        <v>0.06</v>
      </c>
      <c r="H80" s="51">
        <v>0.1</v>
      </c>
      <c r="I80" s="49">
        <f t="shared" si="2"/>
        <v>3.8</v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">
      <c r="A81" s="50">
        <v>120</v>
      </c>
      <c r="B81" s="50">
        <v>285</v>
      </c>
      <c r="C81" s="50">
        <v>20</v>
      </c>
      <c r="D81" s="50">
        <v>17</v>
      </c>
      <c r="E81" s="51">
        <v>0.8</v>
      </c>
      <c r="F81" s="51">
        <v>0.04</v>
      </c>
      <c r="G81" s="51">
        <v>0.06</v>
      </c>
      <c r="H81" s="51">
        <v>0.1</v>
      </c>
      <c r="I81" s="49">
        <f t="shared" si="2"/>
        <v>3.6</v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">
      <c r="A84" s="46" t="s">
        <v>167</v>
      </c>
      <c r="B84" s="52" t="str">
        <f>IF(B11="","",B11)</f>
        <v>Charme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">
      <c r="A86" s="4"/>
      <c r="B86" s="85" t="s">
        <v>185</v>
      </c>
      <c r="C86" s="259" t="s">
        <v>186</v>
      </c>
      <c r="D86" s="259"/>
      <c r="E86" s="260" t="s">
        <v>187</v>
      </c>
      <c r="F86" s="261"/>
      <c r="G86" s="261"/>
      <c r="H86" s="262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2" x14ac:dyDescent="0.3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">
      <c r="A88" s="50">
        <v>15</v>
      </c>
      <c r="B88" s="60">
        <v>57</v>
      </c>
      <c r="C88" s="60">
        <v>1</v>
      </c>
      <c r="D88" s="60">
        <v>11</v>
      </c>
      <c r="E88" s="51"/>
      <c r="F88" s="51"/>
      <c r="G88" s="51"/>
      <c r="H88" s="87">
        <v>1</v>
      </c>
      <c r="I88" s="53">
        <f>IFERROR(B88/A88,"")</f>
        <v>3.8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">
      <c r="A89" s="50">
        <v>20</v>
      </c>
      <c r="B89" s="60">
        <v>95</v>
      </c>
      <c r="C89" s="60">
        <v>2</v>
      </c>
      <c r="D89" s="60">
        <v>15</v>
      </c>
      <c r="E89" s="51"/>
      <c r="F89" s="51"/>
      <c r="G89" s="51"/>
      <c r="H89" s="87">
        <v>1</v>
      </c>
      <c r="I89" s="53">
        <f t="shared" ref="I89:I107" si="3">IF(A89&lt;&gt;0,(B89-(B88-D88))/(A89-A88),"")</f>
        <v>9.8000000000000007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">
      <c r="A90" s="50">
        <v>25</v>
      </c>
      <c r="B90" s="60">
        <v>131</v>
      </c>
      <c r="C90" s="60">
        <v>3</v>
      </c>
      <c r="D90" s="60">
        <v>19</v>
      </c>
      <c r="E90" s="87">
        <v>0.4</v>
      </c>
      <c r="F90" s="87">
        <v>0.08</v>
      </c>
      <c r="G90" s="87">
        <v>0.12</v>
      </c>
      <c r="H90" s="87">
        <v>0.4</v>
      </c>
      <c r="I90" s="53">
        <f t="shared" si="3"/>
        <v>10.199999999999999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">
      <c r="A91" s="50">
        <v>30</v>
      </c>
      <c r="B91" s="60">
        <v>163</v>
      </c>
      <c r="C91" s="60">
        <v>4</v>
      </c>
      <c r="D91" s="60">
        <v>21</v>
      </c>
      <c r="E91" s="87">
        <v>0.4</v>
      </c>
      <c r="F91" s="87">
        <v>0.08</v>
      </c>
      <c r="G91" s="87">
        <v>0.12</v>
      </c>
      <c r="H91" s="87">
        <v>0.4</v>
      </c>
      <c r="I91" s="53">
        <f t="shared" si="3"/>
        <v>10.199999999999999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">
      <c r="A92" s="50">
        <v>35</v>
      </c>
      <c r="B92" s="60">
        <v>192</v>
      </c>
      <c r="C92" s="60">
        <v>5</v>
      </c>
      <c r="D92" s="60">
        <v>22</v>
      </c>
      <c r="E92" s="87">
        <v>0.4</v>
      </c>
      <c r="F92" s="87">
        <v>0.08</v>
      </c>
      <c r="G92" s="87">
        <v>0.12</v>
      </c>
      <c r="H92" s="87">
        <v>0.4</v>
      </c>
      <c r="I92" s="53">
        <f t="shared" si="3"/>
        <v>10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">
      <c r="A93" s="50">
        <v>40</v>
      </c>
      <c r="B93" s="60">
        <v>216</v>
      </c>
      <c r="C93" s="60">
        <v>6</v>
      </c>
      <c r="D93" s="60">
        <v>23</v>
      </c>
      <c r="E93" s="87">
        <v>0.6</v>
      </c>
      <c r="F93" s="87">
        <v>0.04</v>
      </c>
      <c r="G93" s="87">
        <v>0.06</v>
      </c>
      <c r="H93" s="87">
        <v>0.3</v>
      </c>
      <c r="I93" s="53">
        <f t="shared" si="3"/>
        <v>9.1999999999999993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">
      <c r="A94" s="50">
        <v>45</v>
      </c>
      <c r="B94" s="60">
        <v>238</v>
      </c>
      <c r="C94" s="60">
        <v>7</v>
      </c>
      <c r="D94" s="60">
        <v>24</v>
      </c>
      <c r="E94" s="87">
        <v>0.6</v>
      </c>
      <c r="F94" s="87">
        <v>0.04</v>
      </c>
      <c r="G94" s="87">
        <v>0.06</v>
      </c>
      <c r="H94" s="87">
        <v>0.3</v>
      </c>
      <c r="I94" s="53">
        <f t="shared" si="3"/>
        <v>9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">
      <c r="A95" s="60">
        <v>50</v>
      </c>
      <c r="B95" s="60">
        <v>257</v>
      </c>
      <c r="C95" s="60">
        <v>8</v>
      </c>
      <c r="D95" s="60">
        <v>24</v>
      </c>
      <c r="E95" s="87">
        <v>0.6</v>
      </c>
      <c r="F95" s="87">
        <v>0.04</v>
      </c>
      <c r="G95" s="87">
        <v>0.06</v>
      </c>
      <c r="H95" s="87">
        <v>0.3</v>
      </c>
      <c r="I95" s="53">
        <f t="shared" si="3"/>
        <v>8.6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">
      <c r="A96" s="60">
        <v>55</v>
      </c>
      <c r="B96" s="60">
        <v>274</v>
      </c>
      <c r="C96" s="60">
        <v>9</v>
      </c>
      <c r="D96" s="60">
        <v>23</v>
      </c>
      <c r="E96" s="87">
        <v>0.8</v>
      </c>
      <c r="F96" s="87">
        <v>0.04</v>
      </c>
      <c r="G96" s="87">
        <v>0.06</v>
      </c>
      <c r="H96" s="87">
        <v>0.1</v>
      </c>
      <c r="I96" s="53">
        <f t="shared" si="3"/>
        <v>8.1999999999999993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">
      <c r="A97" s="60">
        <v>60</v>
      </c>
      <c r="B97" s="60">
        <v>289</v>
      </c>
      <c r="C97" s="60">
        <v>10</v>
      </c>
      <c r="D97" s="60">
        <v>23</v>
      </c>
      <c r="E97" s="87">
        <v>0.8</v>
      </c>
      <c r="F97" s="87">
        <v>0.04</v>
      </c>
      <c r="G97" s="87">
        <v>0.06</v>
      </c>
      <c r="H97" s="87">
        <v>0.1</v>
      </c>
      <c r="I97" s="53">
        <f t="shared" si="3"/>
        <v>7.6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">
      <c r="A98" s="60">
        <v>65</v>
      </c>
      <c r="B98" s="60">
        <v>302</v>
      </c>
      <c r="C98" s="60">
        <v>11</v>
      </c>
      <c r="D98" s="60">
        <v>23</v>
      </c>
      <c r="E98" s="87">
        <v>0.8</v>
      </c>
      <c r="F98" s="87">
        <v>0.04</v>
      </c>
      <c r="G98" s="87">
        <v>0.06</v>
      </c>
      <c r="H98" s="87">
        <v>0.1</v>
      </c>
      <c r="I98" s="53">
        <f t="shared" si="3"/>
        <v>7.2</v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">
      <c r="A99" s="60">
        <v>70</v>
      </c>
      <c r="B99" s="60">
        <v>313</v>
      </c>
      <c r="C99" s="60">
        <v>12</v>
      </c>
      <c r="D99" s="60">
        <v>22</v>
      </c>
      <c r="E99" s="87">
        <v>0.8</v>
      </c>
      <c r="F99" s="87">
        <v>0.04</v>
      </c>
      <c r="G99" s="87">
        <v>0.06</v>
      </c>
      <c r="H99" s="87">
        <v>0.1</v>
      </c>
      <c r="I99" s="53">
        <f t="shared" si="3"/>
        <v>6.8</v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">
      <c r="A110" s="46" t="s">
        <v>168</v>
      </c>
      <c r="B110" s="52" t="str">
        <f>IF(B12="","",B12)</f>
        <v/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">
      <c r="A112" s="4"/>
      <c r="B112" s="85" t="s">
        <v>185</v>
      </c>
      <c r="C112" s="259" t="s">
        <v>186</v>
      </c>
      <c r="D112" s="259"/>
      <c r="E112" s="260" t="s">
        <v>187</v>
      </c>
      <c r="F112" s="261"/>
      <c r="G112" s="261"/>
      <c r="H112" s="262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2" x14ac:dyDescent="0.3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">
      <c r="A114" s="50"/>
      <c r="B114" s="60"/>
      <c r="C114" s="50"/>
      <c r="D114" s="60"/>
      <c r="E114" s="51"/>
      <c r="F114" s="51"/>
      <c r="G114" s="51"/>
      <c r="H114" s="51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">
      <c r="A115" s="50"/>
      <c r="B115" s="60"/>
      <c r="C115" s="50"/>
      <c r="D115" s="60"/>
      <c r="E115" s="51"/>
      <c r="F115" s="51"/>
      <c r="G115" s="51"/>
      <c r="H115" s="51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">
      <c r="A116" s="50"/>
      <c r="B116" s="60"/>
      <c r="C116" s="50"/>
      <c r="D116" s="60"/>
      <c r="E116" s="51"/>
      <c r="F116" s="51"/>
      <c r="G116" s="51"/>
      <c r="H116" s="51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">
      <c r="A117" s="50"/>
      <c r="B117" s="60"/>
      <c r="C117" s="50"/>
      <c r="D117" s="60"/>
      <c r="E117" s="51"/>
      <c r="F117" s="51"/>
      <c r="G117" s="51"/>
      <c r="H117" s="51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">
      <c r="A118" s="50"/>
      <c r="B118" s="60"/>
      <c r="C118" s="50"/>
      <c r="D118" s="60"/>
      <c r="E118" s="51"/>
      <c r="F118" s="51"/>
      <c r="G118" s="51"/>
      <c r="H118" s="51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">
      <c r="A119" s="50"/>
      <c r="B119" s="60"/>
      <c r="C119" s="50"/>
      <c r="D119" s="60"/>
      <c r="E119" s="51"/>
      <c r="F119" s="51"/>
      <c r="G119" s="51"/>
      <c r="H119" s="51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">
      <c r="A120" s="60"/>
      <c r="B120" s="60"/>
      <c r="C120" s="60"/>
      <c r="D120" s="60"/>
      <c r="E120" s="87"/>
      <c r="F120" s="87"/>
      <c r="G120" s="87"/>
      <c r="H120" s="87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">
      <c r="A121" s="60"/>
      <c r="B121" s="60"/>
      <c r="C121" s="60"/>
      <c r="D121" s="60"/>
      <c r="E121" s="87"/>
      <c r="F121" s="87"/>
      <c r="G121" s="87"/>
      <c r="H121" s="87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">
      <c r="A122" s="60"/>
      <c r="B122" s="60"/>
      <c r="C122" s="60"/>
      <c r="D122" s="60"/>
      <c r="E122" s="87"/>
      <c r="F122" s="87"/>
      <c r="G122" s="87"/>
      <c r="H122" s="87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">
      <c r="A136" s="46" t="s">
        <v>169</v>
      </c>
      <c r="B136" s="52" t="str">
        <f>IF(B13="","",B13)</f>
        <v/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">
      <c r="A138" s="4"/>
      <c r="B138" s="85" t="s">
        <v>185</v>
      </c>
      <c r="C138" s="259" t="s">
        <v>186</v>
      </c>
      <c r="D138" s="259"/>
      <c r="E138" s="260" t="s">
        <v>187</v>
      </c>
      <c r="F138" s="261"/>
      <c r="G138" s="261"/>
      <c r="H138" s="262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2" x14ac:dyDescent="0.3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">
      <c r="A162" s="46" t="s">
        <v>170</v>
      </c>
      <c r="B162" s="52" t="str">
        <f>IF(B14="","",B14)</f>
        <v/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">
      <c r="A164" s="4"/>
      <c r="B164" s="85" t="s">
        <v>185</v>
      </c>
      <c r="C164" s="259" t="s">
        <v>186</v>
      </c>
      <c r="D164" s="259"/>
      <c r="E164" s="260" t="s">
        <v>187</v>
      </c>
      <c r="F164" s="261"/>
      <c r="G164" s="261"/>
      <c r="H164" s="262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2" x14ac:dyDescent="0.3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">
      <c r="A190" s="4"/>
      <c r="B190" s="85" t="s">
        <v>185</v>
      </c>
      <c r="C190" s="259" t="s">
        <v>186</v>
      </c>
      <c r="D190" s="259"/>
      <c r="E190" s="260" t="s">
        <v>187</v>
      </c>
      <c r="F190" s="261"/>
      <c r="G190" s="261"/>
      <c r="H190" s="262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2" x14ac:dyDescent="0.3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">
      <c r="A216" s="4"/>
      <c r="B216" s="85" t="s">
        <v>185</v>
      </c>
      <c r="C216" s="259" t="s">
        <v>186</v>
      </c>
      <c r="D216" s="259"/>
      <c r="E216" s="260" t="s">
        <v>187</v>
      </c>
      <c r="F216" s="261"/>
      <c r="G216" s="261"/>
      <c r="H216" s="262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2" x14ac:dyDescent="0.3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">
      <c r="A242" s="4"/>
      <c r="B242" s="85" t="s">
        <v>185</v>
      </c>
      <c r="C242" s="259" t="s">
        <v>186</v>
      </c>
      <c r="D242" s="259"/>
      <c r="E242" s="260" t="s">
        <v>187</v>
      </c>
      <c r="F242" s="261"/>
      <c r="G242" s="261"/>
      <c r="H242" s="262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2" x14ac:dyDescent="0.3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">
      <c r="A268" s="4"/>
      <c r="B268" s="85" t="s">
        <v>185</v>
      </c>
      <c r="C268" s="259" t="s">
        <v>186</v>
      </c>
      <c r="D268" s="259"/>
      <c r="E268" s="260" t="s">
        <v>187</v>
      </c>
      <c r="F268" s="261"/>
      <c r="G268" s="261"/>
      <c r="H268" s="262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2" x14ac:dyDescent="0.3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G15" sqref="G15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4" thickBot="1" x14ac:dyDescent="0.55000000000000004">
      <c r="A2" s="4"/>
      <c r="B2" s="272" t="s">
        <v>191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3">
      <c r="A8" s="105">
        <v>1</v>
      </c>
      <c r="B8" s="61">
        <v>1</v>
      </c>
      <c r="C8" s="49" t="s">
        <v>177</v>
      </c>
      <c r="D8" s="23"/>
      <c r="E8" s="105">
        <v>4</v>
      </c>
      <c r="F8" s="61">
        <v>0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0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3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3">
      <c r="A15" s="23"/>
      <c r="B15" s="26" t="s">
        <v>295</v>
      </c>
      <c r="C15" s="4"/>
      <c r="D15" s="23"/>
      <c r="E15" s="4"/>
      <c r="F15" s="4"/>
      <c r="G15" s="2" t="s">
        <v>148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">
      <c r="A16" s="23"/>
      <c r="B16" s="61">
        <v>1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">
      <c r="A19" s="23"/>
      <c r="B19" s="106">
        <f>SUM(B16:B18)</f>
        <v>1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">
      <c r="C104" s="4"/>
      <c r="F104" s="4"/>
    </row>
    <row r="105" spans="3:35" x14ac:dyDescent="0.3">
      <c r="C105" s="4"/>
      <c r="F105" s="4"/>
    </row>
    <row r="106" spans="3:35" x14ac:dyDescent="0.3">
      <c r="C106" s="4"/>
      <c r="F106" s="4"/>
    </row>
    <row r="107" spans="3:35" x14ac:dyDescent="0.3">
      <c r="C107" s="4"/>
      <c r="F107" s="4"/>
    </row>
    <row r="108" spans="3:35" x14ac:dyDescent="0.3">
      <c r="C108" s="4"/>
      <c r="F108" s="4"/>
    </row>
    <row r="109" spans="3:35" x14ac:dyDescent="0.3">
      <c r="C109" s="4"/>
      <c r="F109" s="4"/>
    </row>
    <row r="110" spans="3:35" x14ac:dyDescent="0.3">
      <c r="C110" s="4"/>
      <c r="F110" s="4"/>
    </row>
    <row r="111" spans="3:35" x14ac:dyDescent="0.3">
      <c r="C111" s="4"/>
      <c r="F111" s="4"/>
    </row>
    <row r="112" spans="3:35" x14ac:dyDescent="0.3">
      <c r="C112" s="4"/>
      <c r="F112" s="4"/>
    </row>
    <row r="113" spans="3:6" x14ac:dyDescent="0.3">
      <c r="C113" s="4"/>
      <c r="F113" s="4"/>
    </row>
    <row r="114" spans="3:6" x14ac:dyDescent="0.3">
      <c r="C114" s="4"/>
      <c r="F114" s="4"/>
    </row>
    <row r="115" spans="3:6" x14ac:dyDescent="0.3">
      <c r="C115" s="4"/>
      <c r="F115" s="4"/>
    </row>
    <row r="116" spans="3:6" x14ac:dyDescent="0.3">
      <c r="C116" s="4"/>
      <c r="F116" s="4"/>
    </row>
    <row r="117" spans="3:6" x14ac:dyDescent="0.3">
      <c r="C117" s="4"/>
      <c r="F117" s="4"/>
    </row>
    <row r="118" spans="3:6" x14ac:dyDescent="0.3">
      <c r="C118" s="4"/>
      <c r="F118" s="4"/>
    </row>
    <row r="119" spans="3:6" x14ac:dyDescent="0.3">
      <c r="C119" s="4"/>
      <c r="F119" s="4"/>
    </row>
    <row r="120" spans="3:6" x14ac:dyDescent="0.3">
      <c r="C120" s="4"/>
      <c r="F120" s="4"/>
    </row>
    <row r="121" spans="3:6" x14ac:dyDescent="0.3">
      <c r="C121" s="4"/>
      <c r="F121" s="4"/>
    </row>
    <row r="122" spans="3:6" x14ac:dyDescent="0.3">
      <c r="C122" s="4"/>
      <c r="F122" s="4"/>
    </row>
    <row r="123" spans="3:6" x14ac:dyDescent="0.3">
      <c r="C123" s="4"/>
      <c r="F123" s="4"/>
    </row>
    <row r="124" spans="3:6" x14ac:dyDescent="0.3">
      <c r="C124" s="4"/>
      <c r="F124" s="4"/>
    </row>
    <row r="125" spans="3:6" x14ac:dyDescent="0.3">
      <c r="C125" s="4"/>
      <c r="F125" s="4"/>
    </row>
    <row r="126" spans="3:6" x14ac:dyDescent="0.3">
      <c r="C126" s="4"/>
      <c r="F126" s="4"/>
    </row>
    <row r="127" spans="3:6" x14ac:dyDescent="0.3">
      <c r="C127" s="4"/>
      <c r="F127" s="4"/>
    </row>
    <row r="128" spans="3:6" x14ac:dyDescent="0.3">
      <c r="C128" s="4"/>
      <c r="F128" s="4"/>
    </row>
    <row r="129" spans="3:6" x14ac:dyDescent="0.3">
      <c r="C129" s="4"/>
      <c r="F129" s="4"/>
    </row>
    <row r="130" spans="3:6" x14ac:dyDescent="0.3">
      <c r="C130" s="4"/>
      <c r="F130" s="4"/>
    </row>
    <row r="131" spans="3:6" x14ac:dyDescent="0.3">
      <c r="C131" s="4"/>
      <c r="F131" s="4"/>
    </row>
    <row r="132" spans="3:6" x14ac:dyDescent="0.3">
      <c r="F132" s="4"/>
    </row>
    <row r="133" spans="3:6" x14ac:dyDescent="0.3">
      <c r="F133" s="4"/>
    </row>
    <row r="134" spans="3:6" x14ac:dyDescent="0.3">
      <c r="F134" s="4"/>
    </row>
    <row r="135" spans="3:6" x14ac:dyDescent="0.3">
      <c r="F135" s="4"/>
    </row>
    <row r="136" spans="3:6" x14ac:dyDescent="0.3">
      <c r="F136" s="4"/>
    </row>
    <row r="137" spans="3:6" x14ac:dyDescent="0.3">
      <c r="F137" s="4"/>
    </row>
    <row r="138" spans="3:6" x14ac:dyDescent="0.3">
      <c r="F138" s="4"/>
    </row>
    <row r="139" spans="3:6" x14ac:dyDescent="0.3">
      <c r="F139" s="4"/>
    </row>
    <row r="140" spans="3:6" x14ac:dyDescent="0.3">
      <c r="F140" s="4"/>
    </row>
    <row r="141" spans="3:6" x14ac:dyDescent="0.3">
      <c r="F141" s="4"/>
    </row>
    <row r="142" spans="3:6" x14ac:dyDescent="0.3">
      <c r="F142" s="4"/>
    </row>
    <row r="143" spans="3:6" x14ac:dyDescent="0.3">
      <c r="F143" s="4"/>
    </row>
    <row r="144" spans="3:6" x14ac:dyDescent="0.3">
      <c r="F144" s="4"/>
    </row>
    <row r="145" spans="6:6" x14ac:dyDescent="0.3">
      <c r="F145" s="4"/>
    </row>
    <row r="146" spans="6:6" x14ac:dyDescent="0.3">
      <c r="F146" s="4"/>
    </row>
    <row r="147" spans="6:6" x14ac:dyDescent="0.3">
      <c r="F147" s="4"/>
    </row>
    <row r="148" spans="6:6" x14ac:dyDescent="0.3">
      <c r="F148" s="4"/>
    </row>
    <row r="149" spans="6:6" x14ac:dyDescent="0.3">
      <c r="F149" s="4"/>
    </row>
    <row r="150" spans="6:6" x14ac:dyDescent="0.3">
      <c r="F150" s="4"/>
    </row>
    <row r="151" spans="6:6" x14ac:dyDescent="0.3">
      <c r="F151" s="4"/>
    </row>
    <row r="152" spans="6:6" x14ac:dyDescent="0.3">
      <c r="F152" s="4"/>
    </row>
    <row r="153" spans="6:6" x14ac:dyDescent="0.3">
      <c r="F153" s="4"/>
    </row>
    <row r="154" spans="6:6" x14ac:dyDescent="0.3">
      <c r="F154" s="4"/>
    </row>
    <row r="155" spans="6:6" x14ac:dyDescent="0.3">
      <c r="F155" s="4"/>
    </row>
    <row r="156" spans="6:6" x14ac:dyDescent="0.3">
      <c r="F156" s="4"/>
    </row>
    <row r="157" spans="6:6" x14ac:dyDescent="0.3">
      <c r="F157" s="4"/>
    </row>
    <row r="158" spans="6:6" x14ac:dyDescent="0.3">
      <c r="F158" s="4"/>
    </row>
    <row r="159" spans="6:6" x14ac:dyDescent="0.3">
      <c r="F159" s="4"/>
    </row>
    <row r="160" spans="6:6" x14ac:dyDescent="0.3">
      <c r="F160" s="4"/>
    </row>
    <row r="161" spans="6:6" x14ac:dyDescent="0.3">
      <c r="F161" s="4"/>
    </row>
    <row r="162" spans="6:6" x14ac:dyDescent="0.3">
      <c r="F162" s="4"/>
    </row>
    <row r="163" spans="6:6" x14ac:dyDescent="0.3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88671875" style="4" bestFit="1" customWidth="1"/>
    <col min="2" max="4" width="11.44140625" style="4"/>
    <col min="5" max="5" width="9.5546875" style="4" customWidth="1"/>
    <col min="6" max="7" width="11.44140625" style="4"/>
    <col min="8" max="8" width="10.6640625" style="4" customWidth="1"/>
    <col min="9" max="9" width="9.44140625" style="4" customWidth="1"/>
    <col min="10" max="11" width="10.5546875" style="4" bestFit="1" customWidth="1"/>
    <col min="12" max="12" width="14" style="4" bestFit="1" customWidth="1"/>
    <col min="13" max="13" width="14" style="4" customWidth="1"/>
    <col min="14" max="23" width="11.44140625" style="4"/>
    <col min="24" max="24" width="11.6640625" style="4" bestFit="1" customWidth="1"/>
    <col min="25" max="25" width="14.5546875" style="4" bestFit="1" customWidth="1"/>
    <col min="26" max="26" width="12.44140625" style="4" bestFit="1" customWidth="1"/>
    <col min="27" max="27" width="9.6640625" style="4" bestFit="1" customWidth="1"/>
    <col min="28" max="28" width="11" style="4" bestFit="1" customWidth="1"/>
    <col min="29" max="29" width="9.44140625" style="4" bestFit="1" customWidth="1"/>
    <col min="30" max="31" width="9.44140625" style="4" customWidth="1"/>
    <col min="32" max="32" width="11.44140625" style="4"/>
    <col min="33" max="34" width="14" style="4" bestFit="1" customWidth="1"/>
    <col min="35" max="35" width="10.5546875" style="4" bestFit="1" customWidth="1"/>
    <col min="36" max="36" width="9.44140625" style="4" bestFit="1" customWidth="1"/>
    <col min="37" max="38" width="10.5546875" style="4" bestFit="1" customWidth="1"/>
    <col min="39" max="41" width="10.5546875" style="4" customWidth="1"/>
    <col min="42" max="42" width="9" style="4" bestFit="1" customWidth="1"/>
    <col min="43" max="43" width="10.5546875" style="4" bestFit="1" customWidth="1"/>
    <col min="44" max="44" width="9.33203125" style="4" bestFit="1" customWidth="1"/>
    <col min="45" max="45" width="11.6640625" style="4" bestFit="1" customWidth="1"/>
    <col min="46" max="46" width="8.44140625" style="4" bestFit="1" customWidth="1"/>
    <col min="47" max="47" width="9.44140625" style="4" bestFit="1" customWidth="1"/>
    <col min="48" max="48" width="9.6640625" style="4" bestFit="1" customWidth="1"/>
    <col min="49" max="49" width="11" style="4" bestFit="1" customWidth="1"/>
    <col min="50" max="50" width="9.44140625" style="4" bestFit="1" customWidth="1"/>
    <col min="51" max="52" width="9.44140625" style="4" customWidth="1"/>
    <col min="53" max="53" width="10.5546875" style="4" bestFit="1" customWidth="1"/>
    <col min="54" max="54" width="14.33203125" style="4" customWidth="1"/>
    <col min="55" max="55" width="14" style="4" customWidth="1"/>
    <col min="56" max="56" width="10.5546875" style="4" bestFit="1" customWidth="1"/>
    <col min="57" max="57" width="9.44140625" style="4" bestFit="1" customWidth="1"/>
    <col min="58" max="59" width="10.5546875" style="4" bestFit="1" customWidth="1"/>
    <col min="60" max="62" width="10.5546875" style="4" customWidth="1"/>
    <col min="63" max="63" width="9" style="4" bestFit="1" customWidth="1"/>
    <col min="64" max="64" width="10.5546875" style="4" bestFit="1" customWidth="1"/>
    <col min="65" max="65" width="9.33203125" style="4" bestFit="1" customWidth="1"/>
    <col min="66" max="66" width="11.6640625" style="4" bestFit="1" customWidth="1"/>
    <col min="67" max="67" width="8.44140625" style="4" bestFit="1" customWidth="1"/>
    <col min="68" max="68" width="9.44140625" style="4" bestFit="1" customWidth="1"/>
    <col min="69" max="69" width="9.6640625" style="4" bestFit="1" customWidth="1"/>
    <col min="70" max="70" width="11" style="4" bestFit="1" customWidth="1"/>
    <col min="71" max="71" width="9.44140625" style="4" bestFit="1" customWidth="1"/>
    <col min="72" max="73" width="9.44140625" style="4" customWidth="1"/>
    <col min="74" max="74" width="10.5546875" style="4" bestFit="1" customWidth="1"/>
    <col min="75" max="75" width="14" style="4" bestFit="1" customWidth="1"/>
    <col min="76" max="76" width="13.88671875" style="4" customWidth="1"/>
    <col min="77" max="77" width="10.5546875" style="4" bestFit="1" customWidth="1"/>
    <col min="78" max="78" width="9.44140625" style="4" bestFit="1" customWidth="1"/>
    <col min="79" max="80" width="10.5546875" style="4" bestFit="1" customWidth="1"/>
    <col min="81" max="83" width="10.5546875" style="4" customWidth="1"/>
    <col min="84" max="84" width="11.44140625" style="4"/>
    <col min="85" max="85" width="10.5546875" style="4" bestFit="1" customWidth="1"/>
    <col min="86" max="86" width="9.33203125" style="4" bestFit="1" customWidth="1"/>
    <col min="87" max="87" width="11.6640625" style="4" bestFit="1" customWidth="1"/>
    <col min="88" max="88" width="8.44140625" style="4" bestFit="1" customWidth="1"/>
    <col min="89" max="89" width="9.44140625" style="4" bestFit="1" customWidth="1"/>
    <col min="90" max="90" width="9.6640625" style="4" bestFit="1" customWidth="1"/>
    <col min="91" max="91" width="11" style="4" bestFit="1" customWidth="1"/>
    <col min="92" max="92" width="9.44140625" style="4" bestFit="1" customWidth="1"/>
    <col min="93" max="94" width="9.44140625" style="4" customWidth="1"/>
    <col min="95" max="95" width="11.44140625" style="4"/>
    <col min="96" max="97" width="14" style="4" customWidth="1"/>
    <col min="98" max="98" width="10.5546875" style="4" bestFit="1" customWidth="1"/>
    <col min="99" max="99" width="9.44140625" style="4" bestFit="1" customWidth="1"/>
    <col min="100" max="101" width="10.5546875" style="4" bestFit="1" customWidth="1"/>
    <col min="102" max="104" width="10.5546875" style="4" customWidth="1"/>
    <col min="105" max="105" width="9" style="4" bestFit="1" customWidth="1"/>
    <col min="106" max="106" width="10.5546875" style="4" bestFit="1" customWidth="1"/>
    <col min="107" max="107" width="9.33203125" style="4" bestFit="1" customWidth="1"/>
    <col min="108" max="108" width="11.6640625" style="4" bestFit="1" customWidth="1"/>
    <col min="109" max="109" width="8.44140625" style="4" bestFit="1" customWidth="1"/>
    <col min="110" max="110" width="9.44140625" style="4" bestFit="1" customWidth="1"/>
    <col min="111" max="111" width="9.6640625" style="4" bestFit="1" customWidth="1"/>
    <col min="112" max="112" width="11" style="4" bestFit="1" customWidth="1"/>
    <col min="113" max="113" width="9.44140625" style="4" bestFit="1" customWidth="1"/>
    <col min="114" max="115" width="9.44140625" style="4" customWidth="1"/>
    <col min="116" max="116" width="10.5546875" style="4" bestFit="1" customWidth="1"/>
    <col min="117" max="117" width="14.33203125" style="4" customWidth="1"/>
    <col min="118" max="118" width="14" style="4" bestFit="1" customWidth="1"/>
    <col min="119" max="119" width="10.5546875" style="4" bestFit="1" customWidth="1"/>
    <col min="120" max="120" width="9.44140625" style="4" bestFit="1" customWidth="1"/>
    <col min="121" max="122" width="10.5546875" style="4" bestFit="1" customWidth="1"/>
    <col min="123" max="125" width="10.5546875" style="4" customWidth="1"/>
    <col min="126" max="126" width="9" style="4" bestFit="1" customWidth="1"/>
    <col min="127" max="127" width="10.5546875" style="4" bestFit="1" customWidth="1"/>
    <col min="128" max="128" width="9.33203125" style="4" bestFit="1" customWidth="1"/>
    <col min="129" max="129" width="11.6640625" style="4" bestFit="1" customWidth="1"/>
    <col min="130" max="130" width="8.44140625" style="4" bestFit="1" customWidth="1"/>
    <col min="131" max="131" width="9.44140625" style="4" bestFit="1" customWidth="1"/>
    <col min="132" max="132" width="9.6640625" style="4" bestFit="1" customWidth="1"/>
    <col min="133" max="133" width="11" style="4" bestFit="1" customWidth="1"/>
    <col min="134" max="134" width="9.44140625" style="4" bestFit="1" customWidth="1"/>
    <col min="135" max="136" width="9.44140625" style="4" customWidth="1"/>
    <col min="137" max="137" width="10.5546875" style="4" bestFit="1" customWidth="1"/>
    <col min="138" max="139" width="14" style="4" customWidth="1"/>
    <col min="140" max="140" width="10.5546875" style="4" bestFit="1" customWidth="1"/>
    <col min="141" max="141" width="9.44140625" style="4" bestFit="1" customWidth="1"/>
    <col min="142" max="143" width="10.5546875" style="4" bestFit="1" customWidth="1"/>
    <col min="144" max="146" width="10.5546875" style="4" customWidth="1"/>
    <col min="147" max="147" width="9" style="4" bestFit="1" customWidth="1"/>
    <col min="148" max="148" width="10.5546875" style="4" bestFit="1" customWidth="1"/>
    <col min="149" max="149" width="9.33203125" style="4" bestFit="1" customWidth="1"/>
    <col min="150" max="150" width="11.6640625" style="4" bestFit="1" customWidth="1"/>
    <col min="151" max="151" width="8.44140625" style="4" bestFit="1" customWidth="1"/>
    <col min="152" max="152" width="9.44140625" style="4" bestFit="1" customWidth="1"/>
    <col min="153" max="153" width="9.6640625" style="4" bestFit="1" customWidth="1"/>
    <col min="154" max="154" width="11" style="4" bestFit="1" customWidth="1"/>
    <col min="155" max="155" width="9.44140625" style="4" bestFit="1" customWidth="1"/>
    <col min="156" max="157" width="9.44140625" style="4" customWidth="1"/>
    <col min="158" max="158" width="11.44140625" style="4"/>
    <col min="159" max="160" width="14" style="4" bestFit="1" customWidth="1"/>
    <col min="161" max="161" width="10.5546875" style="4" bestFit="1" customWidth="1"/>
    <col min="162" max="162" width="9.44140625" style="4" bestFit="1" customWidth="1"/>
    <col min="163" max="164" width="10.5546875" style="4" bestFit="1" customWidth="1"/>
    <col min="165" max="167" width="10.5546875" style="4" customWidth="1"/>
    <col min="168" max="168" width="9" style="4" bestFit="1" customWidth="1"/>
    <col min="169" max="169" width="10.5546875" style="4" bestFit="1" customWidth="1"/>
    <col min="170" max="170" width="9.33203125" style="4" bestFit="1" customWidth="1"/>
    <col min="171" max="171" width="11.6640625" style="4" bestFit="1" customWidth="1"/>
    <col min="172" max="172" width="8.109375" style="4" bestFit="1" customWidth="1"/>
    <col min="173" max="173" width="9.44140625" style="4" bestFit="1" customWidth="1"/>
    <col min="174" max="174" width="9.6640625" style="4" bestFit="1" customWidth="1"/>
    <col min="175" max="175" width="11" style="4" bestFit="1" customWidth="1"/>
    <col min="176" max="176" width="9.44140625" style="4" bestFit="1" customWidth="1"/>
    <col min="177" max="178" width="9.44140625" style="4" customWidth="1"/>
    <col min="179" max="179" width="10.5546875" style="4" bestFit="1" customWidth="1"/>
    <col min="180" max="181" width="14" style="4" bestFit="1" customWidth="1"/>
    <col min="182" max="182" width="10.5546875" style="4" bestFit="1" customWidth="1"/>
    <col min="183" max="183" width="9.44140625" style="4" bestFit="1" customWidth="1"/>
    <col min="184" max="185" width="10.5546875" style="4" bestFit="1" customWidth="1"/>
    <col min="186" max="188" width="10.5546875" style="4" customWidth="1"/>
    <col min="189" max="189" width="9" style="4" bestFit="1" customWidth="1"/>
    <col min="190" max="190" width="10.5546875" style="4" bestFit="1" customWidth="1"/>
    <col min="191" max="191" width="9.33203125" style="4" bestFit="1" customWidth="1"/>
    <col min="192" max="192" width="11.44140625" style="4"/>
    <col min="193" max="193" width="8.44140625" style="4" bestFit="1" customWidth="1"/>
    <col min="194" max="194" width="9.44140625" style="4" bestFit="1" customWidth="1"/>
    <col min="195" max="195" width="9.6640625" style="4" bestFit="1" customWidth="1"/>
    <col min="196" max="196" width="11" style="4" bestFit="1" customWidth="1"/>
    <col min="197" max="197" width="9.44140625" style="4" bestFit="1" customWidth="1"/>
    <col min="198" max="199" width="9.44140625" style="4" customWidth="1"/>
    <col min="200" max="200" width="10.5546875" style="4" bestFit="1" customWidth="1"/>
    <col min="201" max="201" width="14" style="4" customWidth="1"/>
    <col min="202" max="202" width="14.33203125" style="4" customWidth="1"/>
    <col min="203" max="203" width="10.5546875" style="4" bestFit="1" customWidth="1"/>
    <col min="204" max="204" width="9.44140625" style="4" bestFit="1" customWidth="1"/>
    <col min="205" max="206" width="10.5546875" style="4" bestFit="1" customWidth="1"/>
    <col min="207" max="209" width="10.5546875" style="4" customWidth="1"/>
    <col min="210" max="210" width="9" style="4" bestFit="1" customWidth="1"/>
    <col min="211" max="211" width="10.5546875" style="4" bestFit="1" customWidth="1"/>
    <col min="212" max="212" width="9.33203125" style="4" bestFit="1" customWidth="1"/>
    <col min="213" max="213" width="11.6640625" style="4" bestFit="1" customWidth="1"/>
    <col min="214" max="214" width="8.44140625" style="4" bestFit="1" customWidth="1"/>
    <col min="215" max="215" width="9.44140625" style="4" bestFit="1" customWidth="1"/>
    <col min="216" max="216" width="9.6640625" style="4" bestFit="1" customWidth="1"/>
    <col min="217" max="217" width="11" style="4" bestFit="1" customWidth="1"/>
    <col min="218" max="218" width="9.44140625" style="4" bestFit="1" customWidth="1"/>
    <col min="219" max="16384" width="11.44140625" style="4"/>
  </cols>
  <sheetData>
    <row r="1" spans="1:218" ht="26.4" thickBot="1" x14ac:dyDescent="0.55000000000000004">
      <c r="B1" s="278" t="s">
        <v>176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Pin taeda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>Chêne sessile</v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>Charme</v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/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/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/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/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/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58.2" thickBot="1" x14ac:dyDescent="0.35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">
      <c r="A3" s="10">
        <v>0</v>
      </c>
      <c r="B3" s="73">
        <f>'Scénario référence'!$B$16*5+'Scénario référence'!$B$17*0+'Scénario référence'!$B$18*5</f>
        <v>5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18.333333333333332</v>
      </c>
      <c r="H3" s="67">
        <f>(B3+E3+F3)*44/12+(C3+D3)*0.475*44/12</f>
        <v>183.33333333333334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165</v>
      </c>
      <c r="S3" s="59">
        <f ca="1">AVERAGE(OFFSET($R$3,0,0,'Données projet'!$E$9+1,1))-AVERAGE(OFFSET($H$3,0,0,'Données projet'!$E$9+1,1))</f>
        <v>219.4022220248072</v>
      </c>
      <c r="T3" s="59">
        <f>IF('Données projet'!E9&gt;30,$R$33-$H$33,LOOKUP('Données projet'!$E$9,$A$3:$A$203,R3:R203)-LOOKUP('Données projet'!$E$9,$A$3:$A$203,$H$3:$H$203))</f>
        <v>199.30065726913725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165</v>
      </c>
      <c r="AN3" s="59">
        <f ca="1">AVERAGE(OFFSET($AM$3,0,0,'Données projet'!$E$10+1,1))-AVERAGE(OFFSET($H$3,0,0,'Données projet'!$E$10+1,1))</f>
        <v>406.64650428071837</v>
      </c>
      <c r="AO3" s="59">
        <f>IF('Données projet'!E10&gt;30,$AM$33-$H$33,LOOKUP('Données projet'!$E$10,$A$3:$A$203,AM3:AM203)-LOOKUP('Données projet'!$E$10,$A$3:$A$203,$H$3:$H$203))</f>
        <v>250.47702091764884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165</v>
      </c>
      <c r="BI3" s="59">
        <f ca="1">AVERAGE(OFFSET($BH$3,0,0,'Données projet'!$E$11+1,1))-AVERAGE(OFFSET($H$3,0,0,'Données projet'!$E$11+1,1))</f>
        <v>387.78453964980849</v>
      </c>
      <c r="BJ3" s="59">
        <f>IF('Données projet'!E11&gt;30,$BH$33-$H$33,LOOKUP('Données projet'!$E$11,$A$3:$A$203,BH3:BH203)-LOOKUP('Données projet'!$E$11,$A$3:$A$203,$H$3:$H$203))</f>
        <v>395.13533152274488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">
      <c r="A4" s="10">
        <f>A3+1</f>
        <v>1</v>
      </c>
      <c r="B4" s="73">
        <f>'Scénario référence'!$B$16*5+'Scénario référence'!$B$17*0+'Scénario référence'!$B$18*5</f>
        <v>5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">
        <f>IFERROR(EXP(-1.0587+0.8836*LN(C4)+0.284),0)</f>
        <v>0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18.333333333333332</v>
      </c>
      <c r="H4" s="67">
        <f t="shared" ref="H4:H67" si="1">(B4+E4+F4)*44/12+(C4+D4)*0.475*44/12</f>
        <v>183.33333333333334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3.1875</v>
      </c>
      <c r="N4" s="13">
        <f>IF('Données projet'!$A$36&gt;35,N3+M4-V3,IF(A4&lt;'Données projet'!$A$36,$K$205^A4,IF(A4='Données projet'!$A$36,'Données projet'!$B$36,N3+M4-V3)))</f>
        <v>1.2785659547808153</v>
      </c>
      <c r="O4" s="13">
        <f>N4*VLOOKUP('Données projet'!$B$9,Paramètres!$A$1:$I$89,3,0)*VLOOKUP('Données projet'!$B$9,Paramètres!$A$1:$I$89,5,0)</f>
        <v>0.76458244095892758</v>
      </c>
      <c r="P4" s="13">
        <f>EXP(-1.0587+0.8836*LN(O4)+0.284)</f>
        <v>0.36353463529672525</v>
      </c>
      <c r="Q4" s="20">
        <f t="shared" ref="Q4:Q34" si="2">(O4+P4)*0.475*44/12</f>
        <v>1.9648039078119286</v>
      </c>
      <c r="R4" s="59">
        <f t="shared" si="0"/>
        <v>169.77723786073577</v>
      </c>
      <c r="S4" s="59">
        <f ca="1">AVERAGE(OFFSET($R$3,0,0,'Données projet'!$E$9+1,1))-AVERAGE(OFFSET($H$3,0,0,'Données projet'!$E$9+1,1))</f>
        <v>219.4022220248072</v>
      </c>
      <c r="T4" s="59">
        <f>$T$3</f>
        <v>199.30065726913725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2.8</v>
      </c>
      <c r="AI4" s="13">
        <f>IF('Données projet'!$A$62&gt;35,AI3+AH4-AQ3,IF(A4&lt;'Données projet'!$A$62,$AF$205^A4,IF(A4='Données projet'!$A$62,'Données projet'!$B$62,AI3+AH4-AQ3)))</f>
        <v>1.1852335095914694</v>
      </c>
      <c r="AJ4" s="13">
        <f>AI4*VLOOKUP('Données projet'!$B$10,Paramètres!$A$1:$I$89,3,0)*VLOOKUP('Données projet'!$B$10,Paramètres!$A$1:$I$89,5,0)</f>
        <v>1.0723992794783614</v>
      </c>
      <c r="AK4" s="13">
        <f>EXP(-1.0587+0.8836*LN(AJ4)+0.284)</f>
        <v>0.49020200157376026</v>
      </c>
      <c r="AL4" s="20">
        <f t="shared" ref="AL4:AL67" si="4">(AJ4+AK4)*0.475*44/12</f>
        <v>2.7215305644991119</v>
      </c>
      <c r="AM4" s="59">
        <f t="shared" ref="AM4:AM67" si="5">AL4+(AD4+AE4)*44/12</f>
        <v>170.53396451742296</v>
      </c>
      <c r="AN4" s="59">
        <f ca="1">AVERAGE(OFFSET($AM$3,0,0,'Données projet'!$E$10+1,1))-AVERAGE(OFFSET($H$3,0,0,'Données projet'!$E$10+1,1))</f>
        <v>406.64650428071837</v>
      </c>
      <c r="AO4" s="59">
        <f>$AO$3</f>
        <v>250.47702091764884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3.8</v>
      </c>
      <c r="BD4" s="12">
        <f>IF('Données projet'!$A$88&gt;35,BD3+BC4-BL3,IF(A4&lt;'Données projet'!$A$88,$BA$205^A4,IF(A4='Données projet'!$A$88,'Données projet'!$B$88,BD3+BC4-BL3)))</f>
        <v>1.3093577517960842</v>
      </c>
      <c r="BE4" s="13">
        <f>BD4*VLOOKUP('Données projet'!$B$11,Paramètres!$A$1:$I$89,3,0)*VLOOKUP('Données projet'!$B$11,Paramètres!$A$1:$I$89,5,0)</f>
        <v>1.2459848366091537</v>
      </c>
      <c r="BF4" s="13">
        <f>EXP(-1.0587+0.8836*LN(BE4)+0.284)</f>
        <v>0.55968947110461409</v>
      </c>
      <c r="BG4" s="20">
        <f t="shared" ref="BG4:BG67" si="7">(BE4+BF4)*0.475*44/12</f>
        <v>3.1448827526014789</v>
      </c>
      <c r="BH4" s="59">
        <f t="shared" ref="BH4:BH67" si="8">BG4+(AY4+AZ4)*44/12</f>
        <v>170.95731670552533</v>
      </c>
      <c r="BI4" s="59">
        <f ca="1">AVERAGE(OFFSET($BH$3,0,0,'Données projet'!$E$11+1,1))-AVERAGE(OFFSET($H$3,0,0,'Données projet'!$E$11+1,1))</f>
        <v>387.78453964980849</v>
      </c>
      <c r="BJ4" s="59">
        <f>$BJ$3</f>
        <v>395.13533152274488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">
      <c r="A5" s="10">
        <f t="shared" ref="A5:A68" si="31">A4+1</f>
        <v>2</v>
      </c>
      <c r="B5" s="73">
        <f>'Scénario référence'!$B$16*5+'Scénario référence'!$B$17*0+'Scénario référence'!$B$18*5</f>
        <v>5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">
        <f t="shared" ref="D5:D68" si="32">IFERROR(EXP(-1.0587+0.8836*LN(C5)+0.284),0)</f>
        <v>0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18.333333333333332</v>
      </c>
      <c r="H5" s="67">
        <f t="shared" si="1"/>
        <v>183.33333333333334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3.1875</v>
      </c>
      <c r="N5" s="13">
        <f>IF('Données projet'!$A$36&gt;35,N4+M5-V4,IF(A5&lt;'Données projet'!$A$36,$K$205^A5,IF(A5='Données projet'!$A$36,'Données projet'!$B$36,N4+M5-V4)))</f>
        <v>1.6347309007245776</v>
      </c>
      <c r="O5" s="13">
        <f>N5*VLOOKUP('Données projet'!$B$9,Paramètres!$A$1:$I$89,3,0)*VLOOKUP('Données projet'!$B$9,Paramètres!$A$1:$I$89,5,0)</f>
        <v>0.97756907863329756</v>
      </c>
      <c r="P5" s="13">
        <f t="shared" ref="P5:P68" si="33">EXP(-1.0587+0.8836*LN(O5)+0.284)</f>
        <v>0.45169611681419058</v>
      </c>
      <c r="Q5" s="20">
        <f t="shared" si="2"/>
        <v>2.4893035487377086</v>
      </c>
      <c r="R5" s="59">
        <f t="shared" si="0"/>
        <v>173.08658483623853</v>
      </c>
      <c r="S5" s="59">
        <f ca="1">AVERAGE(OFFSET($R$3,0,0,'Données projet'!$E$9+1,1))-AVERAGE(OFFSET($H$3,0,0,'Données projet'!$E$9+1,1))</f>
        <v>219.4022220248072</v>
      </c>
      <c r="T5" s="59">
        <f t="shared" ref="T5:T68" si="34">$T$3</f>
        <v>199.30065726913725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2.8</v>
      </c>
      <c r="AI5" s="13">
        <f>IF('Données projet'!$A$62&gt;35,AI4+AH5-AQ4,IF(A5&lt;'Données projet'!$A$62,$AF$205^A5,IF(A5='Données projet'!$A$62,'Données projet'!$B$62,AI4+AH5-AQ4)))</f>
        <v>1.4047784722585119</v>
      </c>
      <c r="AJ5" s="13">
        <f>AI5*VLOOKUP('Données projet'!$B$10,Paramètres!$A$1:$I$89,3,0)*VLOOKUP('Données projet'!$B$10,Paramètres!$A$1:$I$89,5,0)</f>
        <v>1.2710435616995015</v>
      </c>
      <c r="AK5" s="13">
        <f t="shared" ref="AK5:AK68" si="35">EXP(-1.0587+0.8836*LN(AJ5)+0.284)</f>
        <v>0.56962392939903683</v>
      </c>
      <c r="AL5" s="20">
        <f t="shared" si="4"/>
        <v>3.2058292136632871</v>
      </c>
      <c r="AM5" s="59">
        <f t="shared" si="5"/>
        <v>173.80311050116413</v>
      </c>
      <c r="AN5" s="59">
        <f ca="1">AVERAGE(OFFSET($AM$3,0,0,'Données projet'!$E$10+1,1))-AVERAGE(OFFSET($H$3,0,0,'Données projet'!$E$10+1,1))</f>
        <v>406.64650428071837</v>
      </c>
      <c r="AO5" s="59">
        <f t="shared" ref="AO5:AO68" si="36">$AO$3</f>
        <v>250.47702091764884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3.8</v>
      </c>
      <c r="BD5" s="12">
        <f>IF('Données projet'!$A$88&gt;35,BD4+BC5-BL4,IF(A5&lt;'Données projet'!$A$88,$BA$205^A5,IF(A5='Données projet'!$A$88,'Données projet'!$B$88,BD4+BC5-BL4)))</f>
        <v>1.714417722188496</v>
      </c>
      <c r="BE5" s="13">
        <f>BD5*VLOOKUP('Données projet'!$B$11,Paramètres!$A$1:$I$89,3,0)*VLOOKUP('Données projet'!$B$11,Paramètres!$A$1:$I$89,5,0)</f>
        <v>1.6314399044345729</v>
      </c>
      <c r="BF5" s="13">
        <f t="shared" ref="BF5:BF68" si="37">EXP(-1.0587+0.8836*LN(BE5)+0.284)</f>
        <v>0.71019869812318392</v>
      </c>
      <c r="BG5" s="20">
        <f t="shared" si="7"/>
        <v>4.0783538994547595</v>
      </c>
      <c r="BH5" s="59">
        <f t="shared" si="8"/>
        <v>174.67563518695559</v>
      </c>
      <c r="BI5" s="59">
        <f ca="1">AVERAGE(OFFSET($BH$3,0,0,'Données projet'!$E$11+1,1))-AVERAGE(OFFSET($H$3,0,0,'Données projet'!$E$11+1,1))</f>
        <v>387.78453964980849</v>
      </c>
      <c r="BJ5" s="59">
        <f t="shared" ref="BJ5:BJ68" si="38">$BJ$3</f>
        <v>395.13533152274488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">
      <c r="A6" s="10">
        <f t="shared" si="31"/>
        <v>3</v>
      </c>
      <c r="B6" s="73">
        <f>'Scénario référence'!$B$16*5+'Scénario référence'!$B$17*0+'Scénario référence'!$B$18*5</f>
        <v>5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">
        <f t="shared" si="32"/>
        <v>0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18.333333333333332</v>
      </c>
      <c r="H6" s="67">
        <f t="shared" si="1"/>
        <v>183.33333333333334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3.1875</v>
      </c>
      <c r="N6" s="13">
        <f>IF('Données projet'!$A$36&gt;35,N5+M6-V5,IF(A6&lt;'Données projet'!$A$36,$K$205^A6,IF(A6='Données projet'!$A$36,'Données projet'!$B$36,N5+M6-V5)))</f>
        <v>2.0901112748946216</v>
      </c>
      <c r="O6" s="13">
        <f>N6*VLOOKUP('Données projet'!$B$9,Paramètres!$A$1:$I$89,3,0)*VLOOKUP('Données projet'!$B$9,Paramètres!$A$1:$I$89,5,0)</f>
        <v>1.2498865423869838</v>
      </c>
      <c r="P6" s="13">
        <f t="shared" si="33"/>
        <v>0.56123780827234093</v>
      </c>
      <c r="Q6" s="20">
        <f t="shared" si="2"/>
        <v>3.1543749107316565</v>
      </c>
      <c r="R6" s="59">
        <f t="shared" si="0"/>
        <v>176.50939548061655</v>
      </c>
      <c r="S6" s="59">
        <f ca="1">AVERAGE(OFFSET($R$3,0,0,'Données projet'!$E$9+1,1))-AVERAGE(OFFSET($H$3,0,0,'Données projet'!$E$9+1,1))</f>
        <v>219.4022220248072</v>
      </c>
      <c r="T6" s="59">
        <f t="shared" si="34"/>
        <v>199.30065726913725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2.8</v>
      </c>
      <c r="AI6" s="13">
        <f>IF('Données projet'!$A$62&gt;35,AI5+AH6-AQ5,IF(A6&lt;'Données projet'!$A$62,$AF$205^A6,IF(A6='Données projet'!$A$62,'Données projet'!$B$62,AI5+AH6-AQ5)))</f>
        <v>1.6649905188734988</v>
      </c>
      <c r="AJ6" s="13">
        <f>AI6*VLOOKUP('Données projet'!$B$10,Paramètres!$A$1:$I$89,3,0)*VLOOKUP('Données projet'!$B$10,Paramètres!$A$1:$I$89,5,0)</f>
        <v>1.5064834214767417</v>
      </c>
      <c r="AK6" s="13">
        <f t="shared" si="35"/>
        <v>0.66191370068319888</v>
      </c>
      <c r="AL6" s="20">
        <f t="shared" si="4"/>
        <v>3.7766249877618967</v>
      </c>
      <c r="AM6" s="59">
        <f t="shared" si="5"/>
        <v>177.13164555764678</v>
      </c>
      <c r="AN6" s="59">
        <f ca="1">AVERAGE(OFFSET($AM$3,0,0,'Données projet'!$E$10+1,1))-AVERAGE(OFFSET($H$3,0,0,'Données projet'!$E$10+1,1))</f>
        <v>406.64650428071837</v>
      </c>
      <c r="AO6" s="59">
        <f t="shared" si="36"/>
        <v>250.47702091764884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3.8</v>
      </c>
      <c r="BD6" s="12">
        <f>IF('Données projet'!$A$88&gt;35,BD5+BC6-BL5,IF(A6&lt;'Données projet'!$A$88,$BA$205^A6,IF(A6='Données projet'!$A$88,'Données projet'!$B$88,BD5+BC6-BL5)))</f>
        <v>2.2447861343640927</v>
      </c>
      <c r="BE6" s="13">
        <f>BD6*VLOOKUP('Données projet'!$B$11,Paramètres!$A$1:$I$89,3,0)*VLOOKUP('Données projet'!$B$11,Paramètres!$A$1:$I$89,5,0)</f>
        <v>2.1361384854608705</v>
      </c>
      <c r="BF6" s="13">
        <f t="shared" si="37"/>
        <v>0.90118220344650524</v>
      </c>
      <c r="BG6" s="20">
        <f t="shared" si="7"/>
        <v>5.2900001998470128</v>
      </c>
      <c r="BH6" s="59">
        <f t="shared" si="8"/>
        <v>178.6450207697319</v>
      </c>
      <c r="BI6" s="59">
        <f ca="1">AVERAGE(OFFSET($BH$3,0,0,'Données projet'!$E$11+1,1))-AVERAGE(OFFSET($H$3,0,0,'Données projet'!$E$11+1,1))</f>
        <v>387.78453964980849</v>
      </c>
      <c r="BJ6" s="59">
        <f t="shared" si="38"/>
        <v>395.13533152274488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">
      <c r="A7" s="10">
        <f t="shared" si="31"/>
        <v>4</v>
      </c>
      <c r="B7" s="73">
        <f>'Scénario référence'!$B$16*5+'Scénario référence'!$B$17*0+'Scénario référence'!$B$18*5</f>
        <v>5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">
        <f t="shared" si="32"/>
        <v>0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18.333333333333332</v>
      </c>
      <c r="H7" s="67">
        <f t="shared" si="1"/>
        <v>183.33333333333334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3.1875</v>
      </c>
      <c r="N7" s="13">
        <f>IF('Données projet'!$A$36&gt;35,N6+M7-V6,IF(A7&lt;'Données projet'!$A$36,$K$205^A7,IF(A7='Données projet'!$A$36,'Données projet'!$B$36,N6+M7-V6)))</f>
        <v>2.6723451177837889</v>
      </c>
      <c r="O7" s="13">
        <f>N7*VLOOKUP('Données projet'!$B$9,Paramètres!$A$1:$I$89,3,0)*VLOOKUP('Données projet'!$B$9,Paramètres!$A$1:$I$89,5,0)</f>
        <v>1.5980623804347061</v>
      </c>
      <c r="P7" s="13">
        <f t="shared" si="33"/>
        <v>0.697344665382444</v>
      </c>
      <c r="Q7" s="20">
        <f t="shared" si="2"/>
        <v>3.9978339381315364</v>
      </c>
      <c r="R7" s="59">
        <f t="shared" si="0"/>
        <v>180.0839560023085</v>
      </c>
      <c r="S7" s="59">
        <f ca="1">AVERAGE(OFFSET($R$3,0,0,'Données projet'!$E$9+1,1))-AVERAGE(OFFSET($H$3,0,0,'Données projet'!$E$9+1,1))</f>
        <v>219.4022220248072</v>
      </c>
      <c r="T7" s="59">
        <f t="shared" si="34"/>
        <v>199.30065726913725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2.8</v>
      </c>
      <c r="AI7" s="13">
        <f>IF('Données projet'!$A$62&gt;35,AI6+AH7-AQ6,IF(A7&lt;'Données projet'!$A$62,$AF$205^A7,IF(A7='Données projet'!$A$62,'Données projet'!$B$62,AI6+AH7-AQ6)))</f>
        <v>1.9734025561209587</v>
      </c>
      <c r="AJ7" s="13">
        <f>AI7*VLOOKUP('Données projet'!$B$10,Paramètres!$A$1:$I$89,3,0)*VLOOKUP('Données projet'!$B$10,Paramètres!$A$1:$I$89,5,0)</f>
        <v>1.7855346327782433</v>
      </c>
      <c r="AK7" s="13">
        <f t="shared" si="35"/>
        <v>0.7691561476610751</v>
      </c>
      <c r="AL7" s="20">
        <f t="shared" si="4"/>
        <v>4.4494197759318128</v>
      </c>
      <c r="AM7" s="59">
        <f t="shared" si="5"/>
        <v>180.53554184010875</v>
      </c>
      <c r="AN7" s="59">
        <f ca="1">AVERAGE(OFFSET($AM$3,0,0,'Données projet'!$E$10+1,1))-AVERAGE(OFFSET($H$3,0,0,'Données projet'!$E$10+1,1))</f>
        <v>406.64650428071837</v>
      </c>
      <c r="AO7" s="59">
        <f t="shared" si="36"/>
        <v>250.47702091764884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3.8</v>
      </c>
      <c r="BD7" s="12">
        <f>IF('Données projet'!$A$88&gt;35,BD6+BC7-BL6,IF(A7&lt;'Données projet'!$A$88,$BA$205^A7,IF(A7='Données projet'!$A$88,'Données projet'!$B$88,BD6+BC7-BL6)))</f>
        <v>2.9392281261539908</v>
      </c>
      <c r="BE7" s="13">
        <f>BD7*VLOOKUP('Données projet'!$B$11,Paramètres!$A$1:$I$89,3,0)*VLOOKUP('Données projet'!$B$11,Paramètres!$A$1:$I$89,5,0)</f>
        <v>2.7969694848481375</v>
      </c>
      <c r="BF7" s="13">
        <f t="shared" si="37"/>
        <v>1.1435241516985077</v>
      </c>
      <c r="BG7" s="20">
        <f t="shared" si="7"/>
        <v>6.8630264169854067</v>
      </c>
      <c r="BH7" s="59">
        <f t="shared" si="8"/>
        <v>182.94914848116235</v>
      </c>
      <c r="BI7" s="59">
        <f ca="1">AVERAGE(OFFSET($BH$3,0,0,'Données projet'!$E$11+1,1))-AVERAGE(OFFSET($H$3,0,0,'Données projet'!$E$11+1,1))</f>
        <v>387.78453964980849</v>
      </c>
      <c r="BJ7" s="59">
        <f t="shared" si="38"/>
        <v>395.13533152274488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">
      <c r="A8" s="10">
        <f t="shared" si="31"/>
        <v>5</v>
      </c>
      <c r="B8" s="73">
        <f>'Scénario référence'!$B$16*5+'Scénario référence'!$B$17*0+'Scénario référence'!$B$18*5</f>
        <v>5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">
        <f t="shared" si="32"/>
        <v>0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18.333333333333332</v>
      </c>
      <c r="H8" s="67">
        <f t="shared" si="1"/>
        <v>183.33333333333334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3.1875</v>
      </c>
      <c r="N8" s="13">
        <f>IF('Données projet'!$A$36&gt;35,N7+M8-V7,IF(A8&lt;'Données projet'!$A$36,$K$205^A8,IF(A8='Données projet'!$A$36,'Données projet'!$B$36,N7+M8-V7)))</f>
        <v>3.4167694870230805</v>
      </c>
      <c r="O8" s="13">
        <f>N8*VLOOKUP('Données projet'!$B$9,Paramètres!$A$1:$I$89,3,0)*VLOOKUP('Données projet'!$B$9,Paramètres!$A$1:$I$89,5,0)</f>
        <v>2.0432281532398022</v>
      </c>
      <c r="P8" s="13">
        <f t="shared" si="33"/>
        <v>0.86645905740794338</v>
      </c>
      <c r="Q8" s="20">
        <f t="shared" si="2"/>
        <v>5.0677052252114896</v>
      </c>
      <c r="R8" s="59">
        <f t="shared" si="0"/>
        <v>183.85875310165883</v>
      </c>
      <c r="S8" s="59">
        <f ca="1">AVERAGE(OFFSET($R$3,0,0,'Données projet'!$E$9+1,1))-AVERAGE(OFFSET($H$3,0,0,'Données projet'!$E$9+1,1))</f>
        <v>219.4022220248072</v>
      </c>
      <c r="T8" s="59">
        <f t="shared" si="34"/>
        <v>199.30065726913725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2.8</v>
      </c>
      <c r="AI8" s="13">
        <f>IF('Données projet'!$A$62&gt;35,AI7+AH8-AQ7,IF(A8&lt;'Données projet'!$A$62,$AF$205^A8,IF(A8='Données projet'!$A$62,'Données projet'!$B$62,AI7+AH8-AQ7)))</f>
        <v>2.3389428374280206</v>
      </c>
      <c r="AJ8" s="13">
        <f>AI8*VLOOKUP('Données projet'!$B$10,Paramètres!$A$1:$I$89,3,0)*VLOOKUP('Données projet'!$B$10,Paramètres!$A$1:$I$89,5,0)</f>
        <v>2.1162754793048726</v>
      </c>
      <c r="AK8" s="13">
        <f t="shared" si="35"/>
        <v>0.89377388453237949</v>
      </c>
      <c r="AL8" s="20">
        <f t="shared" si="4"/>
        <v>5.2425026420165475</v>
      </c>
      <c r="AM8" s="59">
        <f t="shared" si="5"/>
        <v>184.0335505184639</v>
      </c>
      <c r="AN8" s="59">
        <f ca="1">AVERAGE(OFFSET($AM$3,0,0,'Données projet'!$E$10+1,1))-AVERAGE(OFFSET($H$3,0,0,'Données projet'!$E$10+1,1))</f>
        <v>406.64650428071837</v>
      </c>
      <c r="AO8" s="59">
        <f t="shared" si="36"/>
        <v>250.47702091764884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3.8</v>
      </c>
      <c r="BD8" s="12">
        <f>IF('Données projet'!$A$88&gt;35,BD7+BC8-BL7,IF(A8&lt;'Données projet'!$A$88,$BA$205^A8,IF(A8='Données projet'!$A$88,'Données projet'!$B$88,BD7+BC8-BL7)))</f>
        <v>3.8485011312768065</v>
      </c>
      <c r="BE8" s="13">
        <f>BD8*VLOOKUP('Données projet'!$B$11,Paramètres!$A$1:$I$89,3,0)*VLOOKUP('Données projet'!$B$11,Paramètres!$A$1:$I$89,5,0)</f>
        <v>3.6622336765230092</v>
      </c>
      <c r="BF8" s="13">
        <f t="shared" si="37"/>
        <v>1.4510356291067332</v>
      </c>
      <c r="BG8" s="20">
        <f t="shared" si="7"/>
        <v>8.9056107073051347</v>
      </c>
      <c r="BH8" s="59">
        <f t="shared" si="8"/>
        <v>187.69665858375248</v>
      </c>
      <c r="BI8" s="59">
        <f ca="1">AVERAGE(OFFSET($BH$3,0,0,'Données projet'!$E$11+1,1))-AVERAGE(OFFSET($H$3,0,0,'Données projet'!$E$11+1,1))</f>
        <v>387.78453964980849</v>
      </c>
      <c r="BJ8" s="59">
        <f t="shared" si="38"/>
        <v>395.13533152274488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">
      <c r="A9" s="10">
        <f t="shared" si="31"/>
        <v>6</v>
      </c>
      <c r="B9" s="73">
        <f>'Scénario référence'!$B$16*5+'Scénario référence'!$B$17*0+'Scénario référence'!$B$18*5</f>
        <v>5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">
        <f t="shared" si="32"/>
        <v>0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18.333333333333332</v>
      </c>
      <c r="H9" s="67">
        <f t="shared" si="1"/>
        <v>183.33333333333334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3.1875</v>
      </c>
      <c r="N9" s="13">
        <f>IF('Données projet'!$A$36&gt;35,N8+M9-V8,IF(A9&lt;'Données projet'!$A$36,$K$205^A9,IF(A9='Données projet'!$A$36,'Données projet'!$B$36,N8+M9-V8)))</f>
        <v>4.3685651414416204</v>
      </c>
      <c r="O9" s="13">
        <f>N9*VLOOKUP('Données projet'!$B$9,Paramètres!$A$1:$I$89,3,0)*VLOOKUP('Données projet'!$B$9,Paramètres!$A$1:$I$89,5,0)</f>
        <v>2.6124019545820896</v>
      </c>
      <c r="P9" s="13">
        <f t="shared" si="33"/>
        <v>1.0765857049362071</v>
      </c>
      <c r="Q9" s="20">
        <f t="shared" si="2"/>
        <v>6.4249868403277004</v>
      </c>
      <c r="R9" s="59">
        <f t="shared" si="0"/>
        <v>187.89523893658668</v>
      </c>
      <c r="S9" s="59">
        <f ca="1">AVERAGE(OFFSET($R$3,0,0,'Données projet'!$E$9+1,1))-AVERAGE(OFFSET($H$3,0,0,'Données projet'!$E$9+1,1))</f>
        <v>219.4022220248072</v>
      </c>
      <c r="T9" s="59">
        <f t="shared" si="34"/>
        <v>199.30065726913725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2.8</v>
      </c>
      <c r="AI9" s="13">
        <f>IF('Données projet'!$A$62&gt;35,AI8+AH9-AQ8,IF(A9&lt;'Données projet'!$A$62,$AF$205^A9,IF(A9='Données projet'!$A$62,'Données projet'!$B$62,AI8+AH9-AQ8)))</f>
        <v>2.7721934279386429</v>
      </c>
      <c r="AJ9" s="13">
        <f>AI9*VLOOKUP('Données projet'!$B$10,Paramètres!$A$1:$I$89,3,0)*VLOOKUP('Données projet'!$B$10,Paramètres!$A$1:$I$89,5,0)</f>
        <v>2.5082806135988838</v>
      </c>
      <c r="AK9" s="13">
        <f t="shared" si="35"/>
        <v>1.0385820344818992</v>
      </c>
      <c r="AL9" s="20">
        <f t="shared" si="4"/>
        <v>6.1774524454073623</v>
      </c>
      <c r="AM9" s="59">
        <f t="shared" si="5"/>
        <v>187.64770454166634</v>
      </c>
      <c r="AN9" s="59">
        <f ca="1">AVERAGE(OFFSET($AM$3,0,0,'Données projet'!$E$10+1,1))-AVERAGE(OFFSET($H$3,0,0,'Données projet'!$E$10+1,1))</f>
        <v>406.64650428071837</v>
      </c>
      <c r="AO9" s="59">
        <f t="shared" si="36"/>
        <v>250.47702091764884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3.8</v>
      </c>
      <c r="BD9" s="12">
        <f>IF('Données projet'!$A$88&gt;35,BD8+BC9-BL8,IF(A9&lt;'Données projet'!$A$88,$BA$205^A9,IF(A9='Données projet'!$A$88,'Données projet'!$B$88,BD8+BC9-BL8)))</f>
        <v>5.0390647890332865</v>
      </c>
      <c r="BE9" s="13">
        <f>BD9*VLOOKUP('Données projet'!$B$11,Paramètres!$A$1:$I$89,3,0)*VLOOKUP('Données projet'!$B$11,Paramètres!$A$1:$I$89,5,0)</f>
        <v>4.7951740532440752</v>
      </c>
      <c r="BF9" s="13">
        <f t="shared" si="37"/>
        <v>1.8412417383662687</v>
      </c>
      <c r="BG9" s="20">
        <f t="shared" si="7"/>
        <v>11.558424170388015</v>
      </c>
      <c r="BH9" s="59">
        <f t="shared" si="8"/>
        <v>193.02867626664698</v>
      </c>
      <c r="BI9" s="59">
        <f ca="1">AVERAGE(OFFSET($BH$3,0,0,'Données projet'!$E$11+1,1))-AVERAGE(OFFSET($H$3,0,0,'Données projet'!$E$11+1,1))</f>
        <v>387.78453964980849</v>
      </c>
      <c r="BJ9" s="59">
        <f t="shared" si="38"/>
        <v>395.13533152274488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">
      <c r="A10" s="10">
        <f t="shared" si="31"/>
        <v>7</v>
      </c>
      <c r="B10" s="73">
        <f>'Scénario référence'!$B$16*5+'Scénario référence'!$B$17*0+'Scénario référence'!$B$18*5</f>
        <v>5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">
        <f t="shared" si="32"/>
        <v>0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18.333333333333332</v>
      </c>
      <c r="H10" s="67">
        <f t="shared" si="1"/>
        <v>183.33333333333334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3.1875</v>
      </c>
      <c r="N10" s="13">
        <f>IF('Données projet'!$A$36&gt;35,N9+M10-V9,IF(A10&lt;'Données projet'!$A$36,$K$205^A10,IF(A10='Données projet'!$A$36,'Données projet'!$B$36,N9+M10-V9)))</f>
        <v>5.5854986610894928</v>
      </c>
      <c r="O10" s="13">
        <f>N10*VLOOKUP('Données projet'!$B$9,Paramètres!$A$1:$I$89,3,0)*VLOOKUP('Données projet'!$B$9,Paramètres!$A$1:$I$89,5,0)</f>
        <v>3.3401281993315166</v>
      </c>
      <c r="P10" s="13">
        <f t="shared" si="33"/>
        <v>1.3376705686940447</v>
      </c>
      <c r="Q10" s="20">
        <f t="shared" si="2"/>
        <v>8.1471661876445207</v>
      </c>
      <c r="R10" s="59">
        <f t="shared" si="0"/>
        <v>192.27134712338076</v>
      </c>
      <c r="S10" s="59">
        <f ca="1">AVERAGE(OFFSET($R$3,0,0,'Données projet'!$E$9+1,1))-AVERAGE(OFFSET($H$3,0,0,'Données projet'!$E$9+1,1))</f>
        <v>219.4022220248072</v>
      </c>
      <c r="T10" s="59">
        <f t="shared" si="34"/>
        <v>199.30065726913725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2.8</v>
      </c>
      <c r="AI10" s="13">
        <f>IF('Données projet'!$A$62&gt;35,AI9+AH10-AQ9,IF(A10&lt;'Données projet'!$A$62,$AF$205^A10,IF(A10='Données projet'!$A$62,'Données projet'!$B$62,AI9+AH10-AQ9)))</f>
        <v>3.2856965458621241</v>
      </c>
      <c r="AJ10" s="13">
        <f>AI10*VLOOKUP('Données projet'!$B$10,Paramètres!$A$1:$I$89,3,0)*VLOOKUP('Données projet'!$B$10,Paramètres!$A$1:$I$89,5,0)</f>
        <v>2.9728982346960495</v>
      </c>
      <c r="AK10" s="13">
        <f t="shared" si="35"/>
        <v>1.2068518235044534</v>
      </c>
      <c r="AL10" s="20">
        <f t="shared" si="4"/>
        <v>7.279731351365875</v>
      </c>
      <c r="AM10" s="59">
        <f t="shared" si="5"/>
        <v>191.40391228710212</v>
      </c>
      <c r="AN10" s="59">
        <f ca="1">AVERAGE(OFFSET($AM$3,0,0,'Données projet'!$E$10+1,1))-AVERAGE(OFFSET($H$3,0,0,'Données projet'!$E$10+1,1))</f>
        <v>406.64650428071837</v>
      </c>
      <c r="AO10" s="59">
        <f t="shared" si="36"/>
        <v>250.47702091764884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3.8</v>
      </c>
      <c r="BD10" s="12">
        <f>IF('Données projet'!$A$88&gt;35,BD9+BC10-BL9,IF(A10&lt;'Données projet'!$A$88,$BA$205^A10,IF(A10='Données projet'!$A$88,'Données projet'!$B$88,BD9+BC10-BL9)))</f>
        <v>6.5979385433234325</v>
      </c>
      <c r="BE10" s="13">
        <f>BD10*VLOOKUP('Données projet'!$B$11,Paramètres!$A$1:$I$89,3,0)*VLOOKUP('Données projet'!$B$11,Paramètres!$A$1:$I$89,5,0)</f>
        <v>6.278598317826579</v>
      </c>
      <c r="BF10" s="13">
        <f t="shared" si="37"/>
        <v>2.3363803555871674</v>
      </c>
      <c r="BG10" s="20">
        <f t="shared" si="7"/>
        <v>15.004421189528943</v>
      </c>
      <c r="BH10" s="59">
        <f t="shared" si="8"/>
        <v>199.12860212526519</v>
      </c>
      <c r="BI10" s="59">
        <f ca="1">AVERAGE(OFFSET($BH$3,0,0,'Données projet'!$E$11+1,1))-AVERAGE(OFFSET($H$3,0,0,'Données projet'!$E$11+1,1))</f>
        <v>387.78453964980849</v>
      </c>
      <c r="BJ10" s="59">
        <f t="shared" si="38"/>
        <v>395.13533152274488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">
      <c r="A11" s="10">
        <f t="shared" si="31"/>
        <v>8</v>
      </c>
      <c r="B11" s="73">
        <f>'Scénario référence'!$B$16*5+'Scénario référence'!$B$17*0+'Scénario référence'!$B$18*5</f>
        <v>5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">
        <f t="shared" si="32"/>
        <v>0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18.333333333333332</v>
      </c>
      <c r="H11" s="67">
        <f t="shared" si="1"/>
        <v>183.33333333333334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3.1875</v>
      </c>
      <c r="N11" s="13">
        <f>IF('Données projet'!$A$36&gt;35,N10+M11-V10,IF(A11&lt;'Données projet'!$A$36,$K$205^A11,IF(A11='Données projet'!$A$36,'Données projet'!$B$36,N10+M11-V10)))</f>
        <v>7.1414284285428531</v>
      </c>
      <c r="O11" s="13">
        <f>N11*VLOOKUP('Données projet'!$B$9,Paramètres!$A$1:$I$89,3,0)*VLOOKUP('Données projet'!$B$9,Paramètres!$A$1:$I$89,5,0)</f>
        <v>4.2705742002686264</v>
      </c>
      <c r="P11" s="13">
        <f t="shared" si="33"/>
        <v>1.6620716234164361</v>
      </c>
      <c r="Q11" s="20">
        <f t="shared" si="2"/>
        <v>10.332691476251483</v>
      </c>
      <c r="R11" s="59">
        <f t="shared" si="0"/>
        <v>197.08596434247204</v>
      </c>
      <c r="S11" s="59">
        <f ca="1">AVERAGE(OFFSET($R$3,0,0,'Données projet'!$E$9+1,1))-AVERAGE(OFFSET($H$3,0,0,'Données projet'!$E$9+1,1))</f>
        <v>219.4022220248072</v>
      </c>
      <c r="T11" s="59">
        <f t="shared" si="34"/>
        <v>199.30065726913725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2.8</v>
      </c>
      <c r="AI11" s="13">
        <f>IF('Données projet'!$A$62&gt;35,AI10+AH11-AQ10,IF(A11&lt;'Données projet'!$A$62,$AF$205^A11,IF(A11='Données projet'!$A$62,'Données projet'!$B$62,AI10+AH11-AQ10)))</f>
        <v>3.8943176485047335</v>
      </c>
      <c r="AJ11" s="13">
        <f>AI11*VLOOKUP('Données projet'!$B$10,Paramètres!$A$1:$I$89,3,0)*VLOOKUP('Données projet'!$B$10,Paramètres!$A$1:$I$89,5,0)</f>
        <v>3.5235786083670826</v>
      </c>
      <c r="AK11" s="13">
        <f t="shared" si="35"/>
        <v>1.4023844776234748</v>
      </c>
      <c r="AL11" s="20">
        <f t="shared" si="4"/>
        <v>8.5793857081002205</v>
      </c>
      <c r="AM11" s="59">
        <f t="shared" si="5"/>
        <v>195.33265857432079</v>
      </c>
      <c r="AN11" s="59">
        <f ca="1">AVERAGE(OFFSET($AM$3,0,0,'Données projet'!$E$10+1,1))-AVERAGE(OFFSET($H$3,0,0,'Données projet'!$E$10+1,1))</f>
        <v>406.64650428071837</v>
      </c>
      <c r="AO11" s="59">
        <f t="shared" si="36"/>
        <v>250.47702091764884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3.8</v>
      </c>
      <c r="BD11" s="12">
        <f>IF('Données projet'!$A$88&gt;35,BD10+BC11-BL10,IF(A11&lt;'Données projet'!$A$88,$BA$205^A11,IF(A11='Données projet'!$A$88,'Données projet'!$B$88,BD10+BC11-BL10)))</f>
        <v>8.6390619775747002</v>
      </c>
      <c r="BE11" s="13">
        <f>BD11*VLOOKUP('Données projet'!$B$11,Paramètres!$A$1:$I$89,3,0)*VLOOKUP('Données projet'!$B$11,Paramètres!$A$1:$I$89,5,0)</f>
        <v>8.2209313778600848</v>
      </c>
      <c r="BF11" s="13">
        <f t="shared" si="37"/>
        <v>2.9646694685604369</v>
      </c>
      <c r="BG11" s="20">
        <f t="shared" si="7"/>
        <v>19.481588140849077</v>
      </c>
      <c r="BH11" s="59">
        <f t="shared" si="8"/>
        <v>206.23486100706964</v>
      </c>
      <c r="BI11" s="59">
        <f ca="1">AVERAGE(OFFSET($BH$3,0,0,'Données projet'!$E$11+1,1))-AVERAGE(OFFSET($H$3,0,0,'Données projet'!$E$11+1,1))</f>
        <v>387.78453964980849</v>
      </c>
      <c r="BJ11" s="59">
        <f t="shared" si="38"/>
        <v>395.13533152274488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">
      <c r="A12" s="10">
        <f t="shared" si="31"/>
        <v>9</v>
      </c>
      <c r="B12" s="73">
        <f>'Scénario référence'!$B$16*5+'Scénario référence'!$B$17*0+'Scénario référence'!$B$18*5</f>
        <v>5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">
        <f t="shared" si="32"/>
        <v>0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18.333333333333332</v>
      </c>
      <c r="H12" s="67">
        <f t="shared" si="1"/>
        <v>183.33333333333334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3.1875</v>
      </c>
      <c r="N12" s="13">
        <f>IF('Données projet'!$A$36&gt;35,N11+M12-V11,IF(A12&lt;'Données projet'!$A$36,$K$205^A12,IF(A12='Données projet'!$A$36,'Données projet'!$B$36,N11+M12-V11)))</f>
        <v>9.1307872572387492</v>
      </c>
      <c r="O12" s="13">
        <f>N12*VLOOKUP('Données projet'!$B$9,Paramètres!$A$1:$I$89,3,0)*VLOOKUP('Données projet'!$B$9,Paramètres!$A$1:$I$89,5,0)</f>
        <v>5.4602107798287722</v>
      </c>
      <c r="P12" s="13">
        <f t="shared" si="33"/>
        <v>2.0651437999889102</v>
      </c>
      <c r="Q12" s="20">
        <f t="shared" si="2"/>
        <v>13.106659226515797</v>
      </c>
      <c r="R12" s="59">
        <f t="shared" si="0"/>
        <v>202.46461797907187</v>
      </c>
      <c r="S12" s="59">
        <f ca="1">AVERAGE(OFFSET($R$3,0,0,'Données projet'!$E$9+1,1))-AVERAGE(OFFSET($H$3,0,0,'Données projet'!$E$9+1,1))</f>
        <v>219.4022220248072</v>
      </c>
      <c r="T12" s="59">
        <f t="shared" si="34"/>
        <v>199.30065726913725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2.8</v>
      </c>
      <c r="AI12" s="13">
        <f>IF('Données projet'!$A$62&gt;35,AI11+AH12-AQ11,IF(A12&lt;'Données projet'!$A$62,$AF$205^A12,IF(A12='Données projet'!$A$62,'Données projet'!$B$62,AI11+AH12-AQ11)))</f>
        <v>4.6156757740012635</v>
      </c>
      <c r="AJ12" s="13">
        <f>AI12*VLOOKUP('Données projet'!$B$10,Paramètres!$A$1:$I$89,3,0)*VLOOKUP('Données projet'!$B$10,Paramètres!$A$1:$I$89,5,0)</f>
        <v>4.176263440316343</v>
      </c>
      <c r="AK12" s="13">
        <f t="shared" si="35"/>
        <v>1.6295970928464274</v>
      </c>
      <c r="AL12" s="20">
        <f t="shared" si="4"/>
        <v>10.111873761925157</v>
      </c>
      <c r="AM12" s="59">
        <f t="shared" si="5"/>
        <v>199.46983251448123</v>
      </c>
      <c r="AN12" s="59">
        <f ca="1">AVERAGE(OFFSET($AM$3,0,0,'Données projet'!$E$10+1,1))-AVERAGE(OFFSET($H$3,0,0,'Données projet'!$E$10+1,1))</f>
        <v>406.64650428071837</v>
      </c>
      <c r="AO12" s="59">
        <f t="shared" si="36"/>
        <v>250.47702091764884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3.8</v>
      </c>
      <c r="BD12" s="12">
        <f>IF('Données projet'!$A$88&gt;35,BD11+BC12-BL11,IF(A12&lt;'Données projet'!$A$88,$BA$205^A12,IF(A12='Données projet'!$A$88,'Données projet'!$B$88,BD11+BC12-BL11)))</f>
        <v>11.311622768584241</v>
      </c>
      <c r="BE12" s="13">
        <f>BD12*VLOOKUP('Données projet'!$B$11,Paramètres!$A$1:$I$89,3,0)*VLOOKUP('Données projet'!$B$11,Paramètres!$A$1:$I$89,5,0)</f>
        <v>10.764140226584765</v>
      </c>
      <c r="BF12" s="13">
        <f t="shared" si="37"/>
        <v>3.7619153220476149</v>
      </c>
      <c r="BG12" s="20">
        <f t="shared" si="7"/>
        <v>25.299546747201394</v>
      </c>
      <c r="BH12" s="59">
        <f t="shared" si="8"/>
        <v>214.65750549975746</v>
      </c>
      <c r="BI12" s="59">
        <f ca="1">AVERAGE(OFFSET($BH$3,0,0,'Données projet'!$E$11+1,1))-AVERAGE(OFFSET($H$3,0,0,'Données projet'!$E$11+1,1))</f>
        <v>387.78453964980849</v>
      </c>
      <c r="BJ12" s="59">
        <f t="shared" si="38"/>
        <v>395.13533152274488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">
      <c r="A13" s="10">
        <f t="shared" si="31"/>
        <v>10</v>
      </c>
      <c r="B13" s="73">
        <f>'Scénario référence'!$B$16*5+'Scénario référence'!$B$17*0+'Scénario référence'!$B$18*5</f>
        <v>5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">
        <f t="shared" si="32"/>
        <v>0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18.333333333333332</v>
      </c>
      <c r="H13" s="67">
        <f t="shared" si="1"/>
        <v>183.33333333333334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3.1875</v>
      </c>
      <c r="N13" s="13">
        <f>IF('Données projet'!$A$36&gt;35,N12+M13-V12,IF(A13&lt;'Données projet'!$A$36,$K$205^A13,IF(A13='Données projet'!$A$36,'Données projet'!$B$36,N12+M13-V12)))</f>
        <v>11.674313727451963</v>
      </c>
      <c r="O13" s="13">
        <f>N13*VLOOKUP('Données projet'!$B$9,Paramètres!$A$1:$I$89,3,0)*VLOOKUP('Données projet'!$B$9,Paramètres!$A$1:$I$89,5,0)</f>
        <v>6.9812396090162743</v>
      </c>
      <c r="P13" s="13">
        <f t="shared" si="33"/>
        <v>2.5659657830305647</v>
      </c>
      <c r="Q13" s="20">
        <f t="shared" si="2"/>
        <v>16.628049391148242</v>
      </c>
      <c r="R13" s="59">
        <f t="shared" si="0"/>
        <v>208.56671137619313</v>
      </c>
      <c r="S13" s="59">
        <f ca="1">AVERAGE(OFFSET($R$3,0,0,'Données projet'!$E$9+1,1))-AVERAGE(OFFSET($H$3,0,0,'Données projet'!$E$9+1,1))</f>
        <v>219.4022220248072</v>
      </c>
      <c r="T13" s="59">
        <f t="shared" si="34"/>
        <v>199.30065726913725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2.8</v>
      </c>
      <c r="AI13" s="13">
        <f>IF('Données projet'!$A$62&gt;35,AI12+AH13-AQ12,IF(A13&lt;'Données projet'!$A$62,$AF$205^A13,IF(A13='Données projet'!$A$62,'Données projet'!$B$62,AI12+AH13-AQ12)))</f>
        <v>5.4706535967558398</v>
      </c>
      <c r="AJ13" s="13">
        <f>AI13*VLOOKUP('Données projet'!$B$10,Paramètres!$A$1:$I$89,3,0)*VLOOKUP('Données projet'!$B$10,Paramètres!$A$1:$I$89,5,0)</f>
        <v>4.9498473743446834</v>
      </c>
      <c r="AK13" s="13">
        <f t="shared" si="35"/>
        <v>1.8936224176652101</v>
      </c>
      <c r="AL13" s="20">
        <f t="shared" si="4"/>
        <v>11.919043221083896</v>
      </c>
      <c r="AM13" s="59">
        <f t="shared" si="5"/>
        <v>203.8577052061288</v>
      </c>
      <c r="AN13" s="59">
        <f ca="1">AVERAGE(OFFSET($AM$3,0,0,'Données projet'!$E$10+1,1))-AVERAGE(OFFSET($H$3,0,0,'Données projet'!$E$10+1,1))</f>
        <v>406.64650428071837</v>
      </c>
      <c r="AO13" s="59">
        <f t="shared" si="36"/>
        <v>250.47702091764884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3.8</v>
      </c>
      <c r="BD13" s="12">
        <f>IF('Données projet'!$A$88&gt;35,BD12+BC13-BL12,IF(A13&lt;'Données projet'!$A$88,$BA$205^A13,IF(A13='Données projet'!$A$88,'Données projet'!$B$88,BD12+BC13-BL12)))</f>
        <v>14.81096095743886</v>
      </c>
      <c r="BE13" s="13">
        <f>BD13*VLOOKUP('Données projet'!$B$11,Paramètres!$A$1:$I$89,3,0)*VLOOKUP('Données projet'!$B$11,Paramètres!$A$1:$I$89,5,0)</f>
        <v>14.094110447098821</v>
      </c>
      <c r="BF13" s="13">
        <f t="shared" si="37"/>
        <v>4.7735530184174095</v>
      </c>
      <c r="BG13" s="20">
        <f t="shared" si="7"/>
        <v>32.861180535774103</v>
      </c>
      <c r="BH13" s="59">
        <f t="shared" si="8"/>
        <v>224.799842520819</v>
      </c>
      <c r="BI13" s="59">
        <f ca="1">AVERAGE(OFFSET($BH$3,0,0,'Données projet'!$E$11+1,1))-AVERAGE(OFFSET($H$3,0,0,'Données projet'!$E$11+1,1))</f>
        <v>387.78453964980849</v>
      </c>
      <c r="BJ13" s="59">
        <f t="shared" si="38"/>
        <v>395.13533152274488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">
      <c r="A14" s="10">
        <f t="shared" si="31"/>
        <v>11</v>
      </c>
      <c r="B14" s="73">
        <f>'Scénario référence'!$B$16*5+'Scénario référence'!$B$17*0+'Scénario référence'!$B$18*5</f>
        <v>5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">
        <f t="shared" si="32"/>
        <v>0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18.333333333333332</v>
      </c>
      <c r="H14" s="67">
        <f t="shared" si="1"/>
        <v>183.33333333333334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3.1875</v>
      </c>
      <c r="N14" s="13">
        <f>IF('Données projet'!$A$36&gt;35,N13+M14-V13,IF(A14&lt;'Données projet'!$A$36,$K$205^A14,IF(A14='Données projet'!$A$36,'Données projet'!$B$36,N13+M14-V13)))</f>
        <v>14.926380077350396</v>
      </c>
      <c r="O14" s="13">
        <f>N14*VLOOKUP('Données projet'!$B$9,Paramètres!$A$1:$I$89,3,0)*VLOOKUP('Données projet'!$B$9,Paramètres!$A$1:$I$89,5,0)</f>
        <v>8.9259752862555377</v>
      </c>
      <c r="P14" s="13">
        <f t="shared" si="33"/>
        <v>3.188243065552633</v>
      </c>
      <c r="Q14" s="20">
        <f t="shared" si="2"/>
        <v>21.098930296065898</v>
      </c>
      <c r="R14" s="59">
        <f t="shared" si="0"/>
        <v>215.59472890518003</v>
      </c>
      <c r="S14" s="59">
        <f ca="1">AVERAGE(OFFSET($R$3,0,0,'Données projet'!$E$9+1,1))-AVERAGE(OFFSET($H$3,0,0,'Données projet'!$E$9+1,1))</f>
        <v>219.4022220248072</v>
      </c>
      <c r="T14" s="59">
        <f t="shared" si="34"/>
        <v>199.30065726913725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2.8</v>
      </c>
      <c r="AI14" s="13">
        <f>IF('Données projet'!$A$62&gt;35,AI13+AH14-AQ13,IF(A14&lt;'Données projet'!$A$62,$AF$205^A14,IF(A14='Données projet'!$A$62,'Données projet'!$B$62,AI13+AH14-AQ13)))</f>
        <v>6.4840019622421199</v>
      </c>
      <c r="AJ14" s="13">
        <f>AI14*VLOOKUP('Données projet'!$B$10,Paramètres!$A$1:$I$89,3,0)*VLOOKUP('Données projet'!$B$10,Paramètres!$A$1:$I$89,5,0)</f>
        <v>5.8667249754366697</v>
      </c>
      <c r="AK14" s="13">
        <f t="shared" si="35"/>
        <v>2.2004248021950543</v>
      </c>
      <c r="AL14" s="20">
        <f t="shared" si="4"/>
        <v>14.050285862708584</v>
      </c>
      <c r="AM14" s="59">
        <f t="shared" si="5"/>
        <v>208.54608447182272</v>
      </c>
      <c r="AN14" s="59">
        <f ca="1">AVERAGE(OFFSET($AM$3,0,0,'Données projet'!$E$10+1,1))-AVERAGE(OFFSET($H$3,0,0,'Données projet'!$E$10+1,1))</f>
        <v>406.64650428071837</v>
      </c>
      <c r="AO14" s="59">
        <f t="shared" si="36"/>
        <v>250.47702091764884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3.8</v>
      </c>
      <c r="BD14" s="12">
        <f>IF('Données projet'!$A$88&gt;35,BD13+BC14-BL13,IF(A14&lt;'Données projet'!$A$88,$BA$205^A14,IF(A14='Données projet'!$A$88,'Données projet'!$B$88,BD13+BC14-BL13)))</f>
        <v>19.392846541171725</v>
      </c>
      <c r="BE14" s="13">
        <f>BD14*VLOOKUP('Données projet'!$B$11,Paramètres!$A$1:$I$89,3,0)*VLOOKUP('Données projet'!$B$11,Paramètres!$A$1:$I$89,5,0)</f>
        <v>18.454232768579015</v>
      </c>
      <c r="BF14" s="13">
        <f t="shared" si="37"/>
        <v>6.0572358676162539</v>
      </c>
      <c r="BG14" s="20">
        <f t="shared" si="7"/>
        <v>42.690807874706756</v>
      </c>
      <c r="BH14" s="59">
        <f t="shared" si="8"/>
        <v>237.1866064838209</v>
      </c>
      <c r="BI14" s="59">
        <f ca="1">AVERAGE(OFFSET($BH$3,0,0,'Données projet'!$E$11+1,1))-AVERAGE(OFFSET($H$3,0,0,'Données projet'!$E$11+1,1))</f>
        <v>387.78453964980849</v>
      </c>
      <c r="BJ14" s="59">
        <f t="shared" si="38"/>
        <v>395.13533152274488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">
      <c r="A15" s="10">
        <f t="shared" si="31"/>
        <v>12</v>
      </c>
      <c r="B15" s="73">
        <f>'Scénario référence'!$B$16*5+'Scénario référence'!$B$17*0+'Scénario référence'!$B$18*5</f>
        <v>5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">
        <f t="shared" si="32"/>
        <v>0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18.333333333333332</v>
      </c>
      <c r="H15" s="67">
        <f t="shared" si="1"/>
        <v>183.33333333333334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3.1875</v>
      </c>
      <c r="N15" s="13">
        <f>IF('Données projet'!$A$36&gt;35,N14+M15-V14,IF(A15&lt;'Données projet'!$A$36,$K$205^A15,IF(A15='Données projet'!$A$36,'Données projet'!$B$36,N14+M15-V14)))</f>
        <v>19.084361395018849</v>
      </c>
      <c r="O15" s="13">
        <f>N15*VLOOKUP('Données projet'!$B$9,Paramètres!$A$1:$I$89,3,0)*VLOOKUP('Données projet'!$B$9,Paramètres!$A$1:$I$89,5,0)</f>
        <v>11.412448114221272</v>
      </c>
      <c r="P15" s="13">
        <f t="shared" si="33"/>
        <v>3.9614300051340057</v>
      </c>
      <c r="Q15" s="20">
        <f t="shared" si="2"/>
        <v>26.776171057877107</v>
      </c>
      <c r="R15" s="59">
        <f t="shared" si="0"/>
        <v>223.80594851060999</v>
      </c>
      <c r="S15" s="59">
        <f ca="1">AVERAGE(OFFSET($R$3,0,0,'Données projet'!$E$9+1,1))-AVERAGE(OFFSET($H$3,0,0,'Données projet'!$E$9+1,1))</f>
        <v>219.4022220248072</v>
      </c>
      <c r="T15" s="59">
        <f t="shared" si="34"/>
        <v>199.30065726913725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2.8</v>
      </c>
      <c r="AI15" s="13">
        <f>IF('Données projet'!$A$62&gt;35,AI14+AH15-AQ14,IF(A15&lt;'Données projet'!$A$62,$AF$205^A15,IF(A15='Données projet'!$A$62,'Données projet'!$B$62,AI14+AH15-AQ14)))</f>
        <v>7.685056401906202</v>
      </c>
      <c r="AJ15" s="13">
        <f>AI15*VLOOKUP('Données projet'!$B$10,Paramètres!$A$1:$I$89,3,0)*VLOOKUP('Données projet'!$B$10,Paramètres!$A$1:$I$89,5,0)</f>
        <v>6.9534390324447317</v>
      </c>
      <c r="AK15" s="13">
        <f t="shared" si="35"/>
        <v>2.55693493325087</v>
      </c>
      <c r="AL15" s="20">
        <f t="shared" si="4"/>
        <v>16.563901323586503</v>
      </c>
      <c r="AM15" s="59">
        <f t="shared" si="5"/>
        <v>213.59367877631936</v>
      </c>
      <c r="AN15" s="59">
        <f ca="1">AVERAGE(OFFSET($AM$3,0,0,'Données projet'!$E$10+1,1))-AVERAGE(OFFSET($H$3,0,0,'Données projet'!$E$10+1,1))</f>
        <v>406.64650428071837</v>
      </c>
      <c r="AO15" s="59">
        <f t="shared" si="36"/>
        <v>250.47702091764884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3.8</v>
      </c>
      <c r="BD15" s="12">
        <f>IF('Données projet'!$A$88&gt;35,BD14+BC15-BL14,IF(A15&lt;'Données projet'!$A$88,$BA$205^A15,IF(A15='Données projet'!$A$88,'Données projet'!$B$88,BD14+BC15-BL14)))</f>
        <v>25.392173948075076</v>
      </c>
      <c r="BE15" s="13">
        <f>BD15*VLOOKUP('Données projet'!$B$11,Paramètres!$A$1:$I$89,3,0)*VLOOKUP('Données projet'!$B$11,Paramètres!$A$1:$I$89,5,0)</f>
        <v>24.163192728988243</v>
      </c>
      <c r="BF15" s="13">
        <f t="shared" si="37"/>
        <v>7.6861210537263078</v>
      </c>
      <c r="BG15" s="20">
        <f t="shared" si="7"/>
        <v>55.470888171561171</v>
      </c>
      <c r="BH15" s="59">
        <f t="shared" si="8"/>
        <v>252.50066562429404</v>
      </c>
      <c r="BI15" s="59">
        <f ca="1">AVERAGE(OFFSET($BH$3,0,0,'Données projet'!$E$11+1,1))-AVERAGE(OFFSET($H$3,0,0,'Données projet'!$E$11+1,1))</f>
        <v>387.78453964980849</v>
      </c>
      <c r="BJ15" s="59">
        <f t="shared" si="38"/>
        <v>395.13533152274488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">
      <c r="A16" s="10">
        <f t="shared" si="31"/>
        <v>13</v>
      </c>
      <c r="B16" s="73">
        <f>'Scénario référence'!$B$16*5+'Scénario référence'!$B$17*0+'Scénario référence'!$B$18*5</f>
        <v>5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">
        <f t="shared" si="32"/>
        <v>0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18.333333333333332</v>
      </c>
      <c r="H16" s="67">
        <f t="shared" si="1"/>
        <v>183.33333333333334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3.1875</v>
      </c>
      <c r="N16" s="13">
        <f>IF('Données projet'!$A$36&gt;35,N15+M16-V15,IF(A16&lt;'Données projet'!$A$36,$K$205^A16,IF(A16='Données projet'!$A$36,'Données projet'!$B$36,N15+M16-V15)))</f>
        <v>24.400614748404408</v>
      </c>
      <c r="O16" s="13">
        <f>N16*VLOOKUP('Données projet'!$B$9,Paramètres!$A$1:$I$89,3,0)*VLOOKUP('Données projet'!$B$9,Paramètres!$A$1:$I$89,5,0)</f>
        <v>14.591567619545838</v>
      </c>
      <c r="P16" s="13">
        <f t="shared" si="33"/>
        <v>4.9221239920915139</v>
      </c>
      <c r="Q16" s="20">
        <f t="shared" si="2"/>
        <v>33.986346223601721</v>
      </c>
      <c r="R16" s="59">
        <f t="shared" si="0"/>
        <v>233.52734647522053</v>
      </c>
      <c r="S16" s="59">
        <f ca="1">AVERAGE(OFFSET($R$3,0,0,'Données projet'!$E$9+1,1))-AVERAGE(OFFSET($H$3,0,0,'Données projet'!$E$9+1,1))</f>
        <v>219.4022220248072</v>
      </c>
      <c r="T16" s="59">
        <f t="shared" si="34"/>
        <v>199.30065726913725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2.8</v>
      </c>
      <c r="AI16" s="13">
        <f>IF('Données projet'!$A$62&gt;35,AI15+AH16-AQ15,IF(A16&lt;'Données projet'!$A$62,$AF$205^A16,IF(A16='Données projet'!$A$62,'Données projet'!$B$62,AI15+AH16-AQ15)))</f>
        <v>9.1085863706396779</v>
      </c>
      <c r="AJ16" s="13">
        <f>AI16*VLOOKUP('Données projet'!$B$10,Paramètres!$A$1:$I$89,3,0)*VLOOKUP('Données projet'!$B$10,Paramètres!$A$1:$I$89,5,0)</f>
        <v>8.2414489481547797</v>
      </c>
      <c r="AK16" s="13">
        <f t="shared" si="35"/>
        <v>2.971206399035617</v>
      </c>
      <c r="AL16" s="20">
        <f t="shared" si="4"/>
        <v>19.528708063023274</v>
      </c>
      <c r="AM16" s="59">
        <f t="shared" si="5"/>
        <v>219.06970831464207</v>
      </c>
      <c r="AN16" s="59">
        <f ca="1">AVERAGE(OFFSET($AM$3,0,0,'Données projet'!$E$10+1,1))-AVERAGE(OFFSET($H$3,0,0,'Données projet'!$E$10+1,1))</f>
        <v>406.64650428071837</v>
      </c>
      <c r="AO16" s="59">
        <f t="shared" si="36"/>
        <v>250.47702091764884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3.8</v>
      </c>
      <c r="BD16" s="12">
        <f>IF('Données projet'!$A$88&gt;35,BD15+BC16-BL15,IF(A16&lt;'Données projet'!$A$88,$BA$205^A16,IF(A16='Données projet'!$A$88,'Données projet'!$B$88,BD15+BC16-BL15)))</f>
        <v>33.247439793866675</v>
      </c>
      <c r="BE16" s="13">
        <f>BD16*VLOOKUP('Données projet'!$B$11,Paramètres!$A$1:$I$89,3,0)*VLOOKUP('Données projet'!$B$11,Paramètres!$A$1:$I$89,5,0)</f>
        <v>31.638263707843524</v>
      </c>
      <c r="BF16" s="13">
        <f t="shared" si="37"/>
        <v>9.7530388685001963</v>
      </c>
      <c r="BG16" s="20">
        <f t="shared" si="7"/>
        <v>72.089851987131979</v>
      </c>
      <c r="BH16" s="59">
        <f t="shared" si="8"/>
        <v>271.63085223875078</v>
      </c>
      <c r="BI16" s="59">
        <f ca="1">AVERAGE(OFFSET($BH$3,0,0,'Données projet'!$E$11+1,1))-AVERAGE(OFFSET($H$3,0,0,'Données projet'!$E$11+1,1))</f>
        <v>387.78453964980849</v>
      </c>
      <c r="BJ16" s="59">
        <f t="shared" si="38"/>
        <v>395.13533152274488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">
      <c r="A17" s="10">
        <f t="shared" si="31"/>
        <v>14</v>
      </c>
      <c r="B17" s="73">
        <f>'Scénario référence'!$B$16*5+'Scénario référence'!$B$17*0+'Scénario référence'!$B$18*5</f>
        <v>5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">
        <f t="shared" si="32"/>
        <v>0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18.333333333333332</v>
      </c>
      <c r="H17" s="67">
        <f t="shared" si="1"/>
        <v>183.33333333333334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3.1875</v>
      </c>
      <c r="N17" s="13">
        <f>IF('Données projet'!$A$36&gt;35,N16+M17-V16,IF(A17&lt;'Données projet'!$A$36,$K$205^A17,IF(A17='Données projet'!$A$36,'Données projet'!$B$36,N16+M17-V16)))</f>
        <v>31.197795293032517</v>
      </c>
      <c r="O17" s="13">
        <f>N17*VLOOKUP('Données projet'!$B$9,Paramètres!$A$1:$I$89,3,0)*VLOOKUP('Données projet'!$B$9,Paramètres!$A$1:$I$89,5,0)</f>
        <v>18.656281585233447</v>
      </c>
      <c r="P17" s="13">
        <f t="shared" si="33"/>
        <v>6.115797720046638</v>
      </c>
      <c r="Q17" s="20">
        <f t="shared" si="2"/>
        <v>43.144704790029486</v>
      </c>
      <c r="R17" s="59">
        <f t="shared" si="0"/>
        <v>245.17456656230269</v>
      </c>
      <c r="S17" s="59">
        <f ca="1">AVERAGE(OFFSET($R$3,0,0,'Données projet'!$E$9+1,1))-AVERAGE(OFFSET($H$3,0,0,'Données projet'!$E$9+1,1))</f>
        <v>219.4022220248072</v>
      </c>
      <c r="T17" s="59">
        <f t="shared" si="34"/>
        <v>199.30065726913725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2.8</v>
      </c>
      <c r="AI17" s="13">
        <f>IF('Données projet'!$A$62&gt;35,AI16+AH17-AQ16,IF(A17&lt;'Données projet'!$A$62,$AF$205^A17,IF(A17='Données projet'!$A$62,'Données projet'!$B$62,AI16+AH17-AQ16)))</f>
        <v>10.795801791490293</v>
      </c>
      <c r="AJ17" s="13">
        <f>AI17*VLOOKUP('Données projet'!$B$10,Paramètres!$A$1:$I$89,3,0)*VLOOKUP('Données projet'!$B$10,Paramètres!$A$1:$I$89,5,0)</f>
        <v>9.7680414609404167</v>
      </c>
      <c r="AK17" s="13">
        <f t="shared" si="35"/>
        <v>3.4525976202477158</v>
      </c>
      <c r="AL17" s="20">
        <f t="shared" si="4"/>
        <v>23.025946399735997</v>
      </c>
      <c r="AM17" s="59">
        <f t="shared" si="5"/>
        <v>225.05580817200919</v>
      </c>
      <c r="AN17" s="59">
        <f ca="1">AVERAGE(OFFSET($AM$3,0,0,'Données projet'!$E$10+1,1))-AVERAGE(OFFSET($H$3,0,0,'Données projet'!$E$10+1,1))</f>
        <v>406.64650428071837</v>
      </c>
      <c r="AO17" s="59">
        <f t="shared" si="36"/>
        <v>250.47702091764884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3.8</v>
      </c>
      <c r="BD17" s="12">
        <f>IF('Données projet'!$A$88&gt;35,BD16+BC17-BL16,IF(A17&lt;'Données projet'!$A$88,$BA$205^A17,IF(A17='Données projet'!$A$88,'Données projet'!$B$88,BD16+BC17-BL16)))</f>
        <v>43.532793021472941</v>
      </c>
      <c r="BE17" s="13">
        <f>BD17*VLOOKUP('Données projet'!$B$11,Paramètres!$A$1:$I$89,3,0)*VLOOKUP('Données projet'!$B$11,Paramètres!$A$1:$I$89,5,0)</f>
        <v>41.425805839233647</v>
      </c>
      <c r="BF17" s="13">
        <f t="shared" si="37"/>
        <v>12.375783116811515</v>
      </c>
      <c r="BG17" s="20">
        <f t="shared" si="7"/>
        <v>93.704434098445333</v>
      </c>
      <c r="BH17" s="59">
        <f t="shared" si="8"/>
        <v>295.73429587071854</v>
      </c>
      <c r="BI17" s="59">
        <f ca="1">AVERAGE(OFFSET($BH$3,0,0,'Données projet'!$E$11+1,1))-AVERAGE(OFFSET($H$3,0,0,'Données projet'!$E$11+1,1))</f>
        <v>387.78453964980849</v>
      </c>
      <c r="BJ17" s="59">
        <f t="shared" si="38"/>
        <v>395.13533152274488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">
      <c r="A18" s="10">
        <f t="shared" si="31"/>
        <v>15</v>
      </c>
      <c r="B18" s="73">
        <f>'Scénario référence'!$B$16*5+'Scénario référence'!$B$17*0+'Scénario référence'!$B$18*5</f>
        <v>5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">
        <f t="shared" si="32"/>
        <v>0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18.333333333333332</v>
      </c>
      <c r="H18" s="67">
        <f t="shared" si="1"/>
        <v>183.33333333333334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3.1875</v>
      </c>
      <c r="N18" s="13">
        <f>IF('Données projet'!$A$36&gt;35,N17+M18-V17,IF(A18&lt;'Données projet'!$A$36,$K$205^A18,IF(A18='Données projet'!$A$36,'Données projet'!$B$36,N17+M18-V17)))</f>
        <v>39.888438925892544</v>
      </c>
      <c r="O18" s="13">
        <f>N18*VLOOKUP('Données projet'!$B$9,Paramètres!$A$1:$I$89,3,0)*VLOOKUP('Données projet'!$B$9,Paramètres!$A$1:$I$89,5,0)</f>
        <v>23.853286477683742</v>
      </c>
      <c r="P18" s="13">
        <f t="shared" si="33"/>
        <v>7.5989515527491482</v>
      </c>
      <c r="Q18" s="20">
        <f t="shared" si="2"/>
        <v>54.779314569670618</v>
      </c>
      <c r="R18" s="59">
        <f t="shared" si="0"/>
        <v>259.27606450255166</v>
      </c>
      <c r="S18" s="59">
        <f ca="1">AVERAGE(OFFSET($R$3,0,0,'Données projet'!$E$9+1,1))-AVERAGE(OFFSET($H$3,0,0,'Données projet'!$E$9+1,1))</f>
        <v>219.4022220248072</v>
      </c>
      <c r="T18" s="59">
        <f t="shared" si="34"/>
        <v>199.30065726913725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2.8</v>
      </c>
      <c r="AI18" s="13">
        <f>IF('Données projet'!$A$62&gt;35,AI17+AH18-AQ17,IF(A18&lt;'Données projet'!$A$62,$AF$205^A18,IF(A18='Données projet'!$A$62,'Données projet'!$B$62,AI17+AH18-AQ17)))</f>
        <v>12.795546046181913</v>
      </c>
      <c r="AJ18" s="13">
        <f>AI18*VLOOKUP('Données projet'!$B$10,Paramètres!$A$1:$I$89,3,0)*VLOOKUP('Données projet'!$B$10,Paramètres!$A$1:$I$89,5,0)</f>
        <v>11.577410062585395</v>
      </c>
      <c r="AK18" s="13">
        <f t="shared" si="35"/>
        <v>4.0119832574435987</v>
      </c>
      <c r="AL18" s="20">
        <f t="shared" si="4"/>
        <v>27.151526699050493</v>
      </c>
      <c r="AM18" s="59">
        <f t="shared" si="5"/>
        <v>231.64827663193154</v>
      </c>
      <c r="AN18" s="59">
        <f ca="1">AVERAGE(OFFSET($AM$3,0,0,'Données projet'!$E$10+1,1))-AVERAGE(OFFSET($H$3,0,0,'Données projet'!$E$10+1,1))</f>
        <v>406.64650428071837</v>
      </c>
      <c r="AO18" s="59">
        <f t="shared" si="36"/>
        <v>250.47702091764884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>
        <f>VLOOKUP(A18,'Données projet'!$A$87:$I$107,2,0)</f>
        <v>57</v>
      </c>
      <c r="BB18" s="12">
        <f>VLOOKUP(A18,'Données projet'!$A$87:$I$107,9,0)</f>
        <v>3.8</v>
      </c>
      <c r="BC18" s="12">
        <f t="array" ref="BC18">INDEX(BB:BB,MIN(IF(ISNUMBER(BB18:BB214),ROW(BB18:BB214),"")))</f>
        <v>3.8</v>
      </c>
      <c r="BD18" s="12">
        <f>IF('Données projet'!$A$88&gt;35,BD17+BC18-BL17,IF(A18&lt;'Données projet'!$A$88,$BA$205^A18,IF(A18='Données projet'!$A$88,'Données projet'!$B$88,BD17+BC18-BL17)))</f>
        <v>57</v>
      </c>
      <c r="BE18" s="13">
        <f>BD18*VLOOKUP('Données projet'!$B$11,Paramètres!$A$1:$I$89,3,0)*VLOOKUP('Données projet'!$B$11,Paramètres!$A$1:$I$89,5,0)</f>
        <v>54.241199999999999</v>
      </c>
      <c r="BF18" s="13">
        <f t="shared" si="37"/>
        <v>15.703824194633755</v>
      </c>
      <c r="BG18" s="20">
        <f t="shared" si="7"/>
        <v>121.82091713898713</v>
      </c>
      <c r="BH18" s="59">
        <f t="shared" si="8"/>
        <v>326.31766707186819</v>
      </c>
      <c r="BI18" s="59">
        <f ca="1">AVERAGE(OFFSET($BH$3,0,0,'Données projet'!$E$11+1,1))-AVERAGE(OFFSET($H$3,0,0,'Données projet'!$E$11+1,1))</f>
        <v>387.78453964980849</v>
      </c>
      <c r="BJ18" s="59">
        <f t="shared" si="38"/>
        <v>395.13533152274488</v>
      </c>
      <c r="BK18" s="15">
        <f>IF(ISNA(VLOOKUP(A18,'Données projet'!$A$87:$I$107,3,0)),0,VLOOKUP(A18,'Données projet'!$A$87:$I$107,3,0))</f>
        <v>1</v>
      </c>
      <c r="BL18" s="15">
        <f>IF(ISNA(VLOOKUP(A18,'Données projet'!$A$87:$I$107,4,0)),0,VLOOKUP(A18,'Données projet'!$A$87:$I$107,4,0))</f>
        <v>11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">
      <c r="A19" s="10">
        <f t="shared" si="31"/>
        <v>16</v>
      </c>
      <c r="B19" s="73">
        <f>'Scénario référence'!$B$16*5+'Scénario référence'!$B$17*0+'Scénario référence'!$B$18*5</f>
        <v>5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">
        <f t="shared" si="32"/>
        <v>0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18.333333333333332</v>
      </c>
      <c r="H19" s="67">
        <f t="shared" si="1"/>
        <v>183.33333333333334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>
        <f>VLOOKUP(A19,'Données projet'!$A$35:$I$55,2,0)</f>
        <v>51</v>
      </c>
      <c r="L19" s="12">
        <f>VLOOKUP(A19,'Données projet'!$A$35:$I$55,9,0)</f>
        <v>3.1875</v>
      </c>
      <c r="M19" s="12">
        <f t="array" ref="M19">INDEX(L:L,MIN(IF(ISNUMBER(L19:L215),ROW(L19:L215),"")))</f>
        <v>3.1875</v>
      </c>
      <c r="N19" s="13">
        <f>IF('Données projet'!$A$36&gt;35,N18+M19-V18,IF(A19&lt;'Données projet'!$A$36,$K$205^A19,IF(A19='Données projet'!$A$36,'Données projet'!$B$36,N18+M19-V18)))</f>
        <v>51</v>
      </c>
      <c r="O19" s="13">
        <f>N19*VLOOKUP('Données projet'!$B$9,Paramètres!$A$1:$I$89,3,0)*VLOOKUP('Données projet'!$B$9,Paramètres!$A$1:$I$89,5,0)</f>
        <v>30.498000000000001</v>
      </c>
      <c r="P19" s="13">
        <f t="shared" si="33"/>
        <v>9.4417878655064982</v>
      </c>
      <c r="Q19" s="20">
        <f t="shared" si="2"/>
        <v>69.561797199090492</v>
      </c>
      <c r="R19" s="59">
        <f t="shared" si="0"/>
        <v>276.50384312120457</v>
      </c>
      <c r="S19" s="59">
        <f ca="1">AVERAGE(OFFSET($R$3,0,0,'Données projet'!$E$9+1,1))-AVERAGE(OFFSET($H$3,0,0,'Données projet'!$E$9+1,1))</f>
        <v>219.4022220248072</v>
      </c>
      <c r="T19" s="59">
        <f t="shared" si="34"/>
        <v>199.30065726913725</v>
      </c>
      <c r="U19" s="15">
        <f>IF(ISNA(VLOOKUP(A19,'Données projet'!$A$35:$I$55,3,0)),0,VLOOKUP(A19,'Données projet'!$A$35:$I$55,3,0))</f>
        <v>1</v>
      </c>
      <c r="V19" s="15">
        <f>IF(ISNA(VLOOKUP(A19,'Données projet'!$A$35:$I$55,4,0)),0,VLOOKUP(A19,'Données projet'!$A$35:$I$55,4,0))</f>
        <v>15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0.18000000000000002</v>
      </c>
      <c r="Y19" s="16">
        <f>IF(ISNA(VLOOKUP(A19,'Données projet'!$A$35:$I$55,7,0)),0%,VLOOKUP(A19,'Données projet'!$A$35:$I$55,7,0))</f>
        <v>0.6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2.1334376076279433</v>
      </c>
      <c r="AB19" s="21">
        <f>EXP(-LN(2)/2)*AB18+(1-EXP(-LN(2)/2))/(LN(2)/2)*V19*Y19*VLOOKUP('Données projet'!$B$9,Paramètres!$A$1:$I$89,3,0)*0.475*44/12</f>
        <v>6.0936742252874394</v>
      </c>
      <c r="AC19" s="22">
        <f t="shared" si="3"/>
        <v>8.2271118329153836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2.8</v>
      </c>
      <c r="AI19" s="13">
        <f>IF('Données projet'!$A$62&gt;35,AI18+AH19-AQ18,IF(A19&lt;'Données projet'!$A$62,$AF$205^A19,IF(A19='Données projet'!$A$62,'Données projet'!$B$62,AI18+AH19-AQ18)))</f>
        <v>15.165709947455436</v>
      </c>
      <c r="AJ19" s="13">
        <f>AI19*VLOOKUP('Données projet'!$B$10,Paramètres!$A$1:$I$89,3,0)*VLOOKUP('Données projet'!$B$10,Paramètres!$A$1:$I$89,5,0)</f>
        <v>13.721934360457679</v>
      </c>
      <c r="AK19" s="13">
        <f t="shared" si="35"/>
        <v>4.6619998703622194</v>
      </c>
      <c r="AL19" s="20">
        <f t="shared" si="4"/>
        <v>32.018685452011319</v>
      </c>
      <c r="AM19" s="59">
        <f t="shared" si="5"/>
        <v>238.96073137412537</v>
      </c>
      <c r="AN19" s="59">
        <f ca="1">AVERAGE(OFFSET($AM$3,0,0,'Données projet'!$E$10+1,1))-AVERAGE(OFFSET($H$3,0,0,'Données projet'!$E$10+1,1))</f>
        <v>406.64650428071837</v>
      </c>
      <c r="AO19" s="59">
        <f t="shared" si="36"/>
        <v>250.47702091764884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9.8000000000000007</v>
      </c>
      <c r="BD19" s="12">
        <f>IF('Données projet'!$A$88&gt;35,BD18+BC19-BL18,IF(A19&lt;'Données projet'!$A$88,$BA$205^A19,IF(A19='Données projet'!$A$88,'Données projet'!$B$88,BD18+BC19-BL18)))</f>
        <v>55.8</v>
      </c>
      <c r="BE19" s="13">
        <f>BD19*VLOOKUP('Données projet'!$B$11,Paramètres!$A$1:$I$89,3,0)*VLOOKUP('Données projet'!$B$11,Paramètres!$A$1:$I$89,5,0)</f>
        <v>53.099279999999993</v>
      </c>
      <c r="BF19" s="13">
        <f t="shared" si="37"/>
        <v>15.411339239117453</v>
      </c>
      <c r="BG19" s="20">
        <f t="shared" si="7"/>
        <v>119.32266184146289</v>
      </c>
      <c r="BH19" s="59">
        <f t="shared" si="8"/>
        <v>326.26470776357695</v>
      </c>
      <c r="BI19" s="59">
        <f ca="1">AVERAGE(OFFSET($BH$3,0,0,'Données projet'!$E$11+1,1))-AVERAGE(OFFSET($H$3,0,0,'Données projet'!$E$11+1,1))</f>
        <v>387.78453964980849</v>
      </c>
      <c r="BJ19" s="59">
        <f t="shared" si="38"/>
        <v>395.13533152274488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">
      <c r="A20" s="10">
        <f t="shared" si="31"/>
        <v>17</v>
      </c>
      <c r="B20" s="73">
        <f>'Scénario référence'!$B$16*5+'Scénario référence'!$B$17*0+'Scénario référence'!$B$18*5</f>
        <v>5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">
        <f t="shared" si="32"/>
        <v>0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18.333333333333332</v>
      </c>
      <c r="H20" s="67">
        <f t="shared" si="1"/>
        <v>183.33333333333334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9.75</v>
      </c>
      <c r="N20" s="13">
        <f>IF('Données projet'!$A$36&gt;35,N19+M20-V19,IF(A20&lt;'Données projet'!$A$36,$K$205^A20,IF(A20='Données projet'!$A$36,'Données projet'!$B$36,N19+M20-V19)))</f>
        <v>45.75</v>
      </c>
      <c r="O20" s="13">
        <f>N20*VLOOKUP('Données projet'!$B$9,Paramètres!$A$1:$I$89,3,0)*VLOOKUP('Données projet'!$B$9,Paramètres!$A$1:$I$89,5,0)</f>
        <v>27.358500000000003</v>
      </c>
      <c r="P20" s="13">
        <f t="shared" si="33"/>
        <v>8.577620060938381</v>
      </c>
      <c r="Q20" s="20">
        <f t="shared" si="2"/>
        <v>62.588742439467694</v>
      </c>
      <c r="R20" s="59">
        <f t="shared" si="0"/>
        <v>271.95486675534039</v>
      </c>
      <c r="S20" s="59">
        <f ca="1">AVERAGE(OFFSET($R$3,0,0,'Données projet'!$E$9+1,1))-AVERAGE(OFFSET($H$3,0,0,'Données projet'!$E$9+1,1))</f>
        <v>219.4022220248072</v>
      </c>
      <c r="T20" s="59">
        <f t="shared" si="34"/>
        <v>199.30065726913725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2.0750986440547496</v>
      </c>
      <c r="AB20" s="21">
        <f>EXP(-LN(2)/2)*AB19+(1-EXP(-LN(2)/2))/(LN(2)/2)*V20*Y20*VLOOKUP('Données projet'!$B$9,Paramètres!$A$1:$I$89,3,0)*0.475*44/12</f>
        <v>4.3088783670424302</v>
      </c>
      <c r="AC20" s="22">
        <f t="shared" si="3"/>
        <v>6.3839770110971799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2.8</v>
      </c>
      <c r="AI20" s="13">
        <f>IF('Données projet'!$A$62&gt;35,AI19+AH20-AQ19,IF(A20&lt;'Données projet'!$A$62,$AF$205^A20,IF(A20='Données projet'!$A$62,'Données projet'!$B$62,AI19+AH20-AQ19)))</f>
        <v>17.974907626468866</v>
      </c>
      <c r="AJ20" s="13">
        <f>AI20*VLOOKUP('Données projet'!$B$10,Paramètres!$A$1:$I$89,3,0)*VLOOKUP('Données projet'!$B$10,Paramètres!$A$1:$I$89,5,0)</f>
        <v>16.263696420429028</v>
      </c>
      <c r="AK20" s="13">
        <f t="shared" si="35"/>
        <v>5.4173313786723556</v>
      </c>
      <c r="AL20" s="20">
        <f t="shared" si="4"/>
        <v>37.761123416768235</v>
      </c>
      <c r="AM20" s="59">
        <f t="shared" si="5"/>
        <v>247.12724773264097</v>
      </c>
      <c r="AN20" s="59">
        <f ca="1">AVERAGE(OFFSET($AM$3,0,0,'Données projet'!$E$10+1,1))-AVERAGE(OFFSET($H$3,0,0,'Données projet'!$E$10+1,1))</f>
        <v>406.64650428071837</v>
      </c>
      <c r="AO20" s="59">
        <f t="shared" si="36"/>
        <v>250.47702091764884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9.8000000000000007</v>
      </c>
      <c r="BD20" s="12">
        <f>IF('Données projet'!$A$88&gt;35,BD19+BC20-BL19,IF(A20&lt;'Données projet'!$A$88,$BA$205^A20,IF(A20='Données projet'!$A$88,'Données projet'!$B$88,BD19+BC20-BL19)))</f>
        <v>65.599999999999994</v>
      </c>
      <c r="BE20" s="13">
        <f>BD20*VLOOKUP('Données projet'!$B$11,Paramètres!$A$1:$I$89,3,0)*VLOOKUP('Données projet'!$B$11,Paramètres!$A$1:$I$89,5,0)</f>
        <v>62.424959999999999</v>
      </c>
      <c r="BF20" s="13">
        <f t="shared" si="37"/>
        <v>17.779954066616561</v>
      </c>
      <c r="BG20" s="20">
        <f t="shared" si="7"/>
        <v>139.69022533269052</v>
      </c>
      <c r="BH20" s="59">
        <f t="shared" si="8"/>
        <v>349.05634964856324</v>
      </c>
      <c r="BI20" s="59">
        <f ca="1">AVERAGE(OFFSET($BH$3,0,0,'Données projet'!$E$11+1,1))-AVERAGE(OFFSET($H$3,0,0,'Données projet'!$E$11+1,1))</f>
        <v>387.78453964980849</v>
      </c>
      <c r="BJ20" s="59">
        <f t="shared" si="38"/>
        <v>395.13533152274488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">
      <c r="A21" s="10">
        <f t="shared" si="31"/>
        <v>18</v>
      </c>
      <c r="B21" s="73">
        <f>'Scénario référence'!$B$16*5+'Scénario référence'!$B$17*0+'Scénario référence'!$B$18*5</f>
        <v>5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">
        <f t="shared" si="32"/>
        <v>0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18.333333333333332</v>
      </c>
      <c r="H21" s="67">
        <f t="shared" si="1"/>
        <v>183.33333333333334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9.75</v>
      </c>
      <c r="N21" s="13">
        <f>IF('Données projet'!$A$36&gt;35,N20+M21-V20,IF(A21&lt;'Données projet'!$A$36,$K$205^A21,IF(A21='Données projet'!$A$36,'Données projet'!$B$36,N20+M21-V20)))</f>
        <v>55.5</v>
      </c>
      <c r="O21" s="13">
        <f>N21*VLOOKUP('Données projet'!$B$9,Paramètres!$A$1:$I$89,3,0)*VLOOKUP('Données projet'!$B$9,Paramètres!$A$1:$I$89,5,0)</f>
        <v>33.189</v>
      </c>
      <c r="P21" s="13">
        <f t="shared" si="33"/>
        <v>10.174252485373673</v>
      </c>
      <c r="Q21" s="20">
        <f t="shared" si="2"/>
        <v>75.524331412025802</v>
      </c>
      <c r="R21" s="59">
        <f t="shared" si="0"/>
        <v>287.2936846040289</v>
      </c>
      <c r="S21" s="59">
        <f ca="1">AVERAGE(OFFSET($R$3,0,0,'Données projet'!$E$9+1,1))-AVERAGE(OFFSET($H$3,0,0,'Données projet'!$E$9+1,1))</f>
        <v>219.4022220248072</v>
      </c>
      <c r="T21" s="59">
        <f t="shared" si="34"/>
        <v>199.30065726913725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2.0183549625083774</v>
      </c>
      <c r="AB21" s="21">
        <f>EXP(-LN(2)/2)*AB20+(1-EXP(-LN(2)/2))/(LN(2)/2)*V21*Y21*VLOOKUP('Données projet'!$B$9,Paramètres!$A$1:$I$89,3,0)*0.475*44/12</f>
        <v>3.0468371126437201</v>
      </c>
      <c r="AC21" s="22">
        <f t="shared" si="3"/>
        <v>5.0651920751520976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2.8</v>
      </c>
      <c r="AI21" s="13">
        <f>IF('Données projet'!$A$62&gt;35,AI20+AH21-AQ20,IF(A21&lt;'Données projet'!$A$62,$AF$205^A21,IF(A21='Données projet'!$A$62,'Données projet'!$B$62,AI20+AH21-AQ20)))</f>
        <v>21.304462850702166</v>
      </c>
      <c r="AJ21" s="13">
        <f>AI21*VLOOKUP('Données projet'!$B$10,Paramètres!$A$1:$I$89,3,0)*VLOOKUP('Données projet'!$B$10,Paramètres!$A$1:$I$89,5,0)</f>
        <v>19.276277987315318</v>
      </c>
      <c r="AK21" s="13">
        <f t="shared" si="35"/>
        <v>6.2950407727205615</v>
      </c>
      <c r="AL21" s="20">
        <f t="shared" si="4"/>
        <v>44.536713507062494</v>
      </c>
      <c r="AM21" s="59">
        <f t="shared" si="5"/>
        <v>256.30606669906558</v>
      </c>
      <c r="AN21" s="59">
        <f ca="1">AVERAGE(OFFSET($AM$3,0,0,'Données projet'!$E$10+1,1))-AVERAGE(OFFSET($H$3,0,0,'Données projet'!$E$10+1,1))</f>
        <v>406.64650428071837</v>
      </c>
      <c r="AO21" s="59">
        <f t="shared" si="36"/>
        <v>250.47702091764884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9.8000000000000007</v>
      </c>
      <c r="BD21" s="12">
        <f>IF('Données projet'!$A$88&gt;35,BD20+BC21-BL20,IF(A21&lt;'Données projet'!$A$88,$BA$205^A21,IF(A21='Données projet'!$A$88,'Données projet'!$B$88,BD20+BC21-BL20)))</f>
        <v>75.399999999999991</v>
      </c>
      <c r="BE21" s="13">
        <f>BD21*VLOOKUP('Données projet'!$B$11,Paramètres!$A$1:$I$89,3,0)*VLOOKUP('Données projet'!$B$11,Paramètres!$A$1:$I$89,5,0)</f>
        <v>71.75063999999999</v>
      </c>
      <c r="BF21" s="13">
        <f t="shared" si="37"/>
        <v>20.107576209927593</v>
      </c>
      <c r="BG21" s="20">
        <f t="shared" si="7"/>
        <v>159.98639323229054</v>
      </c>
      <c r="BH21" s="59">
        <f t="shared" si="8"/>
        <v>371.75574642429365</v>
      </c>
      <c r="BI21" s="59">
        <f ca="1">AVERAGE(OFFSET($BH$3,0,0,'Données projet'!$E$11+1,1))-AVERAGE(OFFSET($H$3,0,0,'Données projet'!$E$11+1,1))</f>
        <v>387.78453964980849</v>
      </c>
      <c r="BJ21" s="59">
        <f t="shared" si="38"/>
        <v>395.13533152274488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">
      <c r="A22" s="10">
        <f t="shared" si="31"/>
        <v>19</v>
      </c>
      <c r="B22" s="73">
        <f>'Scénario référence'!$B$16*5+'Scénario référence'!$B$17*0+'Scénario référence'!$B$18*5</f>
        <v>5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">
        <f t="shared" si="32"/>
        <v>0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18.333333333333332</v>
      </c>
      <c r="H22" s="67">
        <f t="shared" si="1"/>
        <v>183.33333333333334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9.75</v>
      </c>
      <c r="N22" s="13">
        <f>IF('Données projet'!$A$36&gt;35,N21+M22-V21,IF(A22&lt;'Données projet'!$A$36,$K$205^A22,IF(A22='Données projet'!$A$36,'Données projet'!$B$36,N21+M22-V21)))</f>
        <v>65.25</v>
      </c>
      <c r="O22" s="13">
        <f>N22*VLOOKUP('Données projet'!$B$9,Paramètres!$A$1:$I$89,3,0)*VLOOKUP('Données projet'!$B$9,Paramètres!$A$1:$I$89,5,0)</f>
        <v>39.019500000000001</v>
      </c>
      <c r="P22" s="13">
        <f t="shared" si="33"/>
        <v>11.738391092856608</v>
      </c>
      <c r="Q22" s="20">
        <f t="shared" si="2"/>
        <v>88.403326986725247</v>
      </c>
      <c r="R22" s="59">
        <f t="shared" si="0"/>
        <v>302.55542122974879</v>
      </c>
      <c r="S22" s="59">
        <f ca="1">AVERAGE(OFFSET($R$3,0,0,'Données projet'!$E$9+1,1))-AVERAGE(OFFSET($H$3,0,0,'Données projet'!$E$9+1,1))</f>
        <v>219.4022220248072</v>
      </c>
      <c r="T22" s="59">
        <f t="shared" si="34"/>
        <v>199.30065726913725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1.9631629399179114</v>
      </c>
      <c r="AB22" s="21">
        <f>EXP(-LN(2)/2)*AB21+(1-EXP(-LN(2)/2))/(LN(2)/2)*V22*Y22*VLOOKUP('Données projet'!$B$9,Paramètres!$A$1:$I$89,3,0)*0.475*44/12</f>
        <v>2.1544391835212156</v>
      </c>
      <c r="AC22" s="22">
        <f t="shared" si="3"/>
        <v>4.1176021234391271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2.8</v>
      </c>
      <c r="AI22" s="13">
        <f>IF('Données projet'!$A$62&gt;35,AI21+AH22-AQ21,IF(A22&lt;'Données projet'!$A$62,$AF$205^A22,IF(A22='Données projet'!$A$62,'Données projet'!$B$62,AI21+AH22-AQ21)))</f>
        <v>25.250763274498809</v>
      </c>
      <c r="AJ22" s="13">
        <f>AI22*VLOOKUP('Données projet'!$B$10,Paramètres!$A$1:$I$89,3,0)*VLOOKUP('Données projet'!$B$10,Paramètres!$A$1:$I$89,5,0)</f>
        <v>22.846890610766522</v>
      </c>
      <c r="AK22" s="13">
        <f t="shared" si="35"/>
        <v>7.3149555676481315</v>
      </c>
      <c r="AL22" s="20">
        <f t="shared" si="4"/>
        <v>52.531882094072188</v>
      </c>
      <c r="AM22" s="59">
        <f t="shared" si="5"/>
        <v>266.68397633709571</v>
      </c>
      <c r="AN22" s="59">
        <f ca="1">AVERAGE(OFFSET($AM$3,0,0,'Données projet'!$E$10+1,1))-AVERAGE(OFFSET($H$3,0,0,'Données projet'!$E$10+1,1))</f>
        <v>406.64650428071837</v>
      </c>
      <c r="AO22" s="59">
        <f t="shared" si="36"/>
        <v>250.47702091764884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9.8000000000000007</v>
      </c>
      <c r="BD22" s="12">
        <f>IF('Données projet'!$A$88&gt;35,BD21+BC22-BL21,IF(A22&lt;'Données projet'!$A$88,$BA$205^A22,IF(A22='Données projet'!$A$88,'Données projet'!$B$88,BD21+BC22-BL21)))</f>
        <v>85.199999999999989</v>
      </c>
      <c r="BE22" s="13">
        <f>BD22*VLOOKUP('Données projet'!$B$11,Paramètres!$A$1:$I$89,3,0)*VLOOKUP('Données projet'!$B$11,Paramètres!$A$1:$I$89,5,0)</f>
        <v>81.076319999999996</v>
      </c>
      <c r="BF22" s="13">
        <f t="shared" si="37"/>
        <v>22.400144923695908</v>
      </c>
      <c r="BG22" s="20">
        <f t="shared" si="7"/>
        <v>180.22150974210368</v>
      </c>
      <c r="BH22" s="59">
        <f t="shared" si="8"/>
        <v>394.3736039851272</v>
      </c>
      <c r="BI22" s="59">
        <f ca="1">AVERAGE(OFFSET($BH$3,0,0,'Données projet'!$E$11+1,1))-AVERAGE(OFFSET($H$3,0,0,'Données projet'!$E$11+1,1))</f>
        <v>387.78453964980849</v>
      </c>
      <c r="BJ22" s="59">
        <f t="shared" si="38"/>
        <v>395.13533152274488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">
      <c r="A23" s="10">
        <f t="shared" si="31"/>
        <v>20</v>
      </c>
      <c r="B23" s="73">
        <f>'Scénario référence'!$B$16*5+'Scénario référence'!$B$17*0+'Scénario référence'!$B$18*5</f>
        <v>5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">
        <f t="shared" si="32"/>
        <v>0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18.333333333333332</v>
      </c>
      <c r="H23" s="67">
        <f t="shared" si="1"/>
        <v>183.33333333333334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>
        <f>VLOOKUP(A23,'Données projet'!$A$35:$I$55,2,0)</f>
        <v>75</v>
      </c>
      <c r="L23" s="12">
        <f>VLOOKUP(A23,'Données projet'!$A$35:$I$55,9,0)</f>
        <v>9.75</v>
      </c>
      <c r="M23" s="12">
        <f t="array" ref="M23">INDEX(L:L,MIN(IF(ISNUMBER(L23:L219),ROW(L23:L219),"")))</f>
        <v>9.75</v>
      </c>
      <c r="N23" s="13">
        <f>IF('Données projet'!$A$36&gt;35,N22+M23-V22,IF(A23&lt;'Données projet'!$A$36,$K$205^A23,IF(A23='Données projet'!$A$36,'Données projet'!$B$36,N22+M23-V22)))</f>
        <v>75</v>
      </c>
      <c r="O23" s="13">
        <f>N23*VLOOKUP('Données projet'!$B$9,Paramètres!$A$1:$I$89,3,0)*VLOOKUP('Données projet'!$B$9,Paramètres!$A$1:$I$89,5,0)</f>
        <v>44.85</v>
      </c>
      <c r="P23" s="13">
        <f t="shared" si="33"/>
        <v>13.275453424327006</v>
      </c>
      <c r="Q23" s="20">
        <f t="shared" si="2"/>
        <v>101.2351647140362</v>
      </c>
      <c r="R23" s="59">
        <f t="shared" si="0"/>
        <v>317.74986760093191</v>
      </c>
      <c r="S23" s="59">
        <f ca="1">AVERAGE(OFFSET($R$3,0,0,'Données projet'!$E$9+1,1))-AVERAGE(OFFSET($H$3,0,0,'Données projet'!$E$9+1,1))</f>
        <v>219.4022220248072</v>
      </c>
      <c r="T23" s="59">
        <f t="shared" si="34"/>
        <v>199.30065726913725</v>
      </c>
      <c r="U23" s="15">
        <f>IF(ISNA(VLOOKUP(A23,'Données projet'!$A$35:$I$55,3,0)),0,VLOOKUP(A23,'Données projet'!$A$35:$I$55,3,0))</f>
        <v>2</v>
      </c>
      <c r="V23" s="15">
        <f>IF(ISNA(VLOOKUP(A23,'Données projet'!$A$35:$I$55,4,0)),0,VLOOKUP(A23,'Données projet'!$A$35:$I$55,4,0))</f>
        <v>22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0.18000000000000002</v>
      </c>
      <c r="Y23" s="16">
        <f>IF(ISNA(VLOOKUP(A23,'Données projet'!$A$35:$I$55,7,0)),0%,VLOOKUP(A23,'Données projet'!$A$35:$I$55,7,0))</f>
        <v>0.6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5.0385219706085884</v>
      </c>
      <c r="AB23" s="21">
        <f>EXP(-LN(2)/2)*AB22+(1-EXP(-LN(2)/2))/(LN(2)/2)*V23*Y23*VLOOKUP('Données projet'!$B$9,Paramètres!$A$1:$I$89,3,0)*0.475*44/12</f>
        <v>10.460807420076771</v>
      </c>
      <c r="AC23" s="22">
        <f t="shared" si="3"/>
        <v>15.499329390685359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2.8</v>
      </c>
      <c r="AI23" s="13">
        <f>IF('Données projet'!$A$62&gt;35,AI22+AH23-AQ22,IF(A23&lt;'Données projet'!$A$62,$AF$205^A23,IF(A23='Données projet'!$A$62,'Données projet'!$B$62,AI22+AH23-AQ22)))</f>
        <v>29.92805077569761</v>
      </c>
      <c r="AJ23" s="13">
        <f>AI23*VLOOKUP('Données projet'!$B$10,Paramètres!$A$1:$I$89,3,0)*VLOOKUP('Données projet'!$B$10,Paramètres!$A$1:$I$89,5,0)</f>
        <v>27.078900341851195</v>
      </c>
      <c r="AK23" s="13">
        <f t="shared" si="35"/>
        <v>8.5001157083119736</v>
      </c>
      <c r="AL23" s="20">
        <f t="shared" si="4"/>
        <v>61.966786287367512</v>
      </c>
      <c r="AM23" s="59">
        <f t="shared" si="5"/>
        <v>278.48148917426323</v>
      </c>
      <c r="AN23" s="59">
        <f ca="1">AVERAGE(OFFSET($AM$3,0,0,'Données projet'!$E$10+1,1))-AVERAGE(OFFSET($H$3,0,0,'Données projet'!$E$10+1,1))</f>
        <v>406.64650428071837</v>
      </c>
      <c r="AO23" s="59">
        <f t="shared" si="36"/>
        <v>250.47702091764884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>
        <f>VLOOKUP(A23,'Données projet'!$A$87:$I$107,2,0)</f>
        <v>95</v>
      </c>
      <c r="BB23" s="12">
        <f>VLOOKUP(A23,'Données projet'!$A$87:$I$107,9,0)</f>
        <v>9.8000000000000007</v>
      </c>
      <c r="BC23" s="12">
        <f t="array" ref="BC23">INDEX(BB:BB,MIN(IF(ISNUMBER(BB23:BB219),ROW(BB23:BB219),"")))</f>
        <v>9.8000000000000007</v>
      </c>
      <c r="BD23" s="12">
        <f>IF('Données projet'!$A$88&gt;35,BD22+BC23-BL22,IF(A23&lt;'Données projet'!$A$88,$BA$205^A23,IF(A23='Données projet'!$A$88,'Données projet'!$B$88,BD22+BC23-BL22)))</f>
        <v>94.999999999999986</v>
      </c>
      <c r="BE23" s="13">
        <f>BD23*VLOOKUP('Données projet'!$B$11,Paramètres!$A$1:$I$89,3,0)*VLOOKUP('Données projet'!$B$11,Paramètres!$A$1:$I$89,5,0)</f>
        <v>90.401999999999987</v>
      </c>
      <c r="BF23" s="13">
        <f t="shared" si="37"/>
        <v>24.662152551735971</v>
      </c>
      <c r="BG23" s="20">
        <f t="shared" si="7"/>
        <v>200.40339902760681</v>
      </c>
      <c r="BH23" s="59">
        <f t="shared" si="8"/>
        <v>416.91810191450253</v>
      </c>
      <c r="BI23" s="59">
        <f ca="1">AVERAGE(OFFSET($BH$3,0,0,'Données projet'!$E$11+1,1))-AVERAGE(OFFSET($H$3,0,0,'Données projet'!$E$11+1,1))</f>
        <v>387.78453964980849</v>
      </c>
      <c r="BJ23" s="59">
        <f t="shared" si="38"/>
        <v>395.13533152274488</v>
      </c>
      <c r="BK23" s="15">
        <f>IF(ISNA(VLOOKUP(A23,'Données projet'!$A$87:$I$107,3,0)),0,VLOOKUP(A23,'Données projet'!$A$87:$I$107,3,0))</f>
        <v>2</v>
      </c>
      <c r="BL23" s="15">
        <f>IF(ISNA(VLOOKUP(A23,'Données projet'!$A$87:$I$107,4,0)),0,VLOOKUP(A23,'Données projet'!$A$87:$I$107,4,0))</f>
        <v>15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0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">
      <c r="A24" s="10">
        <f t="shared" si="31"/>
        <v>21</v>
      </c>
      <c r="B24" s="73">
        <f>'Scénario référence'!$B$16*5+'Scénario référence'!$B$17*0+'Scénario référence'!$B$18*5</f>
        <v>5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">
        <f t="shared" si="32"/>
        <v>0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18.333333333333332</v>
      </c>
      <c r="H24" s="67">
        <f t="shared" si="1"/>
        <v>183.33333333333334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10.5</v>
      </c>
      <c r="N24" s="13">
        <f>IF('Données projet'!$A$36&gt;35,N23+M24-V23,IF(A24&lt;'Données projet'!$A$36,$K$205^A24,IF(A24='Données projet'!$A$36,'Données projet'!$B$36,N23+M24-V23)))</f>
        <v>63.5</v>
      </c>
      <c r="O24" s="13">
        <f>N24*VLOOKUP('Données projet'!$B$9,Paramètres!$A$1:$I$89,3,0)*VLOOKUP('Données projet'!$B$9,Paramètres!$A$1:$I$89,5,0)</f>
        <v>37.972999999999999</v>
      </c>
      <c r="P24" s="13">
        <f t="shared" si="33"/>
        <v>11.459775102544418</v>
      </c>
      <c r="Q24" s="20">
        <f t="shared" si="2"/>
        <v>86.095416636931532</v>
      </c>
      <c r="R24" s="59">
        <f t="shared" si="0"/>
        <v>304.95294501280591</v>
      </c>
      <c r="S24" s="59">
        <f ca="1">AVERAGE(OFFSET($R$3,0,0,'Données projet'!$E$9+1,1))-AVERAGE(OFFSET($H$3,0,0,'Données projet'!$E$9+1,1))</f>
        <v>219.4022220248072</v>
      </c>
      <c r="T24" s="59">
        <f t="shared" si="34"/>
        <v>199.30065726913725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4.9007433223579415</v>
      </c>
      <c r="AB24" s="21">
        <f>EXP(-LN(2)/2)*AB23+(1-EXP(-LN(2)/2))/(LN(2)/2)*V24*Y24*VLOOKUP('Données projet'!$B$9,Paramètres!$A$1:$I$89,3,0)*0.475*44/12</f>
        <v>7.3969078634228387</v>
      </c>
      <c r="AC24" s="22">
        <f t="shared" si="3"/>
        <v>12.297651185780779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2.8</v>
      </c>
      <c r="AI24" s="13">
        <f>IF('Données projet'!$A$62&gt;35,AI23+AH24-AQ23,IF(A24&lt;'Données projet'!$A$62,$AF$205^A24,IF(A24='Données projet'!$A$62,'Données projet'!$B$62,AI23+AH24-AQ23)))</f>
        <v>35.471728656111772</v>
      </c>
      <c r="AJ24" s="13">
        <f>AI24*VLOOKUP('Données projet'!$B$10,Paramètres!$A$1:$I$89,3,0)*VLOOKUP('Données projet'!$B$10,Paramètres!$A$1:$I$89,5,0)</f>
        <v>32.094820088049929</v>
      </c>
      <c r="AK24" s="13">
        <f t="shared" si="35"/>
        <v>9.8772940432120837</v>
      </c>
      <c r="AL24" s="20">
        <f t="shared" si="4"/>
        <v>73.101432111948</v>
      </c>
      <c r="AM24" s="59">
        <f t="shared" si="5"/>
        <v>291.95896048782237</v>
      </c>
      <c r="AN24" s="59">
        <f ca="1">AVERAGE(OFFSET($AM$3,0,0,'Données projet'!$E$10+1,1))-AVERAGE(OFFSET($H$3,0,0,'Données projet'!$E$10+1,1))</f>
        <v>406.64650428071837</v>
      </c>
      <c r="AO24" s="59">
        <f t="shared" si="36"/>
        <v>250.47702091764884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10.199999999999999</v>
      </c>
      <c r="BD24" s="12">
        <f>IF('Données projet'!$A$88&gt;35,BD23+BC24-BL23,IF(A24&lt;'Données projet'!$A$88,$BA$205^A24,IF(A24='Données projet'!$A$88,'Données projet'!$B$88,BD23+BC24-BL23)))</f>
        <v>90.199999999999989</v>
      </c>
      <c r="BE24" s="13">
        <f>BD24*VLOOKUP('Données projet'!$B$11,Paramètres!$A$1:$I$89,3,0)*VLOOKUP('Données projet'!$B$11,Paramètres!$A$1:$I$89,5,0)</f>
        <v>85.834319999999991</v>
      </c>
      <c r="BF24" s="13">
        <f t="shared" si="37"/>
        <v>23.557809132261784</v>
      </c>
      <c r="BG24" s="20">
        <f t="shared" si="7"/>
        <v>190.52462490535592</v>
      </c>
      <c r="BH24" s="59">
        <f t="shared" si="8"/>
        <v>409.38215328123033</v>
      </c>
      <c r="BI24" s="59">
        <f ca="1">AVERAGE(OFFSET($BH$3,0,0,'Données projet'!$E$11+1,1))-AVERAGE(OFFSET($H$3,0,0,'Données projet'!$E$11+1,1))</f>
        <v>387.78453964980849</v>
      </c>
      <c r="BJ24" s="59">
        <f t="shared" si="38"/>
        <v>395.13533152274488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0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">
      <c r="A25" s="10">
        <f t="shared" si="31"/>
        <v>22</v>
      </c>
      <c r="B25" s="73">
        <f>'Scénario référence'!$B$16*5+'Scénario référence'!$B$17*0+'Scénario référence'!$B$18*5</f>
        <v>5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">
        <f t="shared" si="32"/>
        <v>0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18.333333333333332</v>
      </c>
      <c r="H25" s="67">
        <f t="shared" si="1"/>
        <v>183.33333333333334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10.5</v>
      </c>
      <c r="N25" s="13">
        <f>IF('Données projet'!$A$36&gt;35,N24+M25-V24,IF(A25&lt;'Données projet'!$A$36,$K$205^A25,IF(A25='Données projet'!$A$36,'Données projet'!$B$36,N24+M25-V24)))</f>
        <v>74</v>
      </c>
      <c r="O25" s="13">
        <f>N25*VLOOKUP('Données projet'!$B$9,Paramètres!$A$1:$I$89,3,0)*VLOOKUP('Données projet'!$B$9,Paramètres!$A$1:$I$89,5,0)</f>
        <v>44.252000000000002</v>
      </c>
      <c r="P25" s="13">
        <f t="shared" si="33"/>
        <v>13.118928907524451</v>
      </c>
      <c r="Q25" s="20">
        <f t="shared" si="2"/>
        <v>99.921034513938423</v>
      </c>
      <c r="R25" s="59">
        <f t="shared" si="0"/>
        <v>321.10194841740679</v>
      </c>
      <c r="S25" s="59">
        <f ca="1">AVERAGE(OFFSET($R$3,0,0,'Données projet'!$E$9+1,1))-AVERAGE(OFFSET($H$3,0,0,'Données projet'!$E$9+1,1))</f>
        <v>219.4022220248072</v>
      </c>
      <c r="T25" s="59">
        <f t="shared" si="34"/>
        <v>199.30065726913725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4.7667322384891735</v>
      </c>
      <c r="AB25" s="21">
        <f>EXP(-LN(2)/2)*AB24+(1-EXP(-LN(2)/2))/(LN(2)/2)*V25*Y25*VLOOKUP('Données projet'!$B$9,Paramètres!$A$1:$I$89,3,0)*0.475*44/12</f>
        <v>5.2304037100383862</v>
      </c>
      <c r="AC25" s="22">
        <f t="shared" si="3"/>
        <v>9.9971359485275606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2.8</v>
      </c>
      <c r="AI25" s="13">
        <f>IF('Données projet'!$A$62&gt;35,AI24+AH25-AQ24,IF(A25&lt;'Données projet'!$A$62,$AF$205^A25,IF(A25='Données projet'!$A$62,'Données projet'!$B$62,AI24+AH25-AQ24)))</f>
        <v>42.042281446359659</v>
      </c>
      <c r="AJ25" s="13">
        <f>AI25*VLOOKUP('Données projet'!$B$10,Paramètres!$A$1:$I$89,3,0)*VLOOKUP('Données projet'!$B$10,Paramètres!$A$1:$I$89,5,0)</f>
        <v>38.039856252666219</v>
      </c>
      <c r="AK25" s="13">
        <f t="shared" si="35"/>
        <v>11.477601124967212</v>
      </c>
      <c r="AL25" s="20">
        <f t="shared" si="4"/>
        <v>86.242904932711554</v>
      </c>
      <c r="AM25" s="59">
        <f t="shared" si="5"/>
        <v>307.42381883617998</v>
      </c>
      <c r="AN25" s="59">
        <f ca="1">AVERAGE(OFFSET($AM$3,0,0,'Données projet'!$E$10+1,1))-AVERAGE(OFFSET($H$3,0,0,'Données projet'!$E$10+1,1))</f>
        <v>406.64650428071837</v>
      </c>
      <c r="AO25" s="59">
        <f t="shared" si="36"/>
        <v>250.47702091764884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10.199999999999999</v>
      </c>
      <c r="BD25" s="12">
        <f>IF('Données projet'!$A$88&gt;35,BD24+BC25-BL24,IF(A25&lt;'Données projet'!$A$88,$BA$205^A25,IF(A25='Données projet'!$A$88,'Données projet'!$B$88,BD24+BC25-BL24)))</f>
        <v>100.39999999999999</v>
      </c>
      <c r="BE25" s="13">
        <f>BD25*VLOOKUP('Données projet'!$B$11,Paramètres!$A$1:$I$89,3,0)*VLOOKUP('Données projet'!$B$11,Paramètres!$A$1:$I$89,5,0)</f>
        <v>95.540639999999996</v>
      </c>
      <c r="BF25" s="13">
        <f t="shared" si="37"/>
        <v>25.89681240703468</v>
      </c>
      <c r="BG25" s="20">
        <f t="shared" si="7"/>
        <v>211.50356294225205</v>
      </c>
      <c r="BH25" s="59">
        <f t="shared" si="8"/>
        <v>432.68447684572044</v>
      </c>
      <c r="BI25" s="59">
        <f ca="1">AVERAGE(OFFSET($BH$3,0,0,'Données projet'!$E$11+1,1))-AVERAGE(OFFSET($H$3,0,0,'Données projet'!$E$11+1,1))</f>
        <v>387.78453964980849</v>
      </c>
      <c r="BJ25" s="59">
        <f t="shared" si="38"/>
        <v>395.13533152274488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0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0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">
      <c r="A26" s="10">
        <f t="shared" si="31"/>
        <v>23</v>
      </c>
      <c r="B26" s="73">
        <f>'Scénario référence'!$B$16*5+'Scénario référence'!$B$17*0+'Scénario référence'!$B$18*5</f>
        <v>5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">
        <f t="shared" si="32"/>
        <v>0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18.333333333333332</v>
      </c>
      <c r="H26" s="67">
        <f t="shared" si="1"/>
        <v>183.33333333333334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10.5</v>
      </c>
      <c r="N26" s="13">
        <f>IF('Données projet'!$A$36&gt;35,N25+M26-V25,IF(A26&lt;'Données projet'!$A$36,$K$205^A26,IF(A26='Données projet'!$A$36,'Données projet'!$B$36,N25+M26-V25)))</f>
        <v>84.5</v>
      </c>
      <c r="O26" s="13">
        <f>N26*VLOOKUP('Données projet'!$B$9,Paramètres!$A$1:$I$89,3,0)*VLOOKUP('Données projet'!$B$9,Paramètres!$A$1:$I$89,5,0)</f>
        <v>50.531000000000006</v>
      </c>
      <c r="P26" s="13">
        <f t="shared" si="33"/>
        <v>14.750808302375741</v>
      </c>
      <c r="Q26" s="20">
        <f t="shared" si="2"/>
        <v>113.69914945997108</v>
      </c>
      <c r="R26" s="59">
        <f t="shared" si="0"/>
        <v>337.1843461695176</v>
      </c>
      <c r="S26" s="59">
        <f ca="1">AVERAGE(OFFSET($R$3,0,0,'Données projet'!$E$9+1,1))-AVERAGE(OFFSET($H$3,0,0,'Données projet'!$E$9+1,1))</f>
        <v>219.4022220248072</v>
      </c>
      <c r="T26" s="59">
        <f t="shared" si="34"/>
        <v>199.30065726913725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4.6363856947561333</v>
      </c>
      <c r="AB26" s="21">
        <f>EXP(-LN(2)/2)*AB25+(1-EXP(-LN(2)/2))/(LN(2)/2)*V26*Y26*VLOOKUP('Données projet'!$B$9,Paramètres!$A$1:$I$89,3,0)*0.475*44/12</f>
        <v>3.6984539317114198</v>
      </c>
      <c r="AC26" s="22">
        <f t="shared" si="3"/>
        <v>8.3348396264675522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2.8</v>
      </c>
      <c r="AI26" s="13">
        <f>IF('Données projet'!$A$62&gt;35,AI25+AH26-AQ25,IF(A26&lt;'Données projet'!$A$62,$AF$205^A26,IF(A26='Données projet'!$A$62,'Données projet'!$B$62,AI25+AH26-AQ25)))</f>
        <v>49.82992078990118</v>
      </c>
      <c r="AJ26" s="13">
        <f>AI26*VLOOKUP('Données projet'!$B$10,Paramètres!$A$1:$I$89,3,0)*VLOOKUP('Données projet'!$B$10,Paramètres!$A$1:$I$89,5,0)</f>
        <v>45.086112330702591</v>
      </c>
      <c r="AK26" s="13">
        <f t="shared" si="35"/>
        <v>13.337187999822708</v>
      </c>
      <c r="AL26" s="20">
        <f t="shared" si="4"/>
        <v>101.75391474233156</v>
      </c>
      <c r="AM26" s="59">
        <f t="shared" si="5"/>
        <v>325.23911145187805</v>
      </c>
      <c r="AN26" s="59">
        <f ca="1">AVERAGE(OFFSET($AM$3,0,0,'Données projet'!$E$10+1,1))-AVERAGE(OFFSET($H$3,0,0,'Données projet'!$E$10+1,1))</f>
        <v>406.64650428071837</v>
      </c>
      <c r="AO26" s="59">
        <f t="shared" si="36"/>
        <v>250.47702091764884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10.199999999999999</v>
      </c>
      <c r="BD26" s="12">
        <f>IF('Données projet'!$A$88&gt;35,BD25+BC26-BL25,IF(A26&lt;'Données projet'!$A$88,$BA$205^A26,IF(A26='Données projet'!$A$88,'Données projet'!$B$88,BD25+BC26-BL25)))</f>
        <v>110.6</v>
      </c>
      <c r="BE26" s="13">
        <f>BD26*VLOOKUP('Données projet'!$B$11,Paramètres!$A$1:$I$89,3,0)*VLOOKUP('Données projet'!$B$11,Paramètres!$A$1:$I$89,5,0)</f>
        <v>105.24695999999999</v>
      </c>
      <c r="BF26" s="13">
        <f t="shared" si="37"/>
        <v>28.208268732518917</v>
      </c>
      <c r="BG26" s="20">
        <f t="shared" si="7"/>
        <v>232.43452337580371</v>
      </c>
      <c r="BH26" s="59">
        <f t="shared" si="8"/>
        <v>455.91972008535021</v>
      </c>
      <c r="BI26" s="59">
        <f ca="1">AVERAGE(OFFSET($BH$3,0,0,'Données projet'!$E$11+1,1))-AVERAGE(OFFSET($H$3,0,0,'Données projet'!$E$11+1,1))</f>
        <v>387.78453964980849</v>
      </c>
      <c r="BJ26" s="59">
        <f t="shared" si="38"/>
        <v>395.13533152274488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0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0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">
      <c r="A27" s="10">
        <f t="shared" si="31"/>
        <v>24</v>
      </c>
      <c r="B27" s="73">
        <f>'Scénario référence'!$B$16*5+'Scénario référence'!$B$17*0+'Scénario référence'!$B$18*5</f>
        <v>5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">
        <f t="shared" si="32"/>
        <v>0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18.333333333333332</v>
      </c>
      <c r="H27" s="67">
        <f t="shared" si="1"/>
        <v>183.33333333333334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>
        <f>VLOOKUP(A27,'Données projet'!$A$35:$I$55,2,0)</f>
        <v>95</v>
      </c>
      <c r="L27" s="12">
        <f>VLOOKUP(A27,'Données projet'!$A$35:$I$55,9,0)</f>
        <v>10.5</v>
      </c>
      <c r="M27" s="12">
        <f t="array" ref="M27">INDEX(L:L,MIN(IF(ISNUMBER(L27:L223),ROW(L27:L223),"")))</f>
        <v>10.5</v>
      </c>
      <c r="N27" s="13">
        <f>IF('Données projet'!$A$36&gt;35,N26+M27-V26,IF(A27&lt;'Données projet'!$A$36,$K$205^A27,IF(A27='Données projet'!$A$36,'Données projet'!$B$36,N26+M27-V26)))</f>
        <v>95</v>
      </c>
      <c r="O27" s="13">
        <f>N27*VLOOKUP('Données projet'!$B$9,Paramètres!$A$1:$I$89,3,0)*VLOOKUP('Données projet'!$B$9,Paramètres!$A$1:$I$89,5,0)</f>
        <v>56.81</v>
      </c>
      <c r="P27" s="13">
        <f t="shared" si="33"/>
        <v>16.359190460575888</v>
      </c>
      <c r="Q27" s="20">
        <f t="shared" si="2"/>
        <v>127.43634005216967</v>
      </c>
      <c r="R27" s="59">
        <f t="shared" si="0"/>
        <v>353.20704823578944</v>
      </c>
      <c r="S27" s="59">
        <f ca="1">AVERAGE(OFFSET($R$3,0,0,'Données projet'!$E$9+1,1))-AVERAGE(OFFSET($H$3,0,0,'Données projet'!$E$9+1,1))</f>
        <v>219.4022220248072</v>
      </c>
      <c r="T27" s="59">
        <f t="shared" si="34"/>
        <v>199.30065726913725</v>
      </c>
      <c r="U27" s="15">
        <f>IF(ISNA(VLOOKUP(A27,'Données projet'!$A$35:$I$55,3,0)),0,VLOOKUP(A27,'Données projet'!$A$35:$I$55,3,0))</f>
        <v>3</v>
      </c>
      <c r="V27" s="15">
        <f>IF(ISNA(VLOOKUP(A27,'Données projet'!$A$35:$I$55,4,0)),0,VLOOKUP(A27,'Données projet'!$A$35:$I$55,4,0))</f>
        <v>31</v>
      </c>
      <c r="W27" s="16">
        <f>IF(ISNA(VLOOKUP(A27,'Données projet'!$A$35:$I$55,5,0)),0%,VLOOKUP(A27,'Données projet'!$A$35:$I$55,5,0)*VLOOKUP('Données projet'!$B$9,Paramètres!$A$1:$I$89,7,0))</f>
        <v>0.22500000000000001</v>
      </c>
      <c r="X27" s="16">
        <f>IF(ISNA(VLOOKUP(A27,'Données projet'!$A$35:$I$55,6,0)),0%,VLOOKUP(A27,'Données projet'!$A$35:$I$55,6,0)*VLOOKUP('Données projet'!$B$9,Paramètres!$A$1:$I$89,7,0))</f>
        <v>9.0000000000000011E-2</v>
      </c>
      <c r="Y27" s="16">
        <f>IF(ISNA(VLOOKUP(A27,'Données projet'!$A$35:$I$55,7,0)),0%,VLOOKUP(A27,'Données projet'!$A$35:$I$55,7,0))</f>
        <v>0.3</v>
      </c>
      <c r="Z27" s="21">
        <f>EXP(-LN(2)/35)*Z26+(1-EXP(-LN(2)/35))/(LN(2)/35)*V27*W27*VLOOKUP('Données projet'!$B$9,Paramètres!$A$1:$I$89,3,0)*0.475*44/12</f>
        <v>5.5331666718610952</v>
      </c>
      <c r="AA27" s="21">
        <f>EXP(-LN(2)/25)*AA26+(1-EXP(-LN(2)/25))/(LN(2)/25)*Calculateur!V27*Calculateur!X27*VLOOKUP('Données projet'!$B$9,Paramètres!$A$1:$I$89,3,0)*0.475*44/12</f>
        <v>6.7141556786649748</v>
      </c>
      <c r="AB27" s="21">
        <f>EXP(-LN(2)/2)*AB26+(1-EXP(-LN(2)/2))/(LN(2)/2)*V27*Y27*VLOOKUP('Données projet'!$B$9,Paramètres!$A$1:$I$89,3,0)*0.475*44/12</f>
        <v>8.9119985544828815</v>
      </c>
      <c r="AC27" s="22">
        <f t="shared" si="3"/>
        <v>21.159320905008951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2.8</v>
      </c>
      <c r="AI27" s="13">
        <f>IF('Données projet'!$A$62&gt;35,AI26+AH27-AQ26,IF(A27&lt;'Données projet'!$A$62,$AF$205^A27,IF(A27='Données projet'!$A$62,'Données projet'!$B$62,AI26+AH27-AQ26)))</f>
        <v>59.060091900479499</v>
      </c>
      <c r="AJ27" s="13">
        <f>AI27*VLOOKUP('Données projet'!$B$10,Paramètres!$A$1:$I$89,3,0)*VLOOKUP('Données projet'!$B$10,Paramètres!$A$1:$I$89,5,0)</f>
        <v>53.437571151553847</v>
      </c>
      <c r="AK27" s="13">
        <f t="shared" si="35"/>
        <v>15.498062862253629</v>
      </c>
      <c r="AL27" s="20">
        <f t="shared" si="4"/>
        <v>120.06289590738133</v>
      </c>
      <c r="AM27" s="59">
        <f t="shared" si="5"/>
        <v>345.83360409100112</v>
      </c>
      <c r="AN27" s="59">
        <f ca="1">AVERAGE(OFFSET($AM$3,0,0,'Données projet'!$E$10+1,1))-AVERAGE(OFFSET($H$3,0,0,'Données projet'!$E$10+1,1))</f>
        <v>406.64650428071837</v>
      </c>
      <c r="AO27" s="59">
        <f t="shared" si="36"/>
        <v>250.47702091764884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10.199999999999999</v>
      </c>
      <c r="BD27" s="12">
        <f>IF('Données projet'!$A$88&gt;35,BD26+BC27-BL26,IF(A27&lt;'Données projet'!$A$88,$BA$205^A27,IF(A27='Données projet'!$A$88,'Données projet'!$B$88,BD26+BC27-BL26)))</f>
        <v>120.8</v>
      </c>
      <c r="BE27" s="13">
        <f>BD27*VLOOKUP('Données projet'!$B$11,Paramètres!$A$1:$I$89,3,0)*VLOOKUP('Données projet'!$B$11,Paramètres!$A$1:$I$89,5,0)</f>
        <v>114.95328000000001</v>
      </c>
      <c r="BF27" s="13">
        <f t="shared" si="37"/>
        <v>30.495007557609888</v>
      </c>
      <c r="BG27" s="20">
        <f t="shared" si="7"/>
        <v>253.32243416283723</v>
      </c>
      <c r="BH27" s="59">
        <f t="shared" si="8"/>
        <v>479.09314234645706</v>
      </c>
      <c r="BI27" s="59">
        <f ca="1">AVERAGE(OFFSET($BH$3,0,0,'Données projet'!$E$11+1,1))-AVERAGE(OFFSET($H$3,0,0,'Données projet'!$E$11+1,1))</f>
        <v>387.78453964980849</v>
      </c>
      <c r="BJ27" s="59">
        <f t="shared" si="38"/>
        <v>395.13533152274488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0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0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">
      <c r="A28" s="10">
        <f t="shared" si="31"/>
        <v>25</v>
      </c>
      <c r="B28" s="73">
        <f>'Scénario référence'!$B$16*5+'Scénario référence'!$B$17*0+'Scénario référence'!$B$18*5</f>
        <v>5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">
        <f t="shared" si="32"/>
        <v>0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18.333333333333332</v>
      </c>
      <c r="H28" s="67">
        <f t="shared" si="1"/>
        <v>183.33333333333334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14</v>
      </c>
      <c r="N28" s="13">
        <f>IF('Données projet'!$A$36&gt;35,N27+M28-V27,IF(A28&lt;'Données projet'!$A$36,$K$205^A28,IF(A28='Données projet'!$A$36,'Données projet'!$B$36,N27+M28-V27)))</f>
        <v>78</v>
      </c>
      <c r="O28" s="13">
        <f>N28*VLOOKUP('Données projet'!$B$9,Paramètres!$A$1:$I$89,3,0)*VLOOKUP('Données projet'!$B$9,Paramètres!$A$1:$I$89,5,0)</f>
        <v>46.644000000000005</v>
      </c>
      <c r="P28" s="13">
        <f t="shared" si="33"/>
        <v>13.74358465851649</v>
      </c>
      <c r="Q28" s="20">
        <f t="shared" si="2"/>
        <v>105.17504328024955</v>
      </c>
      <c r="R28" s="59">
        <f t="shared" si="0"/>
        <v>333.21281724658166</v>
      </c>
      <c r="S28" s="59">
        <f ca="1">AVERAGE(OFFSET($R$3,0,0,'Données projet'!$E$9+1,1))-AVERAGE(OFFSET($H$3,0,0,'Données projet'!$E$9+1,1))</f>
        <v>219.4022220248072</v>
      </c>
      <c r="T28" s="59">
        <f t="shared" si="34"/>
        <v>199.30065726913725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5.4246646483243257</v>
      </c>
      <c r="AA28" s="21">
        <f>EXP(-LN(2)/25)*AA27+(1-EXP(-LN(2)/25))/(LN(2)/25)*Calculateur!V28*Calculateur!X28*VLOOKUP('Données projet'!$B$9,Paramètres!$A$1:$I$89,3,0)*0.475*44/12</f>
        <v>6.5305567385497794</v>
      </c>
      <c r="AB28" s="21">
        <f>EXP(-LN(2)/2)*AB27+(1-EXP(-LN(2)/2))/(LN(2)/2)*V28*Y28*VLOOKUP('Données projet'!$B$9,Paramètres!$A$1:$I$89,3,0)*0.475*44/12</f>
        <v>6.3017346117995547</v>
      </c>
      <c r="AC28" s="22">
        <f t="shared" si="3"/>
        <v>18.256955998673661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>
        <f>VLOOKUP(A28,'Données projet'!$A$61:$I$81,2,0)</f>
        <v>70</v>
      </c>
      <c r="AG28" s="12">
        <f>VLOOKUP(A28,'Données projet'!$A$61:$I$81,9,0)</f>
        <v>2.8</v>
      </c>
      <c r="AH28" s="12">
        <f t="array" ref="AH28">INDEX(AG:AG,MIN(IF(ISNUMBER(AG28:AG224),ROW(AG28:AG224),"")))</f>
        <v>2.8</v>
      </c>
      <c r="AI28" s="13">
        <f>IF('Données projet'!$A$62&gt;35,AI27+AH28-AQ27,IF(A28&lt;'Données projet'!$A$62,$AF$205^A28,IF(A28='Données projet'!$A$62,'Données projet'!$B$62,AI27+AH28-AQ27)))</f>
        <v>70</v>
      </c>
      <c r="AJ28" s="13">
        <f>AI28*VLOOKUP('Données projet'!$B$10,Paramètres!$A$1:$I$89,3,0)*VLOOKUP('Données projet'!$B$10,Paramètres!$A$1:$I$89,5,0)</f>
        <v>63.335999999999991</v>
      </c>
      <c r="AK28" s="13">
        <f t="shared" si="35"/>
        <v>18.009040022946227</v>
      </c>
      <c r="AL28" s="20">
        <f t="shared" si="4"/>
        <v>141.67594470663133</v>
      </c>
      <c r="AM28" s="59">
        <f t="shared" si="5"/>
        <v>369.71371867296341</v>
      </c>
      <c r="AN28" s="59">
        <f ca="1">AVERAGE(OFFSET($AM$3,0,0,'Données projet'!$E$10+1,1))-AVERAGE(OFFSET($H$3,0,0,'Données projet'!$E$10+1,1))</f>
        <v>406.64650428071837</v>
      </c>
      <c r="AO28" s="59">
        <f t="shared" si="36"/>
        <v>250.47702091764884</v>
      </c>
      <c r="AP28" s="15">
        <f>IF(ISNA(VLOOKUP(A28,'Données projet'!$A$61:$I$81,3,0)),0,VLOOKUP(A28,'Données projet'!$A$61:$I$81,3,0))</f>
        <v>1</v>
      </c>
      <c r="AQ28" s="15">
        <f>IF(ISNA(VLOOKUP(A28,'Données projet'!$A$61:$I$81,4,0)),0,VLOOKUP(A28,'Données projet'!$A$61:$I$81,4,0))</f>
        <v>8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>
        <f>VLOOKUP(A28,'Données projet'!$A$87:$I$107,2,0)</f>
        <v>131</v>
      </c>
      <c r="BB28" s="12">
        <f>VLOOKUP(A28,'Données projet'!$A$87:$I$107,9,0)</f>
        <v>10.199999999999999</v>
      </c>
      <c r="BC28" s="12">
        <f t="array" ref="BC28">INDEX(BB:BB,MIN(IF(ISNUMBER(BB28:BB224),ROW(BB28:BB224),"")))</f>
        <v>10.199999999999999</v>
      </c>
      <c r="BD28" s="12">
        <f>IF('Données projet'!$A$88&gt;35,BD27+BC28-BL27,IF(A28&lt;'Données projet'!$A$88,$BA$205^A28,IF(A28='Données projet'!$A$88,'Données projet'!$B$88,BD27+BC28-BL27)))</f>
        <v>131</v>
      </c>
      <c r="BE28" s="13">
        <f>BD28*VLOOKUP('Données projet'!$B$11,Paramètres!$A$1:$I$89,3,0)*VLOOKUP('Données projet'!$B$11,Paramètres!$A$1:$I$89,5,0)</f>
        <v>124.6596</v>
      </c>
      <c r="BF28" s="13">
        <f t="shared" si="37"/>
        <v>32.759353242305195</v>
      </c>
      <c r="BG28" s="20">
        <f t="shared" si="7"/>
        <v>274.17134356368149</v>
      </c>
      <c r="BH28" s="59">
        <f t="shared" si="8"/>
        <v>502.2091175300136</v>
      </c>
      <c r="BI28" s="59">
        <f ca="1">AVERAGE(OFFSET($BH$3,0,0,'Données projet'!$E$11+1,1))-AVERAGE(OFFSET($H$3,0,0,'Données projet'!$E$11+1,1))</f>
        <v>387.78453964980849</v>
      </c>
      <c r="BJ28" s="59">
        <f t="shared" si="38"/>
        <v>395.13533152274488</v>
      </c>
      <c r="BK28" s="15">
        <f>IF(ISNA(VLOOKUP(A28,'Données projet'!$A$87:$I$107,3,0)),0,VLOOKUP(A28,'Données projet'!$A$87:$I$107,3,0))</f>
        <v>3</v>
      </c>
      <c r="BL28" s="15">
        <f>IF(ISNA(VLOOKUP(A28,'Données projet'!$A$87:$I$107,4,0)),0,VLOOKUP(A28,'Données projet'!$A$87:$I$107,4,0))</f>
        <v>19</v>
      </c>
      <c r="BM28" s="16">
        <f>IF(ISNA(VLOOKUP(A28,'Données projet'!$A$87:$I$107,5,0)),0%,VLOOKUP(A28,'Données projet'!$A$87:$I$107,5,0)*VLOOKUP('Données projet'!$B$11,Paramètres!$A$1:$I$89,7,0))</f>
        <v>0.17200000000000001</v>
      </c>
      <c r="BN28" s="16">
        <f>IF(ISNA(VLOOKUP(A28,'Données projet'!$A$87:$I$107,6,0)),0%,VLOOKUP(A28,'Données projet'!$A$87:$I$107,6,0)*VLOOKUP('Données projet'!$B$11,Paramètres!$A$1:$I$89,7,0))</f>
        <v>3.44E-2</v>
      </c>
      <c r="BO28" s="16">
        <f>IF(ISNA(VLOOKUP(A28,'Données projet'!$A$87:$I$107,7,0)),0%,VLOOKUP(A28,'Données projet'!$A$87:$I$107,7,0))</f>
        <v>0.12</v>
      </c>
      <c r="BP28" s="21">
        <f>EXP(-LN(2)/35)*BP27+(1-EXP(-LN(2)/35))/(LN(2)/35)*BL28*BM28*VLOOKUP('Données projet'!$B$11,Paramètres!$A$1:$I$89,3,0)*0.475*44/12</f>
        <v>3.4378236238184989</v>
      </c>
      <c r="BQ28" s="21">
        <f>EXP(-LN(2)/25)*BQ27+(1-EXP(-LN(2)/25))/(LN(2)/25)*Calculateur!BL28*Calculateur!BN28*VLOOKUP('Données projet'!$B$11,Paramètres!$A$1:$I$89,3,0)*0.475*44/12</f>
        <v>0.6848575204596058</v>
      </c>
      <c r="BR28" s="21">
        <f>EXP(-LN(2)/2)*BR27+(1-EXP(-LN(2)/2))/(LN(2)/2)*BL28*BO28*VLOOKUP('Données projet'!$B$11,Paramètres!$A$1:$I$89,3,0)*0.475*44/12</f>
        <v>2.0471212832197514</v>
      </c>
      <c r="BS28" s="22">
        <f t="shared" si="9"/>
        <v>6.1698024274978565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">
      <c r="A29" s="10">
        <f t="shared" si="31"/>
        <v>26</v>
      </c>
      <c r="B29" s="73">
        <f>'Scénario référence'!$B$16*5+'Scénario référence'!$B$17*0+'Scénario référence'!$B$18*5</f>
        <v>5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">
        <f t="shared" si="32"/>
        <v>0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18.333333333333332</v>
      </c>
      <c r="H29" s="67">
        <f t="shared" si="1"/>
        <v>183.33333333333334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14</v>
      </c>
      <c r="N29" s="13">
        <f>IF('Données projet'!$A$36&gt;35,N28+M29-V28,IF(A29&lt;'Données projet'!$A$36,$K$205^A29,IF(A29='Données projet'!$A$36,'Données projet'!$B$36,N28+M29-V28)))</f>
        <v>92</v>
      </c>
      <c r="O29" s="13">
        <f>N29*VLOOKUP('Données projet'!$B$9,Paramètres!$A$1:$I$89,3,0)*VLOOKUP('Données projet'!$B$9,Paramètres!$A$1:$I$89,5,0)</f>
        <v>55.016000000000005</v>
      </c>
      <c r="P29" s="13">
        <f t="shared" si="33"/>
        <v>15.901868409640327</v>
      </c>
      <c r="Q29" s="20">
        <f t="shared" si="2"/>
        <v>123.51528748012358</v>
      </c>
      <c r="R29" s="59">
        <f t="shared" si="0"/>
        <v>353.80200152931377</v>
      </c>
      <c r="S29" s="59">
        <f ca="1">AVERAGE(OFFSET($R$3,0,0,'Données projet'!$E$9+1,1))-AVERAGE(OFFSET($H$3,0,0,'Données projet'!$E$9+1,1))</f>
        <v>219.4022220248072</v>
      </c>
      <c r="T29" s="59">
        <f t="shared" si="34"/>
        <v>199.30065726913725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5.3182902832894126</v>
      </c>
      <c r="AA29" s="21">
        <f>EXP(-LN(2)/25)*AA28+(1-EXP(-LN(2)/25))/(LN(2)/25)*Calculateur!V29*Calculateur!X29*VLOOKUP('Données projet'!$B$9,Paramètres!$A$1:$I$89,3,0)*0.475*44/12</f>
        <v>6.3519783211070822</v>
      </c>
      <c r="AB29" s="21">
        <f>EXP(-LN(2)/2)*AB28+(1-EXP(-LN(2)/2))/(LN(2)/2)*V29*Y29*VLOOKUP('Données projet'!$B$9,Paramètres!$A$1:$I$89,3,0)*0.475*44/12</f>
        <v>4.4559992772414407</v>
      </c>
      <c r="AC29" s="22">
        <f t="shared" si="3"/>
        <v>16.126267881637936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7</v>
      </c>
      <c r="AI29" s="13">
        <f>IF('Données projet'!$A$62&gt;35,AI28+AH29-AQ28,IF(A29&lt;'Données projet'!$A$62,$AF$205^A29,IF(A29='Données projet'!$A$62,'Données projet'!$B$62,AI28+AH29-AQ28)))</f>
        <v>69</v>
      </c>
      <c r="AJ29" s="13">
        <f>AI29*VLOOKUP('Données projet'!$B$10,Paramètres!$A$1:$I$89,3,0)*VLOOKUP('Données projet'!$B$10,Paramètres!$A$1:$I$89,5,0)</f>
        <v>62.431199999999997</v>
      </c>
      <c r="AK29" s="13">
        <f t="shared" si="35"/>
        <v>17.781524466058684</v>
      </c>
      <c r="AL29" s="20">
        <f t="shared" si="4"/>
        <v>139.70382844505221</v>
      </c>
      <c r="AM29" s="59">
        <f t="shared" si="5"/>
        <v>369.99054249424239</v>
      </c>
      <c r="AN29" s="59">
        <f ca="1">AVERAGE(OFFSET($AM$3,0,0,'Données projet'!$E$10+1,1))-AVERAGE(OFFSET($H$3,0,0,'Données projet'!$E$10+1,1))</f>
        <v>406.64650428071837</v>
      </c>
      <c r="AO29" s="59">
        <f t="shared" si="36"/>
        <v>250.47702091764884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10.199999999999999</v>
      </c>
      <c r="BD29" s="12">
        <f>IF('Données projet'!$A$88&gt;35,BD28+BC29-BL28,IF(A29&lt;'Données projet'!$A$88,$BA$205^A29,IF(A29='Données projet'!$A$88,'Données projet'!$B$88,BD28+BC29-BL28)))</f>
        <v>122.19999999999999</v>
      </c>
      <c r="BE29" s="13">
        <f>BD29*VLOOKUP('Données projet'!$B$11,Paramètres!$A$1:$I$89,3,0)*VLOOKUP('Données projet'!$B$11,Paramètres!$A$1:$I$89,5,0)</f>
        <v>116.28551999999999</v>
      </c>
      <c r="BF29" s="13">
        <f t="shared" si="37"/>
        <v>30.807078820551457</v>
      </c>
      <c r="BG29" s="20">
        <f t="shared" si="7"/>
        <v>256.18627627912707</v>
      </c>
      <c r="BH29" s="59">
        <f t="shared" si="8"/>
        <v>486.47299032831722</v>
      </c>
      <c r="BI29" s="59">
        <f ca="1">AVERAGE(OFFSET($BH$3,0,0,'Données projet'!$E$11+1,1))-AVERAGE(OFFSET($H$3,0,0,'Données projet'!$E$11+1,1))</f>
        <v>387.78453964980849</v>
      </c>
      <c r="BJ29" s="59">
        <f t="shared" si="38"/>
        <v>395.13533152274488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3.3704099994207803</v>
      </c>
      <c r="BQ29" s="21">
        <f>EXP(-LN(2)/25)*BQ28+(1-EXP(-LN(2)/25))/(LN(2)/25)*Calculateur!BL29*Calculateur!BN29*VLOOKUP('Données projet'!$B$11,Paramètres!$A$1:$I$89,3,0)*0.475*44/12</f>
        <v>0.66613005554754612</v>
      </c>
      <c r="BR29" s="21">
        <f>EXP(-LN(2)/2)*BR28+(1-EXP(-LN(2)/2))/(LN(2)/2)*BL29*BO29*VLOOKUP('Données projet'!$B$11,Paramètres!$A$1:$I$89,3,0)*0.475*44/12</f>
        <v>1.4475333412759932</v>
      </c>
      <c r="BS29" s="22">
        <f t="shared" si="9"/>
        <v>5.4840733962443196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">
      <c r="A30" s="10">
        <f t="shared" si="31"/>
        <v>27</v>
      </c>
      <c r="B30" s="73">
        <f>'Scénario référence'!$B$16*5+'Scénario référence'!$B$17*0+'Scénario référence'!$B$18*5</f>
        <v>5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">
        <f t="shared" si="32"/>
        <v>0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18.333333333333332</v>
      </c>
      <c r="H30" s="67">
        <f t="shared" si="1"/>
        <v>183.33333333333334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14</v>
      </c>
      <c r="N30" s="13">
        <f>IF('Données projet'!$A$36&gt;35,N29+M30-V29,IF(A30&lt;'Données projet'!$A$36,$K$205^A30,IF(A30='Données projet'!$A$36,'Données projet'!$B$36,N29+M30-V29)))</f>
        <v>106</v>
      </c>
      <c r="O30" s="13">
        <f>N30*VLOOKUP('Données projet'!$B$9,Paramètres!$A$1:$I$89,3,0)*VLOOKUP('Données projet'!$B$9,Paramètres!$A$1:$I$89,5,0)</f>
        <v>63.388000000000012</v>
      </c>
      <c r="P30" s="13">
        <f t="shared" si="33"/>
        <v>18.022104085041263</v>
      </c>
      <c r="Q30" s="20">
        <f t="shared" si="2"/>
        <v>141.78926461478019</v>
      </c>
      <c r="R30" s="59">
        <f t="shared" si="0"/>
        <v>374.30710748734373</v>
      </c>
      <c r="S30" s="59">
        <f ca="1">AVERAGE(OFFSET($R$3,0,0,'Données projet'!$E$9+1,1))-AVERAGE(OFFSET($H$3,0,0,'Données projet'!$E$9+1,1))</f>
        <v>219.4022220248072</v>
      </c>
      <c r="T30" s="59">
        <f t="shared" si="34"/>
        <v>199.30065726913725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5.2140018546708777</v>
      </c>
      <c r="AA30" s="21">
        <f>EXP(-LN(2)/25)*AA29+(1-EXP(-LN(2)/25))/(LN(2)/25)*Calculateur!V30*Calculateur!X30*VLOOKUP('Données projet'!$B$9,Paramètres!$A$1:$I$89,3,0)*0.475*44/12</f>
        <v>6.1782831398803868</v>
      </c>
      <c r="AB30" s="21">
        <f>EXP(-LN(2)/2)*AB29+(1-EXP(-LN(2)/2))/(LN(2)/2)*V30*Y30*VLOOKUP('Données projet'!$B$9,Paramètres!$A$1:$I$89,3,0)*0.475*44/12</f>
        <v>3.1508673058997774</v>
      </c>
      <c r="AC30" s="22">
        <f t="shared" si="3"/>
        <v>14.543152300451041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7</v>
      </c>
      <c r="AI30" s="13">
        <f>IF('Données projet'!$A$62&gt;35,AI29+AH30-AQ29,IF(A30&lt;'Données projet'!$A$62,$AF$205^A30,IF(A30='Données projet'!$A$62,'Données projet'!$B$62,AI29+AH30-AQ29)))</f>
        <v>76</v>
      </c>
      <c r="AJ30" s="13">
        <f>AI30*VLOOKUP('Données projet'!$B$10,Paramètres!$A$1:$I$89,3,0)*VLOOKUP('Données projet'!$B$10,Paramètres!$A$1:$I$89,5,0)</f>
        <v>68.764799999999994</v>
      </c>
      <c r="AK30" s="13">
        <f t="shared" si="35"/>
        <v>19.366396769521369</v>
      </c>
      <c r="AL30" s="20">
        <f t="shared" si="4"/>
        <v>153.49516770691636</v>
      </c>
      <c r="AM30" s="59">
        <f t="shared" si="5"/>
        <v>386.0130105794799</v>
      </c>
      <c r="AN30" s="59">
        <f ca="1">AVERAGE(OFFSET($AM$3,0,0,'Données projet'!$E$10+1,1))-AVERAGE(OFFSET($H$3,0,0,'Données projet'!$E$10+1,1))</f>
        <v>406.64650428071837</v>
      </c>
      <c r="AO30" s="59">
        <f t="shared" si="36"/>
        <v>250.47702091764884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10.199999999999999</v>
      </c>
      <c r="BD30" s="12">
        <f>IF('Données projet'!$A$88&gt;35,BD29+BC30-BL29,IF(A30&lt;'Données projet'!$A$88,$BA$205^A30,IF(A30='Données projet'!$A$88,'Données projet'!$B$88,BD29+BC30-BL29)))</f>
        <v>132.39999999999998</v>
      </c>
      <c r="BE30" s="13">
        <f>BD30*VLOOKUP('Données projet'!$B$11,Paramètres!$A$1:$I$89,3,0)*VLOOKUP('Données projet'!$B$11,Paramètres!$A$1:$I$89,5,0)</f>
        <v>125.99183999999998</v>
      </c>
      <c r="BF30" s="13">
        <f t="shared" si="37"/>
        <v>33.0685099164535</v>
      </c>
      <c r="BG30" s="20">
        <f t="shared" si="7"/>
        <v>277.03010943782311</v>
      </c>
      <c r="BH30" s="59">
        <f t="shared" si="8"/>
        <v>509.54795231038662</v>
      </c>
      <c r="BI30" s="59">
        <f ca="1">AVERAGE(OFFSET($BH$3,0,0,'Données projet'!$E$11+1,1))-AVERAGE(OFFSET($H$3,0,0,'Données projet'!$E$11+1,1))</f>
        <v>387.78453964980849</v>
      </c>
      <c r="BJ30" s="59">
        <f t="shared" si="38"/>
        <v>395.13533152274488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3.3043183150792501</v>
      </c>
      <c r="BQ30" s="21">
        <f>EXP(-LN(2)/25)*BQ29+(1-EXP(-LN(2)/25))/(LN(2)/25)*Calculateur!BL30*Calculateur!BN30*VLOOKUP('Données projet'!$B$11,Paramètres!$A$1:$I$89,3,0)*0.475*44/12</f>
        <v>0.64791469414834135</v>
      </c>
      <c r="BR30" s="21">
        <f>EXP(-LN(2)/2)*BR29+(1-EXP(-LN(2)/2))/(LN(2)/2)*BL30*BO30*VLOOKUP('Données projet'!$B$11,Paramètres!$A$1:$I$89,3,0)*0.475*44/12</f>
        <v>1.0235606416098759</v>
      </c>
      <c r="BS30" s="22">
        <f t="shared" si="9"/>
        <v>4.9757936508374678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">
      <c r="A31" s="10">
        <f t="shared" si="31"/>
        <v>28</v>
      </c>
      <c r="B31" s="73">
        <f>'Scénario référence'!$B$16*5+'Scénario référence'!$B$17*0+'Scénario référence'!$B$18*5</f>
        <v>5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">
        <f t="shared" si="32"/>
        <v>0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18.333333333333332</v>
      </c>
      <c r="H31" s="67">
        <f t="shared" si="1"/>
        <v>183.33333333333334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>
        <f>VLOOKUP(A31,'Données projet'!$A$35:$I$55,2,0)</f>
        <v>120</v>
      </c>
      <c r="L31" s="12">
        <f>VLOOKUP(A31,'Données projet'!$A$35:$I$55,9,0)</f>
        <v>14</v>
      </c>
      <c r="M31" s="12">
        <f t="array" ref="M31">INDEX(L:L,MIN(IF(ISNUMBER(L31:L227),ROW(L31:L227),"")))</f>
        <v>14</v>
      </c>
      <c r="N31" s="13">
        <f>IF('Données projet'!$A$36&gt;35,N30+M31-V30,IF(A31&lt;'Données projet'!$A$36,$K$205^A31,IF(A31='Données projet'!$A$36,'Données projet'!$B$36,N30+M31-V30)))</f>
        <v>120</v>
      </c>
      <c r="O31" s="13">
        <f>N31*VLOOKUP('Données projet'!$B$9,Paramètres!$A$1:$I$89,3,0)*VLOOKUP('Données projet'!$B$9,Paramètres!$A$1:$I$89,5,0)</f>
        <v>71.760000000000005</v>
      </c>
      <c r="P31" s="13">
        <f t="shared" si="33"/>
        <v>20.109893936516215</v>
      </c>
      <c r="Q31" s="20">
        <f t="shared" si="2"/>
        <v>160.0067319394324</v>
      </c>
      <c r="R31" s="59">
        <f t="shared" si="0"/>
        <v>394.73820136141649</v>
      </c>
      <c r="S31" s="59">
        <f ca="1">AVERAGE(OFFSET($R$3,0,0,'Données projet'!$E$9+1,1))-AVERAGE(OFFSET($H$3,0,0,'Données projet'!$E$9+1,1))</f>
        <v>219.4022220248072</v>
      </c>
      <c r="T31" s="59">
        <f t="shared" si="34"/>
        <v>199.30065726913725</v>
      </c>
      <c r="U31" s="15">
        <f>IF(ISNA(VLOOKUP(A31,'Données projet'!$A$35:$I$55,3,0)),0,VLOOKUP(A31,'Données projet'!$A$35:$I$55,3,0))</f>
        <v>4</v>
      </c>
      <c r="V31" s="15">
        <f>IF(ISNA(VLOOKUP(A31,'Données projet'!$A$35:$I$55,4,0)),0,VLOOKUP(A31,'Données projet'!$A$35:$I$55,4,0))</f>
        <v>35</v>
      </c>
      <c r="W31" s="16">
        <f>IF(ISNA(VLOOKUP(A31,'Données projet'!$A$35:$I$55,5,0)),0%,VLOOKUP(A31,'Données projet'!$A$35:$I$55,5,0)*VLOOKUP('Données projet'!$B$9,Paramètres!$A$1:$I$89,7,0))</f>
        <v>0.315</v>
      </c>
      <c r="X31" s="16">
        <f>IF(ISNA(VLOOKUP(A31,'Données projet'!$A$35:$I$55,6,0)),0%,VLOOKUP(A31,'Données projet'!$A$35:$I$55,6,0)*VLOOKUP('Données projet'!$B$9,Paramètres!$A$1:$I$89,7,0))</f>
        <v>5.3999999999999999E-2</v>
      </c>
      <c r="Y31" s="16">
        <f>IF(ISNA(VLOOKUP(A31,'Données projet'!$A$35:$I$55,7,0)),0%,VLOOKUP(A31,'Données projet'!$A$35:$I$55,7,0))</f>
        <v>0.18</v>
      </c>
      <c r="Z31" s="21">
        <f>EXP(-LN(2)/35)*Z30+(1-EXP(-LN(2)/35))/(LN(2)/35)*V31*W31*VLOOKUP('Données projet'!$B$9,Paramètres!$A$1:$I$89,3,0)*0.475*44/12</f>
        <v>13.857731585018009</v>
      </c>
      <c r="AA31" s="21">
        <f>EXP(-LN(2)/25)*AA30+(1-EXP(-LN(2)/25))/(LN(2)/25)*Calculateur!V31*Calculateur!X31*VLOOKUP('Données projet'!$B$9,Paramètres!$A$1:$I$89,3,0)*0.475*44/12</f>
        <v>7.5027439878581283</v>
      </c>
      <c r="AB31" s="21">
        <f>EXP(-LN(2)/2)*AB30+(1-EXP(-LN(2)/2))/(LN(2)/2)*V31*Y31*VLOOKUP('Données projet'!$B$9,Paramètres!$A$1:$I$89,3,0)*0.475*44/12</f>
        <v>6.493571596321928</v>
      </c>
      <c r="AC31" s="22">
        <f t="shared" si="3"/>
        <v>27.854047169198065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7</v>
      </c>
      <c r="AI31" s="13">
        <f>IF('Données projet'!$A$62&gt;35,AI30+AH31-AQ30,IF(A31&lt;'Données projet'!$A$62,$AF$205^A31,IF(A31='Données projet'!$A$62,'Données projet'!$B$62,AI30+AH31-AQ30)))</f>
        <v>83</v>
      </c>
      <c r="AJ31" s="13">
        <f>AI31*VLOOKUP('Données projet'!$B$10,Paramètres!$A$1:$I$89,3,0)*VLOOKUP('Données projet'!$B$10,Paramètres!$A$1:$I$89,5,0)</f>
        <v>75.098399999999998</v>
      </c>
      <c r="AK31" s="13">
        <f t="shared" si="35"/>
        <v>20.934343091450742</v>
      </c>
      <c r="AL31" s="20">
        <f t="shared" si="4"/>
        <v>167.25702755094335</v>
      </c>
      <c r="AM31" s="59">
        <f t="shared" si="5"/>
        <v>401.98849697292746</v>
      </c>
      <c r="AN31" s="59">
        <f ca="1">AVERAGE(OFFSET($AM$3,0,0,'Données projet'!$E$10+1,1))-AVERAGE(OFFSET($H$3,0,0,'Données projet'!$E$10+1,1))</f>
        <v>406.64650428071837</v>
      </c>
      <c r="AO31" s="59">
        <f t="shared" si="36"/>
        <v>250.47702091764884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10.199999999999999</v>
      </c>
      <c r="BD31" s="12">
        <f>IF('Données projet'!$A$88&gt;35,BD30+BC31-BL30,IF(A31&lt;'Données projet'!$A$88,$BA$205^A31,IF(A31='Données projet'!$A$88,'Données projet'!$B$88,BD30+BC31-BL30)))</f>
        <v>142.59999999999997</v>
      </c>
      <c r="BE31" s="13">
        <f>BD31*VLOOKUP('Données projet'!$B$11,Paramètres!$A$1:$I$89,3,0)*VLOOKUP('Données projet'!$B$11,Paramètres!$A$1:$I$89,5,0)</f>
        <v>135.69815999999997</v>
      </c>
      <c r="BF31" s="13">
        <f t="shared" si="37"/>
        <v>35.309731483374598</v>
      </c>
      <c r="BG31" s="20">
        <f t="shared" si="7"/>
        <v>297.83874433354407</v>
      </c>
      <c r="BH31" s="59">
        <f t="shared" si="8"/>
        <v>532.57021375552813</v>
      </c>
      <c r="BI31" s="59">
        <f ca="1">AVERAGE(OFFSET($BH$3,0,0,'Données projet'!$E$11+1,1))-AVERAGE(OFFSET($H$3,0,0,'Données projet'!$E$11+1,1))</f>
        <v>387.78453964980849</v>
      </c>
      <c r="BJ31" s="59">
        <f t="shared" si="38"/>
        <v>395.13533152274488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3.2395226483557105</v>
      </c>
      <c r="BQ31" s="21">
        <f>EXP(-LN(2)/25)*BQ30+(1-EXP(-LN(2)/25))/(LN(2)/25)*Calculateur!BL31*Calculateur!BN31*VLOOKUP('Données projet'!$B$11,Paramètres!$A$1:$I$89,3,0)*0.475*44/12</f>
        <v>0.63019743276450202</v>
      </c>
      <c r="BR31" s="21">
        <f>EXP(-LN(2)/2)*BR30+(1-EXP(-LN(2)/2))/(LN(2)/2)*BL31*BO31*VLOOKUP('Données projet'!$B$11,Paramètres!$A$1:$I$89,3,0)*0.475*44/12</f>
        <v>0.72376667063799682</v>
      </c>
      <c r="BS31" s="22">
        <f t="shared" si="9"/>
        <v>4.593486751758209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">
      <c r="A32" s="10">
        <f t="shared" si="31"/>
        <v>29</v>
      </c>
      <c r="B32" s="73">
        <f>'Scénario référence'!$B$16*5+'Scénario référence'!$B$17*0+'Scénario référence'!$B$18*5</f>
        <v>5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">
        <f t="shared" si="32"/>
        <v>0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18.333333333333332</v>
      </c>
      <c r="H32" s="67">
        <f t="shared" si="1"/>
        <v>183.33333333333334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11.166666666666666</v>
      </c>
      <c r="N32" s="13">
        <f>IF('Données projet'!$A$36&gt;35,N31+M32-V31,IF(A32&lt;'Données projet'!$A$36,$K$205^A32,IF(A32='Données projet'!$A$36,'Données projet'!$B$36,N31+M32-V31)))</f>
        <v>96.166666666666657</v>
      </c>
      <c r="O32" s="13">
        <f>N32*VLOOKUP('Données projet'!$B$9,Paramètres!$A$1:$I$89,3,0)*VLOOKUP('Données projet'!$B$9,Paramètres!$A$1:$I$89,5,0)</f>
        <v>57.507666666666665</v>
      </c>
      <c r="P32" s="13">
        <f t="shared" si="33"/>
        <v>16.536581465249366</v>
      </c>
      <c r="Q32" s="20">
        <f t="shared" si="2"/>
        <v>128.96039882975376</v>
      </c>
      <c r="R32" s="59">
        <f t="shared" si="0"/>
        <v>365.88829615252962</v>
      </c>
      <c r="S32" s="59">
        <f ca="1">AVERAGE(OFFSET($R$3,0,0,'Données projet'!$E$9+1,1))-AVERAGE(OFFSET($H$3,0,0,'Données projet'!$E$9+1,1))</f>
        <v>219.4022220248072</v>
      </c>
      <c r="T32" s="59">
        <f t="shared" si="34"/>
        <v>199.30065726913725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13.585989921017468</v>
      </c>
      <c r="AA32" s="21">
        <f>EXP(-LN(2)/25)*AA31+(1-EXP(-LN(2)/25))/(LN(2)/25)*Calculateur!V32*Calculateur!X32*VLOOKUP('Données projet'!$B$9,Paramètres!$A$1:$I$89,3,0)*0.475*44/12</f>
        <v>7.2975810589579897</v>
      </c>
      <c r="AB32" s="21">
        <f>EXP(-LN(2)/2)*AB31+(1-EXP(-LN(2)/2))/(LN(2)/2)*V32*Y32*VLOOKUP('Données projet'!$B$9,Paramètres!$A$1:$I$89,3,0)*0.475*44/12</f>
        <v>4.5916485098795903</v>
      </c>
      <c r="AC32" s="22">
        <f t="shared" si="3"/>
        <v>25.47521948985505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7</v>
      </c>
      <c r="AI32" s="13">
        <f>IF('Données projet'!$A$62&gt;35,AI31+AH32-AQ31,IF(A32&lt;'Données projet'!$A$62,$AF$205^A32,IF(A32='Données projet'!$A$62,'Données projet'!$B$62,AI31+AH32-AQ31)))</f>
        <v>90</v>
      </c>
      <c r="AJ32" s="13">
        <f>AI32*VLOOKUP('Données projet'!$B$10,Paramètres!$A$1:$I$89,3,0)*VLOOKUP('Données projet'!$B$10,Paramètres!$A$1:$I$89,5,0)</f>
        <v>81.432000000000002</v>
      </c>
      <c r="AK32" s="13">
        <f t="shared" si="35"/>
        <v>22.486953220240881</v>
      </c>
      <c r="AL32" s="20">
        <f t="shared" si="4"/>
        <v>180.99217685858619</v>
      </c>
      <c r="AM32" s="59">
        <f t="shared" si="5"/>
        <v>417.920074181362</v>
      </c>
      <c r="AN32" s="59">
        <f ca="1">AVERAGE(OFFSET($AM$3,0,0,'Données projet'!$E$10+1,1))-AVERAGE(OFFSET($H$3,0,0,'Données projet'!$E$10+1,1))</f>
        <v>406.64650428071837</v>
      </c>
      <c r="AO32" s="59">
        <f t="shared" si="36"/>
        <v>250.47702091764884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10.199999999999999</v>
      </c>
      <c r="BD32" s="12">
        <f>IF('Données projet'!$A$88&gt;35,BD31+BC32-BL31,IF(A32&lt;'Données projet'!$A$88,$BA$205^A32,IF(A32='Données projet'!$A$88,'Données projet'!$B$88,BD31+BC32-BL31)))</f>
        <v>152.79999999999995</v>
      </c>
      <c r="BE32" s="13">
        <f>BD32*VLOOKUP('Données projet'!$B$11,Paramètres!$A$1:$I$89,3,0)*VLOOKUP('Données projet'!$B$11,Paramètres!$A$1:$I$89,5,0)</f>
        <v>145.40447999999995</v>
      </c>
      <c r="BF32" s="13">
        <f t="shared" si="37"/>
        <v>37.532353491703653</v>
      </c>
      <c r="BG32" s="20">
        <f t="shared" si="7"/>
        <v>318.61498499805043</v>
      </c>
      <c r="BH32" s="59">
        <f t="shared" si="8"/>
        <v>555.54288232082627</v>
      </c>
      <c r="BI32" s="59">
        <f ca="1">AVERAGE(OFFSET($BH$3,0,0,'Données projet'!$E$11+1,1))-AVERAGE(OFFSET($H$3,0,0,'Données projet'!$E$11+1,1))</f>
        <v>387.78453964980849</v>
      </c>
      <c r="BJ32" s="59">
        <f t="shared" si="38"/>
        <v>395.13533152274488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3.1759975851351654</v>
      </c>
      <c r="BQ32" s="21">
        <f>EXP(-LN(2)/25)*BQ31+(1-EXP(-LN(2)/25))/(LN(2)/25)*Calculateur!BL32*Calculateur!BN32*VLOOKUP('Données projet'!$B$11,Paramètres!$A$1:$I$89,3,0)*0.475*44/12</f>
        <v>0.61296465082491403</v>
      </c>
      <c r="BR32" s="21">
        <f>EXP(-LN(2)/2)*BR31+(1-EXP(-LN(2)/2))/(LN(2)/2)*BL32*BO32*VLOOKUP('Données projet'!$B$11,Paramètres!$A$1:$I$89,3,0)*0.475*44/12</f>
        <v>0.51178032080493807</v>
      </c>
      <c r="BS32" s="22">
        <f t="shared" si="9"/>
        <v>4.3007425567650177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">
      <c r="A33" s="10">
        <f t="shared" si="31"/>
        <v>30</v>
      </c>
      <c r="B33" s="73">
        <f>'Scénario référence'!$B$16*5+'Scénario référence'!$B$17*0+'Scénario référence'!$B$18*5</f>
        <v>5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">
        <f t="shared" si="32"/>
        <v>0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18.333333333333332</v>
      </c>
      <c r="H33" s="67">
        <f t="shared" si="1"/>
        <v>183.33333333333334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 t="e">
        <f>VLOOKUP(A33,'Données projet'!$A$35:$I$55,2,0)</f>
        <v>#N/A</v>
      </c>
      <c r="L33" s="12" t="e">
        <f>VLOOKUP(A33,'Données projet'!$A$35:$I$55,9,0)</f>
        <v>#N/A</v>
      </c>
      <c r="M33" s="12">
        <f t="array" ref="M33">INDEX(L:L,MIN(IF(ISNUMBER(L33:L229),ROW(L33:L229),"")))</f>
        <v>11.166666666666666</v>
      </c>
      <c r="N33" s="13">
        <f>IF('Données projet'!$A$36&gt;35,N32+M33-V32,IF(A33&lt;'Données projet'!$A$36,$K$205^A33,IF(A33='Données projet'!$A$36,'Données projet'!$B$36,N32+M33-V32)))</f>
        <v>107.33333333333333</v>
      </c>
      <c r="O33" s="13">
        <f>N33*VLOOKUP('Données projet'!$B$9,Paramètres!$A$1:$I$89,3,0)*VLOOKUP('Données projet'!$B$9,Paramètres!$A$1:$I$89,5,0)</f>
        <v>64.185333333333332</v>
      </c>
      <c r="P33" s="13">
        <f t="shared" si="33"/>
        <v>18.222264180214211</v>
      </c>
      <c r="Q33" s="20">
        <f t="shared" si="2"/>
        <v>143.52656566942861</v>
      </c>
      <c r="R33" s="59">
        <f t="shared" si="0"/>
        <v>382.63399060247059</v>
      </c>
      <c r="S33" s="59">
        <f ca="1">AVERAGE(OFFSET($R$3,0,0,'Données projet'!$E$9+1,1))-AVERAGE(OFFSET($H$3,0,0,'Données projet'!$E$9+1,1))</f>
        <v>219.4022220248072</v>
      </c>
      <c r="T33" s="59">
        <f t="shared" si="34"/>
        <v>199.30065726913725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13.319576945301931</v>
      </c>
      <c r="AA33" s="21">
        <f>EXP(-LN(2)/25)*AA32+(1-EXP(-LN(2)/25))/(LN(2)/25)*Calculateur!V33*Calculateur!X33*VLOOKUP('Données projet'!$B$9,Paramètres!$A$1:$I$89,3,0)*0.475*44/12</f>
        <v>7.098028321137674</v>
      </c>
      <c r="AB33" s="21">
        <f>EXP(-LN(2)/2)*AB32+(1-EXP(-LN(2)/2))/(LN(2)/2)*V33*Y33*VLOOKUP('Données projet'!$B$9,Paramètres!$A$1:$I$89,3,0)*0.475*44/12</f>
        <v>3.2467857981609645</v>
      </c>
      <c r="AC33" s="22">
        <f t="shared" si="3"/>
        <v>23.664391064600569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97</v>
      </c>
      <c r="AG33" s="12">
        <f>VLOOKUP(A33,'Données projet'!$A$61:$I$81,9,0)</f>
        <v>7</v>
      </c>
      <c r="AH33" s="12">
        <f t="array" ref="AH33">INDEX(AG:AG,MIN(IF(ISNUMBER(AG33:AG229),ROW(AG33:AG229),"")))</f>
        <v>7</v>
      </c>
      <c r="AI33" s="13">
        <f>IF('Données projet'!$A$62&gt;35,AI32+AH33-AQ32,IF(A33&lt;'Données projet'!$A$62,$AF$205^A33,IF(A33='Données projet'!$A$62,'Données projet'!$B$62,AI32+AH33-AQ32)))</f>
        <v>97</v>
      </c>
      <c r="AJ33" s="13">
        <f>AI33*VLOOKUP('Données projet'!$B$10,Paramètres!$A$1:$I$89,3,0)*VLOOKUP('Données projet'!$B$10,Paramètres!$A$1:$I$89,5,0)</f>
        <v>87.765600000000006</v>
      </c>
      <c r="AK33" s="13">
        <f t="shared" si="35"/>
        <v>24.025555589247954</v>
      </c>
      <c r="AL33" s="20">
        <f t="shared" si="4"/>
        <v>194.7029293179402</v>
      </c>
      <c r="AM33" s="59">
        <f t="shared" si="5"/>
        <v>433.81035425098219</v>
      </c>
      <c r="AN33" s="59">
        <f ca="1">AVERAGE(OFFSET($AM$3,0,0,'Données projet'!$E$10+1,1))-AVERAGE(OFFSET($H$3,0,0,'Données projet'!$E$10+1,1))</f>
        <v>406.64650428071837</v>
      </c>
      <c r="AO33" s="59">
        <f t="shared" si="36"/>
        <v>250.47702091764884</v>
      </c>
      <c r="AP33" s="15">
        <f>IF(ISNA(VLOOKUP(A33,'Données projet'!$A$61:$I$81,3,0)),0,VLOOKUP(A33,'Données projet'!$A$61:$I$81,3,0))</f>
        <v>2</v>
      </c>
      <c r="AQ33" s="15">
        <f>IF(ISNA(VLOOKUP(A33,'Données projet'!$A$61:$I$81,4,0)),0,VLOOKUP(A33,'Données projet'!$A$61:$I$81,4,0))</f>
        <v>21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0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163</v>
      </c>
      <c r="BB33" s="12">
        <f>VLOOKUP(A33,'Données projet'!$A$87:$I$107,9,0)</f>
        <v>10.199999999999999</v>
      </c>
      <c r="BC33" s="12">
        <f t="array" ref="BC33">INDEX(BB:BB,MIN(IF(ISNUMBER(BB33:BB229),ROW(BB33:BB229),"")))</f>
        <v>10.199999999999999</v>
      </c>
      <c r="BD33" s="12">
        <f>IF('Données projet'!$A$88&gt;35,BD32+BC33-BL32,IF(A33&lt;'Données projet'!$A$88,$BA$205^A33,IF(A33='Données projet'!$A$88,'Données projet'!$B$88,BD32+BC33-BL32)))</f>
        <v>162.99999999999994</v>
      </c>
      <c r="BE33" s="13">
        <f>BD33*VLOOKUP('Données projet'!$B$11,Paramètres!$A$1:$I$89,3,0)*VLOOKUP('Données projet'!$B$11,Paramètres!$A$1:$I$89,5,0)</f>
        <v>155.11079999999995</v>
      </c>
      <c r="BF33" s="13">
        <f t="shared" si="37"/>
        <v>39.737758807484994</v>
      </c>
      <c r="BG33" s="20">
        <f t="shared" si="7"/>
        <v>339.36123992303629</v>
      </c>
      <c r="BH33" s="59">
        <f t="shared" si="8"/>
        <v>578.46866485607825</v>
      </c>
      <c r="BI33" s="59">
        <f ca="1">AVERAGE(OFFSET($BH$3,0,0,'Données projet'!$E$11+1,1))-AVERAGE(OFFSET($H$3,0,0,'Données projet'!$E$11+1,1))</f>
        <v>387.78453964980849</v>
      </c>
      <c r="BJ33" s="59">
        <f t="shared" si="38"/>
        <v>395.13533152274488</v>
      </c>
      <c r="BK33" s="15">
        <f>IF(ISNA(VLOOKUP(A33,'Données projet'!$A$87:$I$107,3,0)),0,VLOOKUP(A33,'Données projet'!$A$87:$I$107,3,0))</f>
        <v>4</v>
      </c>
      <c r="BL33" s="15">
        <f>IF(ISNA(VLOOKUP(A33,'Données projet'!$A$87:$I$107,4,0)),0,VLOOKUP(A33,'Données projet'!$A$87:$I$107,4,0))</f>
        <v>21</v>
      </c>
      <c r="BM33" s="16">
        <f>IF(ISNA(VLOOKUP(A33,'Données projet'!$A$87:$I$107,5,0)),0%,VLOOKUP(A33,'Données projet'!$A$87:$I$107,5,0)*VLOOKUP('Données projet'!$B$11,Paramètres!$A$1:$I$89,7,0))</f>
        <v>0.17200000000000001</v>
      </c>
      <c r="BN33" s="16">
        <f>IF(ISNA(VLOOKUP(A33,'Données projet'!$A$87:$I$107,6,0)),0%,VLOOKUP(A33,'Données projet'!$A$87:$I$107,6,0)*VLOOKUP('Données projet'!$B$11,Paramètres!$A$1:$I$89,7,0))</f>
        <v>3.44E-2</v>
      </c>
      <c r="BO33" s="16">
        <f>IF(ISNA(VLOOKUP(A33,'Données projet'!$A$87:$I$107,7,0)),0%,VLOOKUP(A33,'Données projet'!$A$87:$I$107,7,0))</f>
        <v>0.12</v>
      </c>
      <c r="BP33" s="21">
        <f>EXP(-LN(2)/35)*BP32+(1-EXP(-LN(2)/35))/(LN(2)/35)*BL33*BM33*VLOOKUP('Données projet'!$B$11,Paramètres!$A$1:$I$89,3,0)*0.475*44/12</f>
        <v>6.9134180044046749</v>
      </c>
      <c r="BQ33" s="21">
        <f>EXP(-LN(2)/25)*BQ32+(1-EXP(-LN(2)/25))/(LN(2)/25)*Calculateur!BL33*Calculateur!BN33*VLOOKUP('Données projet'!$B$11,Paramètres!$A$1:$I$89,3,0)*0.475*44/12</f>
        <v>1.35315088598484</v>
      </c>
      <c r="BR33" s="21">
        <f>EXP(-LN(2)/2)*BR32+(1-EXP(-LN(2)/2))/(LN(2)/2)*BL33*BO33*VLOOKUP('Données projet'!$B$11,Paramètres!$A$1:$I$89,3,0)*0.475*44/12</f>
        <v>2.6244910694039865</v>
      </c>
      <c r="BS33" s="22">
        <f t="shared" si="9"/>
        <v>10.891059959793502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">
      <c r="A34" s="10">
        <f t="shared" si="31"/>
        <v>31</v>
      </c>
      <c r="B34" s="73">
        <f>'Scénario référence'!$B$16*5+'Scénario référence'!$B$17*0+'Scénario référence'!$B$18*5</f>
        <v>5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">
        <f t="shared" si="32"/>
        <v>0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18.333333333333332</v>
      </c>
      <c r="H34" s="67">
        <f t="shared" si="1"/>
        <v>183.33333333333334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11.166666666666666</v>
      </c>
      <c r="N34" s="13">
        <f>IF('Données projet'!$A$36&gt;35,N33+M34-V33,IF(A34&lt;'Données projet'!$A$36,$K$205^A34,IF(A34='Données projet'!$A$36,'Données projet'!$B$36,N33+M34-V33)))</f>
        <v>118.5</v>
      </c>
      <c r="O34" s="13">
        <f>N34*VLOOKUP('Données projet'!$B$9,Paramètres!$A$1:$I$89,3,0)*VLOOKUP('Données projet'!$B$9,Paramètres!$A$1:$I$89,5,0)</f>
        <v>70.863000000000014</v>
      </c>
      <c r="P34" s="13">
        <f t="shared" si="33"/>
        <v>19.887617813550754</v>
      </c>
      <c r="Q34" s="20">
        <f t="shared" si="2"/>
        <v>158.0573260252676</v>
      </c>
      <c r="R34" s="59">
        <f t="shared" si="0"/>
        <v>398.10544923808516</v>
      </c>
      <c r="S34" s="59">
        <f ca="1">AVERAGE(OFFSET($R$3,0,0,'Données projet'!$E$9+1,1))-AVERAGE(OFFSET($H$3,0,0,'Données projet'!$E$9+1,1))</f>
        <v>219.4022220248072</v>
      </c>
      <c r="T34" s="59">
        <f t="shared" si="34"/>
        <v>199.30065726913725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13.058388165544304</v>
      </c>
      <c r="AA34" s="21">
        <f>EXP(-LN(2)/25)*AA33+(1-EXP(-LN(2)/25))/(LN(2)/25)*Calculateur!V34*Calculateur!X34*VLOOKUP('Données projet'!$B$9,Paramètres!$A$1:$I$89,3,0)*0.475*44/12</f>
        <v>6.9039323634270779</v>
      </c>
      <c r="AB34" s="21">
        <f>EXP(-LN(2)/2)*AB33+(1-EXP(-LN(2)/2))/(LN(2)/2)*V34*Y34*VLOOKUP('Données projet'!$B$9,Paramètres!$A$1:$I$89,3,0)*0.475*44/12</f>
        <v>2.2958242549397951</v>
      </c>
      <c r="AC34" s="22">
        <f t="shared" si="3"/>
        <v>22.258144783911177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8</v>
      </c>
      <c r="AI34" s="13">
        <f>IF('Données projet'!$A$62&gt;35,AI33+AH34-AQ33,IF(A34&lt;'Données projet'!$A$62,$AF$205^A34,IF(A34='Données projet'!$A$62,'Données projet'!$B$62,AI33+AH34-AQ33)))</f>
        <v>84</v>
      </c>
      <c r="AJ34" s="13">
        <f>AI34*VLOOKUP('Données projet'!$B$10,Paramètres!$A$1:$I$89,3,0)*VLOOKUP('Données projet'!$B$10,Paramètres!$A$1:$I$89,5,0)</f>
        <v>76.003200000000007</v>
      </c>
      <c r="AK34" s="13">
        <f t="shared" si="35"/>
        <v>21.157049992000456</v>
      </c>
      <c r="AL34" s="20">
        <f t="shared" si="4"/>
        <v>169.22076873606747</v>
      </c>
      <c r="AM34" s="59">
        <f t="shared" si="5"/>
        <v>409.26889194888503</v>
      </c>
      <c r="AN34" s="59">
        <f ca="1">AVERAGE(OFFSET($AM$3,0,0,'Données projet'!$E$10+1,1))-AVERAGE(OFFSET($H$3,0,0,'Données projet'!$E$10+1,1))</f>
        <v>406.64650428071837</v>
      </c>
      <c r="AO34" s="59">
        <f t="shared" si="36"/>
        <v>250.47702091764884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0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10</v>
      </c>
      <c r="BD34" s="12">
        <f>IF('Données projet'!$A$88&gt;35,BD33+BC34-BL33,IF(A34&lt;'Données projet'!$A$88,$BA$205^A34,IF(A34='Données projet'!$A$88,'Données projet'!$B$88,BD33+BC34-BL33)))</f>
        <v>151.99999999999994</v>
      </c>
      <c r="BE34" s="13">
        <f>BD34*VLOOKUP('Données projet'!$B$11,Paramètres!$A$1:$I$89,3,0)*VLOOKUP('Données projet'!$B$11,Paramètres!$A$1:$I$89,5,0)</f>
        <v>144.64319999999995</v>
      </c>
      <c r="BF34" s="13">
        <f t="shared" si="37"/>
        <v>37.358669132367886</v>
      </c>
      <c r="BG34" s="20">
        <f t="shared" si="7"/>
        <v>316.98658873887399</v>
      </c>
      <c r="BH34" s="59">
        <f t="shared" si="8"/>
        <v>557.03471195169152</v>
      </c>
      <c r="BI34" s="59">
        <f ca="1">AVERAGE(OFFSET($BH$3,0,0,'Données projet'!$E$11+1,1))-AVERAGE(OFFSET($H$3,0,0,'Données projet'!$E$11+1,1))</f>
        <v>387.78453964980849</v>
      </c>
      <c r="BJ34" s="59">
        <f t="shared" si="38"/>
        <v>395.13533152274488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6.7778500941069106</v>
      </c>
      <c r="BQ34" s="21">
        <f>EXP(-LN(2)/25)*BQ33+(1-EXP(-LN(2)/25))/(LN(2)/25)*Calculateur!BL34*Calculateur!BN34*VLOOKUP('Données projet'!$B$11,Paramètres!$A$1:$I$89,3,0)*0.475*44/12</f>
        <v>1.3161489038484722</v>
      </c>
      <c r="BR34" s="21">
        <f>EXP(-LN(2)/2)*BR33+(1-EXP(-LN(2)/2))/(LN(2)/2)*BL34*BO34*VLOOKUP('Données projet'!$B$11,Paramètres!$A$1:$I$89,3,0)*0.475*44/12</f>
        <v>1.8557954323390928</v>
      </c>
      <c r="BS34" s="22">
        <f t="shared" si="9"/>
        <v>9.9497944302944763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">
      <c r="A35" s="10">
        <f t="shared" si="31"/>
        <v>32</v>
      </c>
      <c r="B35" s="73">
        <f>'Scénario référence'!$B$16*5+'Scénario référence'!$B$17*0+'Scénario référence'!$B$18*5</f>
        <v>5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">
        <f t="shared" si="32"/>
        <v>0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18.333333333333332</v>
      </c>
      <c r="H35" s="67">
        <f t="shared" si="1"/>
        <v>183.33333333333334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11.166666666666666</v>
      </c>
      <c r="N35" s="13">
        <f>IF('Données projet'!$A$36&gt;35,N34+M35-V34,IF(A35&lt;'Données projet'!$A$36,$K$205^A35,IF(A35='Données projet'!$A$36,'Données projet'!$B$36,N34+M35-V34)))</f>
        <v>129.66666666666666</v>
      </c>
      <c r="O35" s="13">
        <f>N35*VLOOKUP('Données projet'!$B$9,Paramètres!$A$1:$I$89,3,0)*VLOOKUP('Données projet'!$B$9,Paramètres!$A$1:$I$89,5,0)</f>
        <v>77.540666666666667</v>
      </c>
      <c r="P35" s="13">
        <f t="shared" si="33"/>
        <v>21.534775971057272</v>
      </c>
      <c r="Q35" s="20">
        <f t="shared" ref="Q35:Q66" si="53">(O35+P35)*0.475*44/12</f>
        <v>172.55639592736918</v>
      </c>
      <c r="R35" s="59">
        <f t="shared" si="0"/>
        <v>413.52889840789453</v>
      </c>
      <c r="S35" s="59">
        <f ca="1">AVERAGE(OFFSET($R$3,0,0,'Données projet'!$E$9+1,1))-AVERAGE(OFFSET($H$3,0,0,'Données projet'!$E$9+1,1))</f>
        <v>219.4022220248072</v>
      </c>
      <c r="T35" s="59">
        <f t="shared" si="34"/>
        <v>199.30065726913725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12.802321138448299</v>
      </c>
      <c r="AA35" s="21">
        <f>EXP(-LN(2)/25)*AA34+(1-EXP(-LN(2)/25))/(LN(2)/25)*Calculateur!V35*Calculateur!X35*VLOOKUP('Données projet'!$B$9,Paramètres!$A$1:$I$89,3,0)*0.475*44/12</f>
        <v>6.7151439698871407</v>
      </c>
      <c r="AB35" s="21">
        <f>EXP(-LN(2)/2)*AB34+(1-EXP(-LN(2)/2))/(LN(2)/2)*V35*Y35*VLOOKUP('Données projet'!$B$9,Paramètres!$A$1:$I$89,3,0)*0.475*44/12</f>
        <v>1.6233928990804822</v>
      </c>
      <c r="AC35" s="22">
        <f t="shared" si="3"/>
        <v>21.140858007415922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8</v>
      </c>
      <c r="AI35" s="13">
        <f>IF('Données projet'!$A$62&gt;35,AI34+AH35-AQ34,IF(A35&lt;'Données projet'!$A$62,$AF$205^A35,IF(A35='Données projet'!$A$62,'Données projet'!$B$62,AI34+AH35-AQ34)))</f>
        <v>92</v>
      </c>
      <c r="AJ35" s="13">
        <f>AI35*VLOOKUP('Données projet'!$B$10,Paramètres!$A$1:$I$89,3,0)*VLOOKUP('Données projet'!$B$10,Paramètres!$A$1:$I$89,5,0)</f>
        <v>83.241600000000005</v>
      </c>
      <c r="AK35" s="13">
        <f t="shared" si="35"/>
        <v>22.927930643846508</v>
      </c>
      <c r="AL35" s="20">
        <f t="shared" si="4"/>
        <v>184.91193253803269</v>
      </c>
      <c r="AM35" s="59">
        <f t="shared" si="5"/>
        <v>425.88443501855801</v>
      </c>
      <c r="AN35" s="59">
        <f ca="1">AVERAGE(OFFSET($AM$3,0,0,'Données projet'!$E$10+1,1))-AVERAGE(OFFSET($H$3,0,0,'Données projet'!$E$10+1,1))</f>
        <v>406.64650428071837</v>
      </c>
      <c r="AO35" s="59">
        <f t="shared" si="36"/>
        <v>250.47702091764884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0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10</v>
      </c>
      <c r="BD35" s="12">
        <f>IF('Données projet'!$A$88&gt;35,BD34+BC35-BL34,IF(A35&lt;'Données projet'!$A$88,$BA$205^A35,IF(A35='Données projet'!$A$88,'Données projet'!$B$88,BD34+BC35-BL34)))</f>
        <v>161.99999999999994</v>
      </c>
      <c r="BE35" s="13">
        <f>BD35*VLOOKUP('Données projet'!$B$11,Paramètres!$A$1:$I$89,3,0)*VLOOKUP('Données projet'!$B$11,Paramètres!$A$1:$I$89,5,0)</f>
        <v>154.15919999999994</v>
      </c>
      <c r="BF35" s="13">
        <f t="shared" si="37"/>
        <v>39.522268933730984</v>
      </c>
      <c r="BG35" s="20">
        <f t="shared" si="7"/>
        <v>337.32855839291466</v>
      </c>
      <c r="BH35" s="59">
        <f t="shared" si="8"/>
        <v>578.30106087343995</v>
      </c>
      <c r="BI35" s="59">
        <f ca="1">AVERAGE(OFFSET($BH$3,0,0,'Données projet'!$E$11+1,1))-AVERAGE(OFFSET($H$3,0,0,'Données projet'!$E$11+1,1))</f>
        <v>387.78453964980849</v>
      </c>
      <c r="BJ35" s="59">
        <f t="shared" si="38"/>
        <v>395.13533152274488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6.6449405878418251</v>
      </c>
      <c r="BQ35" s="21">
        <f>EXP(-LN(2)/25)*BQ34+(1-EXP(-LN(2)/25))/(LN(2)/25)*Calculateur!BL35*Calculateur!BN35*VLOOKUP('Données projet'!$B$11,Paramètres!$A$1:$I$89,3,0)*0.475*44/12</f>
        <v>1.280158742859473</v>
      </c>
      <c r="BR35" s="21">
        <f>EXP(-LN(2)/2)*BR34+(1-EXP(-LN(2)/2))/(LN(2)/2)*BL35*BO35*VLOOKUP('Données projet'!$B$11,Paramètres!$A$1:$I$89,3,0)*0.475*44/12</f>
        <v>1.3122455347019935</v>
      </c>
      <c r="BS35" s="22">
        <f t="shared" si="9"/>
        <v>9.2373448654032906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">
      <c r="A36" s="10">
        <f t="shared" si="31"/>
        <v>33</v>
      </c>
      <c r="B36" s="73">
        <f>'Scénario référence'!$B$16*5+'Scénario référence'!$B$17*0+'Scénario référence'!$B$18*5</f>
        <v>5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">
        <f t="shared" si="32"/>
        <v>0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18.333333333333332</v>
      </c>
      <c r="H36" s="67">
        <f t="shared" si="1"/>
        <v>183.33333333333334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11.166666666666666</v>
      </c>
      <c r="N36" s="13">
        <f>IF('Données projet'!$A$36&gt;35,N35+M36-V35,IF(A36&lt;'Données projet'!$A$36,$K$205^A36,IF(A36='Données projet'!$A$36,'Données projet'!$B$36,N35+M36-V35)))</f>
        <v>140.83333333333331</v>
      </c>
      <c r="O36" s="13">
        <f>N36*VLOOKUP('Données projet'!$B$9,Paramètres!$A$1:$I$89,3,0)*VLOOKUP('Données projet'!$B$9,Paramètres!$A$1:$I$89,5,0)</f>
        <v>84.218333333333334</v>
      </c>
      <c r="P36" s="13">
        <f t="shared" si="33"/>
        <v>23.165483776806131</v>
      </c>
      <c r="Q36" s="20">
        <f t="shared" si="53"/>
        <v>187.02681480015954</v>
      </c>
      <c r="R36" s="59">
        <f t="shared" si="0"/>
        <v>428.90766063470028</v>
      </c>
      <c r="S36" s="59">
        <f ca="1">AVERAGE(OFFSET($R$3,0,0,'Données projet'!$E$9+1,1))-AVERAGE(OFFSET($H$3,0,0,'Données projet'!$E$9+1,1))</f>
        <v>219.4022220248072</v>
      </c>
      <c r="T36" s="59">
        <f t="shared" si="34"/>
        <v>199.30065726913725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12.551275429568182</v>
      </c>
      <c r="AA36" s="21">
        <f>EXP(-LN(2)/25)*AA35+(1-EXP(-LN(2)/25))/(LN(2)/25)*Calculateur!V36*Calculateur!X36*VLOOKUP('Données projet'!$B$9,Paramètres!$A$1:$I$89,3,0)*0.475*44/12</f>
        <v>6.5315180048965029</v>
      </c>
      <c r="AB36" s="21">
        <f>EXP(-LN(2)/2)*AB35+(1-EXP(-LN(2)/2))/(LN(2)/2)*V36*Y36*VLOOKUP('Données projet'!$B$9,Paramètres!$A$1:$I$89,3,0)*0.475*44/12</f>
        <v>1.1479121274698976</v>
      </c>
      <c r="AC36" s="22">
        <f t="shared" si="3"/>
        <v>20.230705561934581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8</v>
      </c>
      <c r="AI36" s="13">
        <f>IF('Données projet'!$A$62&gt;35,AI35+AH36-AQ35,IF(A36&lt;'Données projet'!$A$62,$AF$205^A36,IF(A36='Données projet'!$A$62,'Données projet'!$B$62,AI35+AH36-AQ35)))</f>
        <v>100</v>
      </c>
      <c r="AJ36" s="13">
        <f>AI36*VLOOKUP('Données projet'!$B$10,Paramètres!$A$1:$I$89,3,0)*VLOOKUP('Données projet'!$B$10,Paramètres!$A$1:$I$89,5,0)</f>
        <v>90.47999999999999</v>
      </c>
      <c r="AK36" s="13">
        <f t="shared" si="35"/>
        <v>24.680953573367994</v>
      </c>
      <c r="AL36" s="20">
        <f t="shared" si="4"/>
        <v>200.57199414028256</v>
      </c>
      <c r="AM36" s="59">
        <f t="shared" si="5"/>
        <v>442.45283997482329</v>
      </c>
      <c r="AN36" s="59">
        <f ca="1">AVERAGE(OFFSET($AM$3,0,0,'Données projet'!$E$10+1,1))-AVERAGE(OFFSET($H$3,0,0,'Données projet'!$E$10+1,1))</f>
        <v>406.64650428071837</v>
      </c>
      <c r="AO36" s="59">
        <f t="shared" si="36"/>
        <v>250.47702091764884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0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10</v>
      </c>
      <c r="BD36" s="12">
        <f>IF('Données projet'!$A$88&gt;35,BD35+BC36-BL35,IF(A36&lt;'Données projet'!$A$88,$BA$205^A36,IF(A36='Données projet'!$A$88,'Données projet'!$B$88,BD35+BC36-BL35)))</f>
        <v>171.99999999999994</v>
      </c>
      <c r="BE36" s="13">
        <f>BD36*VLOOKUP('Données projet'!$B$11,Paramètres!$A$1:$I$89,3,0)*VLOOKUP('Données projet'!$B$11,Paramètres!$A$1:$I$89,5,0)</f>
        <v>163.67519999999993</v>
      </c>
      <c r="BF36" s="13">
        <f t="shared" si="37"/>
        <v>41.670368197291587</v>
      </c>
      <c r="BG36" s="20">
        <f t="shared" si="7"/>
        <v>357.64353127694943</v>
      </c>
      <c r="BH36" s="59">
        <f t="shared" si="8"/>
        <v>599.52437711149014</v>
      </c>
      <c r="BI36" s="59">
        <f ca="1">AVERAGE(OFFSET($BH$3,0,0,'Données projet'!$E$11+1,1))-AVERAGE(OFFSET($H$3,0,0,'Données projet'!$E$11+1,1))</f>
        <v>387.78453964980849</v>
      </c>
      <c r="BJ36" s="59">
        <f t="shared" si="38"/>
        <v>395.13533152274488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6.5146373559278032</v>
      </c>
      <c r="BQ36" s="21">
        <f>EXP(-LN(2)/25)*BQ35+(1-EXP(-LN(2)/25))/(LN(2)/25)*Calculateur!BL36*Calculateur!BN36*VLOOKUP('Données projet'!$B$11,Paramètres!$A$1:$I$89,3,0)*0.475*44/12</f>
        <v>1.2451527347153581</v>
      </c>
      <c r="BR36" s="21">
        <f>EXP(-LN(2)/2)*BR35+(1-EXP(-LN(2)/2))/(LN(2)/2)*BL36*BO36*VLOOKUP('Données projet'!$B$11,Paramètres!$A$1:$I$89,3,0)*0.475*44/12</f>
        <v>0.92789771616954664</v>
      </c>
      <c r="BS36" s="22">
        <f t="shared" si="9"/>
        <v>8.6876878068127077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">
      <c r="A37" s="10">
        <f t="shared" si="31"/>
        <v>34</v>
      </c>
      <c r="B37" s="73">
        <f>'Scénario référence'!$B$16*5+'Scénario référence'!$B$17*0+'Scénario référence'!$B$18*5</f>
        <v>5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">
        <f t="shared" si="32"/>
        <v>0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18.333333333333332</v>
      </c>
      <c r="H37" s="67">
        <f t="shared" si="1"/>
        <v>183.33333333333334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>
        <f>VLOOKUP(A37,'Données projet'!$A$35:$I$55,2,0)</f>
        <v>152</v>
      </c>
      <c r="L37" s="12">
        <f>VLOOKUP(A37,'Données projet'!$A$35:$I$55,9,0)</f>
        <v>11.166666666666666</v>
      </c>
      <c r="M37" s="12">
        <f t="array" ref="M37">INDEX(L:L,MIN(IF(ISNUMBER(L37:L233),ROW(L37:L233),"")))</f>
        <v>11.166666666666666</v>
      </c>
      <c r="N37" s="13">
        <f>IF('Données projet'!$A$36&gt;35,N36+M37-V36,IF(A37&lt;'Données projet'!$A$36,$K$205^A37,IF(A37='Données projet'!$A$36,'Données projet'!$B$36,N36+M37-V36)))</f>
        <v>151.99999999999997</v>
      </c>
      <c r="O37" s="13">
        <f>N37*VLOOKUP('Données projet'!$B$9,Paramètres!$A$1:$I$89,3,0)*VLOOKUP('Données projet'!$B$9,Paramètres!$A$1:$I$89,5,0)</f>
        <v>90.895999999999987</v>
      </c>
      <c r="P37" s="13">
        <f t="shared" si="33"/>
        <v>24.781193872187952</v>
      </c>
      <c r="Q37" s="20">
        <f t="shared" si="53"/>
        <v>201.4711126607273</v>
      </c>
      <c r="R37" s="59">
        <f t="shared" si="0"/>
        <v>444.24454412284285</v>
      </c>
      <c r="S37" s="59">
        <f ca="1">AVERAGE(OFFSET($R$3,0,0,'Données projet'!$E$9+1,1))-AVERAGE(OFFSET($H$3,0,0,'Données projet'!$E$9+1,1))</f>
        <v>219.4022220248072</v>
      </c>
      <c r="T37" s="59">
        <f t="shared" si="34"/>
        <v>199.30065726913725</v>
      </c>
      <c r="U37" s="15">
        <f>IF(ISNA(VLOOKUP(A37,'Données projet'!$A$35:$I$55,3,0)),0,VLOOKUP(A37,'Données projet'!$A$35:$I$55,3,0))</f>
        <v>5</v>
      </c>
      <c r="V37" s="15">
        <f>IF(ISNA(VLOOKUP(A37,'Données projet'!$A$35:$I$55,4,0)),0,VLOOKUP(A37,'Données projet'!$A$35:$I$55,4,0))</f>
        <v>46</v>
      </c>
      <c r="W37" s="16">
        <f>IF(ISNA(VLOOKUP(A37,'Données projet'!$A$35:$I$55,5,0)),0%,VLOOKUP(A37,'Données projet'!$A$35:$I$55,5,0)*VLOOKUP('Données projet'!$B$9,Paramètres!$A$1:$I$89,7,0))</f>
        <v>0.315</v>
      </c>
      <c r="X37" s="16">
        <f>IF(ISNA(VLOOKUP(A37,'Données projet'!$A$35:$I$55,6,0)),0%,VLOOKUP(A37,'Données projet'!$A$35:$I$55,6,0)*VLOOKUP('Données projet'!$B$9,Paramètres!$A$1:$I$89,7,0))</f>
        <v>5.3999999999999999E-2</v>
      </c>
      <c r="Y37" s="16">
        <f>IF(ISNA(VLOOKUP(A37,'Données projet'!$A$35:$I$55,7,0)),0%,VLOOKUP(A37,'Données projet'!$A$35:$I$55,7,0))</f>
        <v>0.18</v>
      </c>
      <c r="Z37" s="21">
        <f>EXP(-LN(2)/35)*Z36+(1-EXP(-LN(2)/35))/(LN(2)/35)*V37*W37*VLOOKUP('Données projet'!$B$9,Paramètres!$A$1:$I$89,3,0)*0.475*44/12</f>
        <v>23.799860111589169</v>
      </c>
      <c r="AA37" s="21">
        <f>EXP(-LN(2)/25)*AA36+(1-EXP(-LN(2)/25))/(LN(2)/25)*Calculateur!V37*Calculateur!X37*VLOOKUP('Données projet'!$B$9,Paramètres!$A$1:$I$89,3,0)*0.475*44/12</f>
        <v>8.3156759005927121</v>
      </c>
      <c r="AB37" s="21">
        <f>EXP(-LN(2)/2)*AB36+(1-EXP(-LN(2)/2))/(LN(2)/2)*V37*Y37*VLOOKUP('Données projet'!$B$9,Paramètres!$A$1:$I$89,3,0)*0.475*44/12</f>
        <v>6.4178767368046854</v>
      </c>
      <c r="AC37" s="22">
        <f t="shared" si="3"/>
        <v>38.533412748986564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8</v>
      </c>
      <c r="AI37" s="13">
        <f>IF('Données projet'!$A$62&gt;35,AI36+AH37-AQ36,IF(A37&lt;'Données projet'!$A$62,$AF$205^A37,IF(A37='Données projet'!$A$62,'Données projet'!$B$62,AI36+AH37-AQ36)))</f>
        <v>108</v>
      </c>
      <c r="AJ37" s="13">
        <f>AI37*VLOOKUP('Données projet'!$B$10,Paramètres!$A$1:$I$89,3,0)*VLOOKUP('Données projet'!$B$10,Paramètres!$A$1:$I$89,5,0)</f>
        <v>97.718399999999988</v>
      </c>
      <c r="AK37" s="13">
        <f t="shared" si="35"/>
        <v>26.417709819192194</v>
      </c>
      <c r="AL37" s="20">
        <f t="shared" si="4"/>
        <v>216.20372460175972</v>
      </c>
      <c r="AM37" s="59">
        <f t="shared" si="5"/>
        <v>458.97715606387533</v>
      </c>
      <c r="AN37" s="59">
        <f ca="1">AVERAGE(OFFSET($AM$3,0,0,'Données projet'!$E$10+1,1))-AVERAGE(OFFSET($H$3,0,0,'Données projet'!$E$10+1,1))</f>
        <v>406.64650428071837</v>
      </c>
      <c r="AO37" s="59">
        <f t="shared" si="36"/>
        <v>250.47702091764884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0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10</v>
      </c>
      <c r="BD37" s="12">
        <f>IF('Données projet'!$A$88&gt;35,BD36+BC37-BL36,IF(A37&lt;'Données projet'!$A$88,$BA$205^A37,IF(A37='Données projet'!$A$88,'Données projet'!$B$88,BD36+BC37-BL36)))</f>
        <v>181.99999999999994</v>
      </c>
      <c r="BE37" s="13">
        <f>BD37*VLOOKUP('Données projet'!$B$11,Paramètres!$A$1:$I$89,3,0)*VLOOKUP('Données projet'!$B$11,Paramètres!$A$1:$I$89,5,0)</f>
        <v>173.19119999999995</v>
      </c>
      <c r="BF37" s="13">
        <f t="shared" si="37"/>
        <v>43.803970782681198</v>
      </c>
      <c r="BG37" s="20">
        <f t="shared" si="7"/>
        <v>377.93325577983637</v>
      </c>
      <c r="BH37" s="59">
        <f t="shared" si="8"/>
        <v>620.70668724195195</v>
      </c>
      <c r="BI37" s="59">
        <f ca="1">AVERAGE(OFFSET($BH$3,0,0,'Données projet'!$E$11+1,1))-AVERAGE(OFFSET($H$3,0,0,'Données projet'!$E$11+1,1))</f>
        <v>387.78453964980849</v>
      </c>
      <c r="BJ37" s="59">
        <f t="shared" si="38"/>
        <v>395.13533152274488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6.3868892909144916</v>
      </c>
      <c r="BQ37" s="21">
        <f>EXP(-LN(2)/25)*BQ36+(1-EXP(-LN(2)/25))/(LN(2)/25)*Calculateur!BL37*Calculateur!BN37*VLOOKUP('Données projet'!$B$11,Paramètres!$A$1:$I$89,3,0)*0.475*44/12</f>
        <v>1.2111039677048301</v>
      </c>
      <c r="BR37" s="21">
        <f>EXP(-LN(2)/2)*BR36+(1-EXP(-LN(2)/2))/(LN(2)/2)*BL37*BO37*VLOOKUP('Données projet'!$B$11,Paramètres!$A$1:$I$89,3,0)*0.475*44/12</f>
        <v>0.65612276735099684</v>
      </c>
      <c r="BS37" s="22">
        <f t="shared" si="9"/>
        <v>8.254116025970319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">
      <c r="A38" s="10">
        <f t="shared" si="31"/>
        <v>35</v>
      </c>
      <c r="B38" s="73">
        <f>'Scénario référence'!$B$16*5+'Scénario référence'!$B$17*0+'Scénario référence'!$B$18*5</f>
        <v>5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">
        <f t="shared" si="32"/>
        <v>0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18.333333333333332</v>
      </c>
      <c r="H38" s="67">
        <f t="shared" si="1"/>
        <v>183.33333333333334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14.5</v>
      </c>
      <c r="N38" s="13">
        <f>IF('Données projet'!$A$36&gt;35,N37+M38-V37,IF(A38&lt;'Données projet'!$A$36,$K$205^A38,IF(A38='Données projet'!$A$36,'Données projet'!$B$36,N37+M38-V37)))</f>
        <v>120.49999999999997</v>
      </c>
      <c r="O38" s="13">
        <f>N38*VLOOKUP('Données projet'!$B$9,Paramètres!$A$1:$I$89,3,0)*VLOOKUP('Données projet'!$B$9,Paramètres!$A$1:$I$89,5,0)</f>
        <v>72.058999999999997</v>
      </c>
      <c r="P38" s="13">
        <f t="shared" si="33"/>
        <v>20.183913936273161</v>
      </c>
      <c r="Q38" s="20">
        <f t="shared" si="53"/>
        <v>160.65640843900908</v>
      </c>
      <c r="R38" s="59">
        <f t="shared" si="0"/>
        <v>404.30694116358359</v>
      </c>
      <c r="S38" s="59">
        <f ca="1">AVERAGE(OFFSET($R$3,0,0,'Données projet'!$E$9+1,1))-AVERAGE(OFFSET($H$3,0,0,'Données projet'!$E$9+1,1))</f>
        <v>219.4022220248072</v>
      </c>
      <c r="T38" s="59">
        <f t="shared" si="34"/>
        <v>199.30065726913725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23.333159371282189</v>
      </c>
      <c r="AA38" s="21">
        <f>EXP(-LN(2)/25)*AA37+(1-EXP(-LN(2)/25))/(LN(2)/25)*Calculateur!V38*Calculateur!X38*VLOOKUP('Données projet'!$B$9,Paramètres!$A$1:$I$89,3,0)*0.475*44/12</f>
        <v>8.0882833057886145</v>
      </c>
      <c r="AB38" s="21">
        <f>EXP(-LN(2)/2)*AB37+(1-EXP(-LN(2)/2))/(LN(2)/2)*V38*Y38*VLOOKUP('Données projet'!$B$9,Paramètres!$A$1:$I$89,3,0)*0.475*44/12</f>
        <v>4.5381241614139842</v>
      </c>
      <c r="AC38" s="22">
        <f t="shared" si="3"/>
        <v>35.95956683848479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>
        <f>VLOOKUP(A38,'Données projet'!$A$61:$I$81,2,0)</f>
        <v>116</v>
      </c>
      <c r="AG38" s="12">
        <f>VLOOKUP(A38,'Données projet'!$A$61:$I$81,9,0)</f>
        <v>8</v>
      </c>
      <c r="AH38" s="12">
        <f t="array" ref="AH38">INDEX(AG:AG,MIN(IF(ISNUMBER(AG38:AG234),ROW(AG38:AG234),"")))</f>
        <v>8</v>
      </c>
      <c r="AI38" s="13">
        <f>IF('Données projet'!$A$62&gt;35,AI37+AH38-AQ37,IF(A38&lt;'Données projet'!$A$62,$AF$205^A38,IF(A38='Données projet'!$A$62,'Données projet'!$B$62,AI37+AH38-AQ37)))</f>
        <v>116</v>
      </c>
      <c r="AJ38" s="13">
        <f>AI38*VLOOKUP('Données projet'!$B$10,Paramètres!$A$1:$I$89,3,0)*VLOOKUP('Données projet'!$B$10,Paramètres!$A$1:$I$89,5,0)</f>
        <v>104.9568</v>
      </c>
      <c r="AK38" s="13">
        <f t="shared" si="35"/>
        <v>28.139541339232373</v>
      </c>
      <c r="AL38" s="20">
        <f t="shared" si="4"/>
        <v>231.8094611658297</v>
      </c>
      <c r="AM38" s="59">
        <f t="shared" si="5"/>
        <v>475.45999389040423</v>
      </c>
      <c r="AN38" s="59">
        <f ca="1">AVERAGE(OFFSET($AM$3,0,0,'Données projet'!$E$10+1,1))-AVERAGE(OFFSET($H$3,0,0,'Données projet'!$E$10+1,1))</f>
        <v>406.64650428071837</v>
      </c>
      <c r="AO38" s="59">
        <f t="shared" si="36"/>
        <v>250.47702091764884</v>
      </c>
      <c r="AP38" s="15">
        <f>IF(ISNA(VLOOKUP(A38,'Données projet'!$A$61:$I$81,3,0)),0,VLOOKUP(A38,'Données projet'!$A$61:$I$81,3,0))</f>
        <v>3</v>
      </c>
      <c r="AQ38" s="15">
        <f>IF(ISNA(VLOOKUP(A38,'Données projet'!$A$61:$I$81,4,0)),0,VLOOKUP(A38,'Données projet'!$A$61:$I$81,4,0))</f>
        <v>21</v>
      </c>
      <c r="AR38" s="16">
        <f>IF(ISNA(VLOOKUP(A38,'Données projet'!$A$61:$I$81,5,0)),0%,VLOOKUP(A38,'Données projet'!$A$61:$I$81,5,0)*VLOOKUP('Données projet'!$B$10,Paramètres!$A$1:$I$89,7,0))</f>
        <v>0.17200000000000001</v>
      </c>
      <c r="AS38" s="16">
        <f>IF(ISNA(VLOOKUP(A38,'Données projet'!$A$61:$I$81,6,0)),0%,VLOOKUP(A38,'Données projet'!$A$61:$I$81,6,0)*VLOOKUP('Données projet'!$B$10,Paramètres!$A$1:$I$89,7,0))</f>
        <v>3.44E-2</v>
      </c>
      <c r="AT38" s="16">
        <f>IF(ISNA(VLOOKUP(A38,'Données projet'!$A$61:$I$81,7,0)),0%,VLOOKUP(A38,'Données projet'!$A$61:$I$81,7,0))</f>
        <v>0.12</v>
      </c>
      <c r="AU38" s="21">
        <f>EXP(-LN(2)/35)*AU37+(1-EXP(-LN(2)/35))/(LN(2)/35)*AQ38*AR38*VLOOKUP('Données projet'!$B$10,Paramètres!$A$1:$I$89,3,0)*0.475*44/12</f>
        <v>3.6128293130379046</v>
      </c>
      <c r="AV38" s="21">
        <f>EXP(-LN(2)/25)*AV37+(1-EXP(-LN(2)/25))/(LN(2)/25)*Calculateur!AQ38*Calculateur!AS38*VLOOKUP('Données projet'!$B$10,Paramètres!$A$1:$I$89,3,0)*0.475*44/12</f>
        <v>0.71972084548731663</v>
      </c>
      <c r="AW38" s="21">
        <f>EXP(-LN(2)/2)*AW37+(1-EXP(-LN(2)/2))/(LN(2)/2)*AQ38*AT38*VLOOKUP('Données projet'!$B$10,Paramètres!$A$1:$I$89,3,0)*0.475*44/12</f>
        <v>2.1513319438840868</v>
      </c>
      <c r="AX38" s="21">
        <f t="shared" si="6"/>
        <v>6.4838821024093072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>
        <f>VLOOKUP(A38,'Données projet'!$A$87:$I$107,2,0)</f>
        <v>192</v>
      </c>
      <c r="BB38" s="12">
        <f>VLOOKUP(A38,'Données projet'!$A$87:$I$107,9,0)</f>
        <v>10</v>
      </c>
      <c r="BC38" s="12">
        <f t="array" ref="BC38">INDEX(BB:BB,MIN(IF(ISNUMBER(BB38:BB234),ROW(BB38:BB234),"")))</f>
        <v>10</v>
      </c>
      <c r="BD38" s="12">
        <f>IF('Données projet'!$A$88&gt;35,BD37+BC38-BL37,IF(A38&lt;'Données projet'!$A$88,$BA$205^A38,IF(A38='Données projet'!$A$88,'Données projet'!$B$88,BD37+BC38-BL37)))</f>
        <v>191.99999999999994</v>
      </c>
      <c r="BE38" s="13">
        <f>BD38*VLOOKUP('Données projet'!$B$11,Paramètres!$A$1:$I$89,3,0)*VLOOKUP('Données projet'!$B$11,Paramètres!$A$1:$I$89,5,0)</f>
        <v>182.70719999999994</v>
      </c>
      <c r="BF38" s="13">
        <f t="shared" si="37"/>
        <v>45.923964004932436</v>
      </c>
      <c r="BG38" s="20">
        <f t="shared" si="7"/>
        <v>398.19927730859052</v>
      </c>
      <c r="BH38" s="59">
        <f t="shared" si="8"/>
        <v>641.849810033165</v>
      </c>
      <c r="BI38" s="59">
        <f ca="1">AVERAGE(OFFSET($BH$3,0,0,'Données projet'!$E$11+1,1))-AVERAGE(OFFSET($H$3,0,0,'Données projet'!$E$11+1,1))</f>
        <v>387.78453964980849</v>
      </c>
      <c r="BJ38" s="59">
        <f t="shared" si="38"/>
        <v>395.13533152274488</v>
      </c>
      <c r="BK38" s="15">
        <f>IF(ISNA(VLOOKUP(A38,'Données projet'!$A$87:$I$107,3,0)),0,VLOOKUP(A38,'Données projet'!$A$87:$I$107,3,0))</f>
        <v>5</v>
      </c>
      <c r="BL38" s="15">
        <f>IF(ISNA(VLOOKUP(A38,'Données projet'!$A$87:$I$107,4,0)),0,VLOOKUP(A38,'Données projet'!$A$87:$I$107,4,0))</f>
        <v>22</v>
      </c>
      <c r="BM38" s="16">
        <f>IF(ISNA(VLOOKUP(A38,'Données projet'!$A$87:$I$107,5,0)),0%,VLOOKUP(A38,'Données projet'!$A$87:$I$107,5,0)*VLOOKUP('Données projet'!$B$11,Paramètres!$A$1:$I$89,7,0))</f>
        <v>0.17200000000000001</v>
      </c>
      <c r="BN38" s="16">
        <f>IF(ISNA(VLOOKUP(A38,'Données projet'!$A$87:$I$107,6,0)),0%,VLOOKUP(A38,'Données projet'!$A$87:$I$107,6,0)*VLOOKUP('Données projet'!$B$11,Paramètres!$A$1:$I$89,7,0))</f>
        <v>3.44E-2</v>
      </c>
      <c r="BO38" s="16">
        <f>IF(ISNA(VLOOKUP(A38,'Données projet'!$A$87:$I$107,7,0)),0%,VLOOKUP(A38,'Données projet'!$A$87:$I$107,7,0))</f>
        <v>0.12</v>
      </c>
      <c r="BP38" s="21">
        <f>EXP(-LN(2)/35)*BP37+(1-EXP(-LN(2)/35))/(LN(2)/35)*BL38*BM38*VLOOKUP('Données projet'!$B$11,Paramètres!$A$1:$I$89,3,0)*0.475*44/12</f>
        <v>10.242284167748359</v>
      </c>
      <c r="BQ38" s="21">
        <f>EXP(-LN(2)/25)*BQ37+(1-EXP(-LN(2)/25))/(LN(2)/25)*Calculateur!BL38*Calculateur!BN38*VLOOKUP('Données projet'!$B$11,Paramètres!$A$1:$I$89,3,0)*0.475*44/12</f>
        <v>1.9709791844456639</v>
      </c>
      <c r="BR38" s="21">
        <f>EXP(-LN(2)/2)*BR37+(1-EXP(-LN(2)/2))/(LN(2)/2)*BL38*BO38*VLOOKUP('Données projet'!$B$11,Paramètres!$A$1:$I$89,3,0)*0.475*44/12</f>
        <v>2.8342998176023797</v>
      </c>
      <c r="BS38" s="22">
        <f t="shared" si="9"/>
        <v>15.047563169796403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">
      <c r="A39" s="10">
        <f t="shared" si="31"/>
        <v>36</v>
      </c>
      <c r="B39" s="73">
        <f>'Scénario référence'!$B$16*5+'Scénario référence'!$B$17*0+'Scénario référence'!$B$18*5</f>
        <v>5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">
        <f t="shared" si="32"/>
        <v>0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18.333333333333332</v>
      </c>
      <c r="H39" s="67">
        <f t="shared" si="1"/>
        <v>183.33333333333334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14.5</v>
      </c>
      <c r="N39" s="13">
        <f>IF('Données projet'!$A$36&gt;35,N38+M39-V38,IF(A39&lt;'Données projet'!$A$36,$K$205^A39,IF(A39='Données projet'!$A$36,'Données projet'!$B$36,N38+M39-V38)))</f>
        <v>134.99999999999997</v>
      </c>
      <c r="O39" s="13">
        <f>N39*VLOOKUP('Données projet'!$B$9,Paramètres!$A$1:$I$89,3,0)*VLOOKUP('Données projet'!$B$9,Paramètres!$A$1:$I$89,5,0)</f>
        <v>80.72999999999999</v>
      </c>
      <c r="P39" s="13">
        <f t="shared" si="33"/>
        <v>22.315578453114171</v>
      </c>
      <c r="Q39" s="20">
        <f t="shared" si="53"/>
        <v>179.47104913917383</v>
      </c>
      <c r="R39" s="59">
        <f t="shared" si="0"/>
        <v>423.98346738020825</v>
      </c>
      <c r="S39" s="59">
        <f ca="1">AVERAGE(OFFSET($R$3,0,0,'Données projet'!$E$9+1,1))-AVERAGE(OFFSET($H$3,0,0,'Données projet'!$E$9+1,1))</f>
        <v>219.4022220248072</v>
      </c>
      <c r="T39" s="59">
        <f t="shared" si="34"/>
        <v>199.30065726913725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22.875610347833288</v>
      </c>
      <c r="AA39" s="21">
        <f>EXP(-LN(2)/25)*AA38+(1-EXP(-LN(2)/25))/(LN(2)/25)*Calculateur!V39*Calculateur!X39*VLOOKUP('Données projet'!$B$9,Paramètres!$A$1:$I$89,3,0)*0.475*44/12</f>
        <v>7.8671087734474918</v>
      </c>
      <c r="AB39" s="21">
        <f>EXP(-LN(2)/2)*AB38+(1-EXP(-LN(2)/2))/(LN(2)/2)*V39*Y39*VLOOKUP('Données projet'!$B$9,Paramètres!$A$1:$I$89,3,0)*0.475*44/12</f>
        <v>3.2089383684023427</v>
      </c>
      <c r="AC39" s="22">
        <f t="shared" si="3"/>
        <v>33.951657489683122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8.4</v>
      </c>
      <c r="AI39" s="13">
        <f>IF('Données projet'!$A$62&gt;35,AI38+AH39-AQ38,IF(A39&lt;'Données projet'!$A$62,$AF$205^A39,IF(A39='Données projet'!$A$62,'Données projet'!$B$62,AI38+AH39-AQ38)))</f>
        <v>103.4</v>
      </c>
      <c r="AJ39" s="13">
        <f>AI39*VLOOKUP('Données projet'!$B$10,Paramètres!$A$1:$I$89,3,0)*VLOOKUP('Données projet'!$B$10,Paramètres!$A$1:$I$89,5,0)</f>
        <v>93.556319999999999</v>
      </c>
      <c r="AK39" s="13">
        <f t="shared" si="35"/>
        <v>25.420979659258073</v>
      </c>
      <c r="AL39" s="20">
        <f t="shared" si="4"/>
        <v>207.21879690654114</v>
      </c>
      <c r="AM39" s="59">
        <f t="shared" si="5"/>
        <v>451.73121514757554</v>
      </c>
      <c r="AN39" s="59">
        <f ca="1">AVERAGE(OFFSET($AM$3,0,0,'Données projet'!$E$10+1,1))-AVERAGE(OFFSET($H$3,0,0,'Données projet'!$E$10+1,1))</f>
        <v>406.64650428071837</v>
      </c>
      <c r="AO39" s="59">
        <f t="shared" si="36"/>
        <v>250.47702091764884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3.5419839338175239</v>
      </c>
      <c r="AV39" s="21">
        <f>EXP(-LN(2)/25)*AV38+(1-EXP(-LN(2)/25))/(LN(2)/25)*Calculateur!AQ39*Calculateur!AS39*VLOOKUP('Données projet'!$B$10,Paramètres!$A$1:$I$89,3,0)*0.475*44/12</f>
        <v>0.70004004111899165</v>
      </c>
      <c r="AW39" s="21">
        <f>EXP(-LN(2)/2)*AW38+(1-EXP(-LN(2)/2))/(LN(2)/2)*AQ39*AT39*VLOOKUP('Données projet'!$B$10,Paramètres!$A$1:$I$89,3,0)*0.475*44/12</f>
        <v>1.5212214061036751</v>
      </c>
      <c r="AX39" s="21">
        <f t="shared" si="6"/>
        <v>5.76324538104019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9.1999999999999993</v>
      </c>
      <c r="BD39" s="12">
        <f>IF('Données projet'!$A$88&gt;35,BD38+BC39-BL38,IF(A39&lt;'Données projet'!$A$88,$BA$205^A39,IF(A39='Données projet'!$A$88,'Données projet'!$B$88,BD38+BC39-BL38)))</f>
        <v>179.19999999999993</v>
      </c>
      <c r="BE39" s="13">
        <f>BD39*VLOOKUP('Données projet'!$B$11,Paramètres!$A$1:$I$89,3,0)*VLOOKUP('Données projet'!$B$11,Paramètres!$A$1:$I$89,5,0)</f>
        <v>170.52671999999993</v>
      </c>
      <c r="BF39" s="13">
        <f t="shared" si="37"/>
        <v>43.207970095682747</v>
      </c>
      <c r="BG39" s="20">
        <f t="shared" si="7"/>
        <v>372.25458524998066</v>
      </c>
      <c r="BH39" s="59">
        <f t="shared" si="8"/>
        <v>616.76700349101509</v>
      </c>
      <c r="BI39" s="59">
        <f ca="1">AVERAGE(OFFSET($BH$3,0,0,'Données projet'!$E$11+1,1))-AVERAGE(OFFSET($H$3,0,0,'Données projet'!$E$11+1,1))</f>
        <v>387.78453964980849</v>
      </c>
      <c r="BJ39" s="59">
        <f t="shared" si="38"/>
        <v>395.13533152274488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10.041439222395299</v>
      </c>
      <c r="BQ39" s="21">
        <f>EXP(-LN(2)/25)*BQ38+(1-EXP(-LN(2)/25))/(LN(2)/25)*Calculateur!BL39*Calculateur!BN39*VLOOKUP('Données projet'!$B$11,Paramètres!$A$1:$I$89,3,0)*0.475*44/12</f>
        <v>1.9170826549977067</v>
      </c>
      <c r="BR39" s="21">
        <f>EXP(-LN(2)/2)*BR38+(1-EXP(-LN(2)/2))/(LN(2)/2)*BL39*BO39*VLOOKUP('Données projet'!$B$11,Paramètres!$A$1:$I$89,3,0)*0.475*44/12</f>
        <v>2.0041526209424374</v>
      </c>
      <c r="BS39" s="22">
        <f t="shared" si="9"/>
        <v>13.962674498335442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">
      <c r="A40" s="10">
        <f t="shared" si="31"/>
        <v>37</v>
      </c>
      <c r="B40" s="73">
        <f>'Scénario référence'!$B$16*5+'Scénario référence'!$B$17*0+'Scénario référence'!$B$18*5</f>
        <v>5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">
        <f t="shared" si="32"/>
        <v>0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18.333333333333332</v>
      </c>
      <c r="H40" s="67">
        <f t="shared" si="1"/>
        <v>183.33333333333334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14.5</v>
      </c>
      <c r="N40" s="13">
        <f>IF('Données projet'!$A$36&gt;35,N39+M40-V39,IF(A40&lt;'Données projet'!$A$36,$K$205^A40,IF(A40='Données projet'!$A$36,'Données projet'!$B$36,N39+M40-V39)))</f>
        <v>149.49999999999997</v>
      </c>
      <c r="O40" s="13">
        <f>N40*VLOOKUP('Données projet'!$B$9,Paramètres!$A$1:$I$89,3,0)*VLOOKUP('Données projet'!$B$9,Paramètres!$A$1:$I$89,5,0)</f>
        <v>89.400999999999996</v>
      </c>
      <c r="P40" s="13">
        <f t="shared" si="33"/>
        <v>24.420704519954896</v>
      </c>
      <c r="Q40" s="20">
        <f t="shared" si="53"/>
        <v>198.23946870558811</v>
      </c>
      <c r="R40" s="59">
        <f t="shared" si="0"/>
        <v>443.59882067625921</v>
      </c>
      <c r="S40" s="59">
        <f ca="1">AVERAGE(OFFSET($R$3,0,0,'Données projet'!$E$9+1,1))-AVERAGE(OFFSET($H$3,0,0,'Données projet'!$E$9+1,1))</f>
        <v>219.4022220248072</v>
      </c>
      <c r="T40" s="59">
        <f t="shared" si="34"/>
        <v>199.30065726913725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22.427033581656868</v>
      </c>
      <c r="AA40" s="21">
        <f>EXP(-LN(2)/25)*AA39+(1-EXP(-LN(2)/25))/(LN(2)/25)*Calculateur!V40*Calculateur!X40*VLOOKUP('Données projet'!$B$9,Paramètres!$A$1:$I$89,3,0)*0.475*44/12</f>
        <v>7.6519822703243001</v>
      </c>
      <c r="AB40" s="21">
        <f>EXP(-LN(2)/2)*AB39+(1-EXP(-LN(2)/2))/(LN(2)/2)*V40*Y40*VLOOKUP('Données projet'!$B$9,Paramètres!$A$1:$I$89,3,0)*0.475*44/12</f>
        <v>2.2690620807069921</v>
      </c>
      <c r="AC40" s="22">
        <f t="shared" si="3"/>
        <v>32.348077932688163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8.4</v>
      </c>
      <c r="AI40" s="13">
        <f>IF('Données projet'!$A$62&gt;35,AI39+AH40-AQ39,IF(A40&lt;'Données projet'!$A$62,$AF$205^A40,IF(A40='Données projet'!$A$62,'Données projet'!$B$62,AI39+AH40-AQ39)))</f>
        <v>111.80000000000001</v>
      </c>
      <c r="AJ40" s="13">
        <f>AI40*VLOOKUP('Données projet'!$B$10,Paramètres!$A$1:$I$89,3,0)*VLOOKUP('Données projet'!$B$10,Paramètres!$A$1:$I$89,5,0)</f>
        <v>101.15664000000001</v>
      </c>
      <c r="AK40" s="13">
        <f t="shared" si="35"/>
        <v>27.237366379381644</v>
      </c>
      <c r="AL40" s="20">
        <f t="shared" si="4"/>
        <v>223.61956111075639</v>
      </c>
      <c r="AM40" s="59">
        <f t="shared" si="5"/>
        <v>468.97891308142749</v>
      </c>
      <c r="AN40" s="59">
        <f ca="1">AVERAGE(OFFSET($AM$3,0,0,'Données projet'!$E$10+1,1))-AVERAGE(OFFSET($H$3,0,0,'Données projet'!$E$10+1,1))</f>
        <v>406.64650428071837</v>
      </c>
      <c r="AO40" s="59">
        <f t="shared" si="36"/>
        <v>250.47702091764884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3.4725277892722404</v>
      </c>
      <c r="AV40" s="21">
        <f>EXP(-LN(2)/25)*AV39+(1-EXP(-LN(2)/25))/(LN(2)/25)*Calculateur!AQ40*Calculateur!AS40*VLOOKUP('Données projet'!$B$10,Paramètres!$A$1:$I$89,3,0)*0.475*44/12</f>
        <v>0.680897409381087</v>
      </c>
      <c r="AW40" s="21">
        <f>EXP(-LN(2)/2)*AW39+(1-EXP(-LN(2)/2))/(LN(2)/2)*AQ40*AT40*VLOOKUP('Données projet'!$B$10,Paramètres!$A$1:$I$89,3,0)*0.475*44/12</f>
        <v>1.0756659719420436</v>
      </c>
      <c r="AX40" s="21">
        <f t="shared" si="6"/>
        <v>5.2290911705953711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9.1999999999999993</v>
      </c>
      <c r="BD40" s="12">
        <f>IF('Données projet'!$A$88&gt;35,BD39+BC40-BL39,IF(A40&lt;'Données projet'!$A$88,$BA$205^A40,IF(A40='Données projet'!$A$88,'Données projet'!$B$88,BD39+BC40-BL39)))</f>
        <v>188.39999999999992</v>
      </c>
      <c r="BE40" s="13">
        <f>BD40*VLOOKUP('Données projet'!$B$11,Paramètres!$A$1:$I$89,3,0)*VLOOKUP('Données projet'!$B$11,Paramètres!$A$1:$I$89,5,0)</f>
        <v>179.28143999999992</v>
      </c>
      <c r="BF40" s="13">
        <f t="shared" si="37"/>
        <v>45.162282607497268</v>
      </c>
      <c r="BG40" s="20">
        <f t="shared" si="7"/>
        <v>390.90615020805762</v>
      </c>
      <c r="BH40" s="59">
        <f t="shared" si="8"/>
        <v>636.26550217872875</v>
      </c>
      <c r="BI40" s="59">
        <f ca="1">AVERAGE(OFFSET($BH$3,0,0,'Données projet'!$E$11+1,1))-AVERAGE(OFFSET($H$3,0,0,'Données projet'!$E$11+1,1))</f>
        <v>387.78453964980849</v>
      </c>
      <c r="BJ40" s="59">
        <f t="shared" si="38"/>
        <v>395.13533152274488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9.8445327239172915</v>
      </c>
      <c r="BQ40" s="21">
        <f>EXP(-LN(2)/25)*BQ39+(1-EXP(-LN(2)/25))/(LN(2)/25)*Calculateur!BL40*Calculateur!BN40*VLOOKUP('Données projet'!$B$11,Paramètres!$A$1:$I$89,3,0)*0.475*44/12</f>
        <v>1.8646599289817991</v>
      </c>
      <c r="BR40" s="21">
        <f>EXP(-LN(2)/2)*BR39+(1-EXP(-LN(2)/2))/(LN(2)/2)*BL40*BO40*VLOOKUP('Données projet'!$B$11,Paramètres!$A$1:$I$89,3,0)*0.475*44/12</f>
        <v>1.4171499088011899</v>
      </c>
      <c r="BS40" s="22">
        <f t="shared" si="9"/>
        <v>13.12634256170028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">
      <c r="A41" s="10">
        <f t="shared" si="31"/>
        <v>38</v>
      </c>
      <c r="B41" s="73">
        <f>'Scénario référence'!$B$16*5+'Scénario référence'!$B$17*0+'Scénario référence'!$B$18*5</f>
        <v>5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">
        <f t="shared" si="32"/>
        <v>0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18.333333333333332</v>
      </c>
      <c r="H41" s="67">
        <f t="shared" si="1"/>
        <v>183.33333333333334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14.5</v>
      </c>
      <c r="N41" s="13">
        <f>IF('Données projet'!$A$36&gt;35,N40+M41-V40,IF(A41&lt;'Données projet'!$A$36,$K$205^A41,IF(A41='Données projet'!$A$36,'Données projet'!$B$36,N40+M41-V40)))</f>
        <v>163.99999999999997</v>
      </c>
      <c r="O41" s="13">
        <f>N41*VLOOKUP('Données projet'!$B$9,Paramètres!$A$1:$I$89,3,0)*VLOOKUP('Données projet'!$B$9,Paramètres!$A$1:$I$89,5,0)</f>
        <v>98.071999999999989</v>
      </c>
      <c r="P41" s="13">
        <f t="shared" si="33"/>
        <v>26.50215899830313</v>
      </c>
      <c r="Q41" s="20">
        <f t="shared" si="53"/>
        <v>216.96666025537795</v>
      </c>
      <c r="R41" s="59">
        <f t="shared" si="0"/>
        <v>463.15825354893667</v>
      </c>
      <c r="S41" s="59">
        <f ca="1">AVERAGE(OFFSET($R$3,0,0,'Données projet'!$E$9+1,1))-AVERAGE(OFFSET($H$3,0,0,'Données projet'!$E$9+1,1))</f>
        <v>219.4022220248072</v>
      </c>
      <c r="T41" s="59">
        <f t="shared" si="34"/>
        <v>199.30065726913725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21.98725313226036</v>
      </c>
      <c r="AA41" s="21">
        <f>EXP(-LN(2)/25)*AA40+(1-EXP(-LN(2)/25))/(LN(2)/25)*Calculateur!V41*Calculateur!X41*VLOOKUP('Données projet'!$B$9,Paramètres!$A$1:$I$89,3,0)*0.475*44/12</f>
        <v>7.4427384127420231</v>
      </c>
      <c r="AB41" s="21">
        <f>EXP(-LN(2)/2)*AB40+(1-EXP(-LN(2)/2))/(LN(2)/2)*V41*Y41*VLOOKUP('Données projet'!$B$9,Paramètres!$A$1:$I$89,3,0)*0.475*44/12</f>
        <v>1.6044691842011714</v>
      </c>
      <c r="AC41" s="22">
        <f t="shared" si="3"/>
        <v>31.034460729203555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8.4</v>
      </c>
      <c r="AI41" s="13">
        <f>IF('Données projet'!$A$62&gt;35,AI40+AH41-AQ40,IF(A41&lt;'Données projet'!$A$62,$AF$205^A41,IF(A41='Données projet'!$A$62,'Données projet'!$B$62,AI40+AH41-AQ40)))</f>
        <v>120.20000000000002</v>
      </c>
      <c r="AJ41" s="13">
        <f>AI41*VLOOKUP('Données projet'!$B$10,Paramètres!$A$1:$I$89,3,0)*VLOOKUP('Données projet'!$B$10,Paramètres!$A$1:$I$89,5,0)</f>
        <v>108.75696000000002</v>
      </c>
      <c r="AK41" s="13">
        <f t="shared" si="35"/>
        <v>29.037921223305609</v>
      </c>
      <c r="AL41" s="20">
        <f t="shared" si="4"/>
        <v>239.99275146392395</v>
      </c>
      <c r="AM41" s="59">
        <f t="shared" si="5"/>
        <v>486.18434475748268</v>
      </c>
      <c r="AN41" s="59">
        <f ca="1">AVERAGE(OFFSET($AM$3,0,0,'Données projet'!$E$10+1,1))-AVERAGE(OFFSET($H$3,0,0,'Données projet'!$E$10+1,1))</f>
        <v>406.64650428071837</v>
      </c>
      <c r="AO41" s="59">
        <f t="shared" si="36"/>
        <v>250.47702091764884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3.4044336373574247</v>
      </c>
      <c r="AV41" s="21">
        <f>EXP(-LN(2)/25)*AV40+(1-EXP(-LN(2)/25))/(LN(2)/25)*Calculateur!AQ41*Calculateur!AS41*VLOOKUP('Données projet'!$B$10,Paramètres!$A$1:$I$89,3,0)*0.475*44/12</f>
        <v>0.66227823391472262</v>
      </c>
      <c r="AW41" s="21">
        <f>EXP(-LN(2)/2)*AW40+(1-EXP(-LN(2)/2))/(LN(2)/2)*AQ41*AT41*VLOOKUP('Données projet'!$B$10,Paramètres!$A$1:$I$89,3,0)*0.475*44/12</f>
        <v>0.76061070305183764</v>
      </c>
      <c r="AX41" s="21">
        <f t="shared" si="6"/>
        <v>4.8273225743239854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9.1999999999999993</v>
      </c>
      <c r="BD41" s="12">
        <f>IF('Données projet'!$A$88&gt;35,BD40+BC41-BL40,IF(A41&lt;'Données projet'!$A$88,$BA$205^A41,IF(A41='Données projet'!$A$88,'Données projet'!$B$88,BD40+BC41-BL40)))</f>
        <v>197.59999999999991</v>
      </c>
      <c r="BE41" s="13">
        <f>BD41*VLOOKUP('Données projet'!$B$11,Paramètres!$A$1:$I$89,3,0)*VLOOKUP('Données projet'!$B$11,Paramètres!$A$1:$I$89,5,0)</f>
        <v>188.03615999999991</v>
      </c>
      <c r="BF41" s="13">
        <f t="shared" si="37"/>
        <v>47.105513518601285</v>
      </c>
      <c r="BG41" s="20">
        <f t="shared" si="7"/>
        <v>409.53841471156375</v>
      </c>
      <c r="BH41" s="59">
        <f t="shared" si="8"/>
        <v>655.7300080051225</v>
      </c>
      <c r="BI41" s="59">
        <f ca="1">AVERAGE(OFFSET($BH$3,0,0,'Données projet'!$E$11+1,1))-AVERAGE(OFFSET($H$3,0,0,'Données projet'!$E$11+1,1))</f>
        <v>387.78453964980849</v>
      </c>
      <c r="BJ41" s="59">
        <f t="shared" si="38"/>
        <v>395.13533152274488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9.6514874417733321</v>
      </c>
      <c r="BQ41" s="21">
        <f>EXP(-LN(2)/25)*BQ40+(1-EXP(-LN(2)/25))/(LN(2)/25)*Calculateur!BL41*Calculateur!BN41*VLOOKUP('Données projet'!$B$11,Paramètres!$A$1:$I$89,3,0)*0.475*44/12</f>
        <v>1.8136707051655878</v>
      </c>
      <c r="BR41" s="21">
        <f>EXP(-LN(2)/2)*BR40+(1-EXP(-LN(2)/2))/(LN(2)/2)*BL41*BO41*VLOOKUP('Données projet'!$B$11,Paramètres!$A$1:$I$89,3,0)*0.475*44/12</f>
        <v>1.0020763104712187</v>
      </c>
      <c r="BS41" s="22">
        <f t="shared" si="9"/>
        <v>12.467234457410139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">
      <c r="A42" s="10">
        <f t="shared" si="31"/>
        <v>39</v>
      </c>
      <c r="B42" s="73">
        <f>'Scénario référence'!$B$16*5+'Scénario référence'!$B$17*0+'Scénario référence'!$B$18*5</f>
        <v>5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">
        <f t="shared" si="32"/>
        <v>0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18.333333333333332</v>
      </c>
      <c r="H42" s="67">
        <f t="shared" si="1"/>
        <v>183.33333333333334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14.5</v>
      </c>
      <c r="N42" s="13">
        <f>IF('Données projet'!$A$36&gt;35,N41+M42-V41,IF(A42&lt;'Données projet'!$A$36,$K$205^A42,IF(A42='Données projet'!$A$36,'Données projet'!$B$36,N41+M42-V41)))</f>
        <v>178.49999999999997</v>
      </c>
      <c r="O42" s="13">
        <f>N42*VLOOKUP('Données projet'!$B$9,Paramètres!$A$1:$I$89,3,0)*VLOOKUP('Données projet'!$B$9,Paramètres!$A$1:$I$89,5,0)</f>
        <v>106.74299999999998</v>
      </c>
      <c r="P42" s="13">
        <f t="shared" si="33"/>
        <v>28.56227278808592</v>
      </c>
      <c r="Q42" s="20">
        <f t="shared" si="53"/>
        <v>235.6566834392496</v>
      </c>
      <c r="R42" s="59">
        <f t="shared" si="0"/>
        <v>482.66608052935669</v>
      </c>
      <c r="S42" s="59">
        <f ca="1">AVERAGE(OFFSET($R$3,0,0,'Données projet'!$E$9+1,1))-AVERAGE(OFFSET($H$3,0,0,'Données projet'!$E$9+1,1))</f>
        <v>219.4022220248072</v>
      </c>
      <c r="T42" s="59">
        <f t="shared" si="34"/>
        <v>199.30065726913725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21.55609650923693</v>
      </c>
      <c r="AA42" s="21">
        <f>EXP(-LN(2)/25)*AA41+(1-EXP(-LN(2)/25))/(LN(2)/25)*Calculateur!V42*Calculateur!X42*VLOOKUP('Données projet'!$B$9,Paramètres!$A$1:$I$89,3,0)*0.475*44/12</f>
        <v>7.2392163394489897</v>
      </c>
      <c r="AB42" s="21">
        <f>EXP(-LN(2)/2)*AB41+(1-EXP(-LN(2)/2))/(LN(2)/2)*V42*Y42*VLOOKUP('Données projet'!$B$9,Paramètres!$A$1:$I$89,3,0)*0.475*44/12</f>
        <v>1.1345310403534961</v>
      </c>
      <c r="AC42" s="22">
        <f t="shared" si="3"/>
        <v>29.929843889039418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8.4</v>
      </c>
      <c r="AI42" s="13">
        <f>IF('Données projet'!$A$62&gt;35,AI41+AH42-AQ41,IF(A42&lt;'Données projet'!$A$62,$AF$205^A42,IF(A42='Données projet'!$A$62,'Données projet'!$B$62,AI41+AH42-AQ41)))</f>
        <v>128.60000000000002</v>
      </c>
      <c r="AJ42" s="13">
        <f>AI42*VLOOKUP('Données projet'!$B$10,Paramètres!$A$1:$I$89,3,0)*VLOOKUP('Données projet'!$B$10,Paramètres!$A$1:$I$89,5,0)</f>
        <v>116.35728000000002</v>
      </c>
      <c r="AK42" s="13">
        <f t="shared" si="35"/>
        <v>30.823876427820704</v>
      </c>
      <c r="AL42" s="20">
        <f t="shared" si="4"/>
        <v>256.34051411178774</v>
      </c>
      <c r="AM42" s="59">
        <f t="shared" si="5"/>
        <v>503.34991120189488</v>
      </c>
      <c r="AN42" s="59">
        <f ca="1">AVERAGE(OFFSET($AM$3,0,0,'Données projet'!$E$10+1,1))-AVERAGE(OFFSET($H$3,0,0,'Données projet'!$E$10+1,1))</f>
        <v>406.64650428071837</v>
      </c>
      <c r="AO42" s="59">
        <f t="shared" si="36"/>
        <v>250.47702091764884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3.3376747702283271</v>
      </c>
      <c r="AV42" s="21">
        <f>EXP(-LN(2)/25)*AV41+(1-EXP(-LN(2)/25))/(LN(2)/25)*Calculateur!AQ42*Calculateur!AS42*VLOOKUP('Données projet'!$B$10,Paramètres!$A$1:$I$89,3,0)*0.475*44/12</f>
        <v>0.64416820078062587</v>
      </c>
      <c r="AW42" s="21">
        <f>EXP(-LN(2)/2)*AW41+(1-EXP(-LN(2)/2))/(LN(2)/2)*AQ42*AT42*VLOOKUP('Données projet'!$B$10,Paramètres!$A$1:$I$89,3,0)*0.475*44/12</f>
        <v>0.53783298597102192</v>
      </c>
      <c r="AX42" s="21">
        <f t="shared" si="6"/>
        <v>4.5196759569799747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9.1999999999999993</v>
      </c>
      <c r="BD42" s="12">
        <f>IF('Données projet'!$A$88&gt;35,BD41+BC42-BL41,IF(A42&lt;'Données projet'!$A$88,$BA$205^A42,IF(A42='Données projet'!$A$88,'Données projet'!$B$88,BD41+BC42-BL41)))</f>
        <v>206.7999999999999</v>
      </c>
      <c r="BE42" s="13">
        <f>BD42*VLOOKUP('Données projet'!$B$11,Paramètres!$A$1:$I$89,3,0)*VLOOKUP('Données projet'!$B$11,Paramètres!$A$1:$I$89,5,0)</f>
        <v>196.7908799999999</v>
      </c>
      <c r="BF42" s="13">
        <f t="shared" si="37"/>
        <v>49.038237696621778</v>
      </c>
      <c r="BG42" s="20">
        <f t="shared" si="7"/>
        <v>428.15237998828275</v>
      </c>
      <c r="BH42" s="59">
        <f t="shared" si="8"/>
        <v>675.16177707838983</v>
      </c>
      <c r="BI42" s="59">
        <f ca="1">AVERAGE(OFFSET($BH$3,0,0,'Données projet'!$E$11+1,1))-AVERAGE(OFFSET($H$3,0,0,'Données projet'!$E$11+1,1))</f>
        <v>387.78453964980849</v>
      </c>
      <c r="BJ42" s="59">
        <f t="shared" si="38"/>
        <v>395.13533152274488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9.4622276598662207</v>
      </c>
      <c r="BQ42" s="21">
        <f>EXP(-LN(2)/25)*BQ41+(1-EXP(-LN(2)/25))/(LN(2)/25)*Calculateur!BL42*Calculateur!BN42*VLOOKUP('Données projet'!$B$11,Paramètres!$A$1:$I$89,3,0)*0.475*44/12</f>
        <v>1.7640757843560377</v>
      </c>
      <c r="BR42" s="21">
        <f>EXP(-LN(2)/2)*BR41+(1-EXP(-LN(2)/2))/(LN(2)/2)*BL42*BO42*VLOOKUP('Données projet'!$B$11,Paramètres!$A$1:$I$89,3,0)*0.475*44/12</f>
        <v>0.70857495440059493</v>
      </c>
      <c r="BS42" s="22">
        <f t="shared" si="9"/>
        <v>11.934878398622853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">
      <c r="A43" s="10">
        <f t="shared" si="31"/>
        <v>40</v>
      </c>
      <c r="B43" s="73">
        <f>'Scénario référence'!$B$16*5+'Scénario référence'!$B$17*0+'Scénario référence'!$B$18*5</f>
        <v>5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">
        <f t="shared" si="32"/>
        <v>0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18.333333333333332</v>
      </c>
      <c r="H43" s="67">
        <f t="shared" si="1"/>
        <v>183.33333333333334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193</v>
      </c>
      <c r="L43" s="12">
        <f>VLOOKUP(A43,'Données projet'!$A$35:$I$55,9,0)</f>
        <v>14.5</v>
      </c>
      <c r="M43" s="12">
        <f t="array" ref="M43">INDEX(L:L,MIN(IF(ISNUMBER(L43:L239),ROW(L43:L239),"")))</f>
        <v>14.5</v>
      </c>
      <c r="N43" s="13">
        <f>IF('Données projet'!$A$36&gt;35,N42+M43-V42,IF(A43&lt;'Données projet'!$A$36,$K$205^A43,IF(A43='Données projet'!$A$36,'Données projet'!$B$36,N42+M43-V42)))</f>
        <v>192.99999999999997</v>
      </c>
      <c r="O43" s="13">
        <f>N43*VLOOKUP('Données projet'!$B$9,Paramètres!$A$1:$I$89,3,0)*VLOOKUP('Données projet'!$B$9,Paramètres!$A$1:$I$89,5,0)</f>
        <v>115.41399999999999</v>
      </c>
      <c r="P43" s="13">
        <f t="shared" si="33"/>
        <v>30.602976534547519</v>
      </c>
      <c r="Q43" s="20">
        <f t="shared" si="53"/>
        <v>254.31290079767018</v>
      </c>
      <c r="R43" s="59">
        <f t="shared" si="0"/>
        <v>502.12591461679096</v>
      </c>
      <c r="S43" s="59">
        <f ca="1">AVERAGE(OFFSET($R$3,0,0,'Données projet'!$E$9+1,1))-AVERAGE(OFFSET($H$3,0,0,'Données projet'!$E$9+1,1))</f>
        <v>219.4022220248072</v>
      </c>
      <c r="T43" s="59">
        <f t="shared" si="34"/>
        <v>199.30065726913725</v>
      </c>
      <c r="U43" s="15">
        <f>IF(ISNA(VLOOKUP(A43,'Données projet'!$A$35:$I$55,3,0)),0,VLOOKUP(A43,'Données projet'!$A$35:$I$55,3,0))</f>
        <v>6</v>
      </c>
      <c r="V43" s="15">
        <f>IF(ISNA(VLOOKUP(A43,'Données projet'!$A$35:$I$55,4,0)),0,VLOOKUP(A43,'Données projet'!$A$35:$I$55,4,0))</f>
        <v>41</v>
      </c>
      <c r="W43" s="16">
        <f>IF(ISNA(VLOOKUP(A43,'Données projet'!$A$35:$I$55,5,0)),0%,VLOOKUP(A43,'Données projet'!$A$35:$I$55,5,0)*VLOOKUP('Données projet'!$B$9,Paramètres!$A$1:$I$89,7,0))</f>
        <v>0.315</v>
      </c>
      <c r="X43" s="16">
        <f>IF(ISNA(VLOOKUP(A43,'Données projet'!$A$35:$I$55,6,0)),0%,VLOOKUP(A43,'Données projet'!$A$35:$I$55,6,0)*VLOOKUP('Données projet'!$B$9,Paramètres!$A$1:$I$89,7,0))</f>
        <v>5.3999999999999999E-2</v>
      </c>
      <c r="Y43" s="16">
        <f>IF(ISNA(VLOOKUP(A43,'Données projet'!$A$35:$I$55,7,0)),0%,VLOOKUP(A43,'Données projet'!$A$35:$I$55,7,0))</f>
        <v>0.18</v>
      </c>
      <c r="Z43" s="21">
        <f>EXP(-LN(2)/35)*Z42+(1-EXP(-LN(2)/35))/(LN(2)/35)*V43*W43*VLOOKUP('Données projet'!$B$9,Paramètres!$A$1:$I$89,3,0)*0.475*44/12</f>
        <v>31.378677409928407</v>
      </c>
      <c r="AA43" s="21">
        <f>EXP(-LN(2)/25)*AA42+(1-EXP(-LN(2)/25))/(LN(2)/25)*Calculateur!V43*Calculateur!X43*VLOOKUP('Données projet'!$B$9,Paramètres!$A$1:$I$89,3,0)*0.475*44/12</f>
        <v>8.7906784262078279</v>
      </c>
      <c r="AB43" s="21">
        <f>EXP(-LN(2)/2)*AB42+(1-EXP(-LN(2)/2))/(LN(2)/2)*V43*Y43*VLOOKUP('Données projet'!$B$9,Paramètres!$A$1:$I$89,3,0)*0.475*44/12</f>
        <v>5.7990474568362869</v>
      </c>
      <c r="AC43" s="22">
        <f t="shared" si="3"/>
        <v>45.968403292972518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137</v>
      </c>
      <c r="AG43" s="12">
        <f>VLOOKUP(A43,'Données projet'!$A$61:$I$81,9,0)</f>
        <v>8.4</v>
      </c>
      <c r="AH43" s="12">
        <f t="array" ref="AH43">INDEX(AG:AG,MIN(IF(ISNUMBER(AG43:AG239),ROW(AG43:AG239),"")))</f>
        <v>8.4</v>
      </c>
      <c r="AI43" s="13">
        <f>IF('Données projet'!$A$62&gt;35,AI42+AH43-AQ42,IF(A43&lt;'Données projet'!$A$62,$AF$205^A43,IF(A43='Données projet'!$A$62,'Données projet'!$B$62,AI42+AH43-AQ42)))</f>
        <v>137.00000000000003</v>
      </c>
      <c r="AJ43" s="13">
        <f>AI43*VLOOKUP('Données projet'!$B$10,Paramètres!$A$1:$I$89,3,0)*VLOOKUP('Données projet'!$B$10,Paramètres!$A$1:$I$89,5,0)</f>
        <v>123.95760000000001</v>
      </c>
      <c r="AK43" s="13">
        <f t="shared" si="35"/>
        <v>32.59629414926458</v>
      </c>
      <c r="AL43" s="20">
        <f t="shared" si="4"/>
        <v>272.6646989766358</v>
      </c>
      <c r="AM43" s="59">
        <f t="shared" si="5"/>
        <v>520.47771279575659</v>
      </c>
      <c r="AN43" s="59">
        <f ca="1">AVERAGE(OFFSET($AM$3,0,0,'Données projet'!$E$10+1,1))-AVERAGE(OFFSET($H$3,0,0,'Données projet'!$E$10+1,1))</f>
        <v>406.64650428071837</v>
      </c>
      <c r="AO43" s="59">
        <f t="shared" si="36"/>
        <v>250.47702091764884</v>
      </c>
      <c r="AP43" s="15">
        <f>IF(ISNA(VLOOKUP(A43,'Données projet'!$A$61:$I$81,3,0)),0,VLOOKUP(A43,'Données projet'!$A$61:$I$81,3,0))</f>
        <v>4</v>
      </c>
      <c r="AQ43" s="15">
        <f>IF(ISNA(VLOOKUP(A43,'Données projet'!$A$61:$I$81,4,0)),0,VLOOKUP(A43,'Données projet'!$A$61:$I$81,4,0))</f>
        <v>21</v>
      </c>
      <c r="AR43" s="16">
        <f>IF(ISNA(VLOOKUP(A43,'Données projet'!$A$61:$I$81,5,0)),0%,VLOOKUP(A43,'Données projet'!$A$61:$I$81,5,0)*VLOOKUP('Données projet'!$B$10,Paramètres!$A$1:$I$89,7,0))</f>
        <v>0.17200000000000001</v>
      </c>
      <c r="AS43" s="16">
        <f>IF(ISNA(VLOOKUP(A43,'Données projet'!$A$61:$I$81,6,0)),0%,VLOOKUP(A43,'Données projet'!$A$61:$I$81,6,0)*VLOOKUP('Données projet'!$B$10,Paramètres!$A$1:$I$89,7,0))</f>
        <v>3.44E-2</v>
      </c>
      <c r="AT43" s="16">
        <f>IF(ISNA(VLOOKUP(A43,'Données projet'!$A$61:$I$81,7,0)),0%,VLOOKUP(A43,'Données projet'!$A$61:$I$81,7,0))</f>
        <v>0.12</v>
      </c>
      <c r="AU43" s="21">
        <f>EXP(-LN(2)/35)*AU42+(1-EXP(-LN(2)/35))/(LN(2)/35)*AQ43*AR43*VLOOKUP('Données projet'!$B$10,Paramètres!$A$1:$I$89,3,0)*0.475*44/12</f>
        <v>6.8850543168026475</v>
      </c>
      <c r="AV43" s="21">
        <f>EXP(-LN(2)/25)*AV42+(1-EXP(-LN(2)/25))/(LN(2)/25)*Calculateur!AQ43*Calculateur!AS43*VLOOKUP('Données projet'!$B$10,Paramètres!$A$1:$I$89,3,0)*0.475*44/12</f>
        <v>1.346274232942263</v>
      </c>
      <c r="AW43" s="21">
        <f>EXP(-LN(2)/2)*AW42+(1-EXP(-LN(2)/2))/(LN(2)/2)*AQ43*AT43*VLOOKUP('Données projet'!$B$10,Paramètres!$A$1:$I$89,3,0)*0.475*44/12</f>
        <v>2.5316372954100057</v>
      </c>
      <c r="AX43" s="21">
        <f t="shared" si="6"/>
        <v>10.762965845154916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>
        <f>VLOOKUP(A43,'Données projet'!$A$87:$I$107,2,0)</f>
        <v>216</v>
      </c>
      <c r="BB43" s="12">
        <f>VLOOKUP(A43,'Données projet'!$A$87:$I$107,9,0)</f>
        <v>9.1999999999999993</v>
      </c>
      <c r="BC43" s="12">
        <f t="array" ref="BC43">INDEX(BB:BB,MIN(IF(ISNUMBER(BB43:BB239),ROW(BB43:BB239),"")))</f>
        <v>9.1999999999999993</v>
      </c>
      <c r="BD43" s="12">
        <f>IF('Données projet'!$A$88&gt;35,BD42+BC43-BL42,IF(A43&lt;'Données projet'!$A$88,$BA$205^A43,IF(A43='Données projet'!$A$88,'Données projet'!$B$88,BD42+BC43-BL42)))</f>
        <v>215.99999999999989</v>
      </c>
      <c r="BE43" s="13">
        <f>BD43*VLOOKUP('Données projet'!$B$11,Paramètres!$A$1:$I$89,3,0)*VLOOKUP('Données projet'!$B$11,Paramètres!$A$1:$I$89,5,0)</f>
        <v>205.54559999999989</v>
      </c>
      <c r="BF43" s="13">
        <f t="shared" si="37"/>
        <v>50.960975968608096</v>
      </c>
      <c r="BG43" s="20">
        <f t="shared" si="7"/>
        <v>446.74895314532552</v>
      </c>
      <c r="BH43" s="59">
        <f t="shared" si="8"/>
        <v>694.56196696444636</v>
      </c>
      <c r="BI43" s="59">
        <f ca="1">AVERAGE(OFFSET($BH$3,0,0,'Données projet'!$E$11+1,1))-AVERAGE(OFFSET($H$3,0,0,'Données projet'!$E$11+1,1))</f>
        <v>387.78453964980849</v>
      </c>
      <c r="BJ43" s="59">
        <f t="shared" si="38"/>
        <v>395.13533152274488</v>
      </c>
      <c r="BK43" s="15">
        <f>IF(ISNA(VLOOKUP(A43,'Données projet'!$A$87:$I$107,3,0)),0,VLOOKUP(A43,'Données projet'!$A$87:$I$107,3,0))</f>
        <v>6</v>
      </c>
      <c r="BL43" s="15">
        <f>IF(ISNA(VLOOKUP(A43,'Données projet'!$A$87:$I$107,4,0)),0,VLOOKUP(A43,'Données projet'!$A$87:$I$107,4,0))</f>
        <v>23</v>
      </c>
      <c r="BM43" s="16">
        <f>IF(ISNA(VLOOKUP(A43,'Données projet'!$A$87:$I$107,5,0)),0%,VLOOKUP(A43,'Données projet'!$A$87:$I$107,5,0)*VLOOKUP('Données projet'!$B$11,Paramètres!$A$1:$I$89,7,0))</f>
        <v>0.25800000000000001</v>
      </c>
      <c r="BN43" s="16">
        <f>IF(ISNA(VLOOKUP(A43,'Données projet'!$A$87:$I$107,6,0)),0%,VLOOKUP(A43,'Données projet'!$A$87:$I$107,6,0)*VLOOKUP('Données projet'!$B$11,Paramètres!$A$1:$I$89,7,0))</f>
        <v>1.72E-2</v>
      </c>
      <c r="BO43" s="16">
        <f>IF(ISNA(VLOOKUP(A43,'Données projet'!$A$87:$I$107,7,0)),0%,VLOOKUP(A43,'Données projet'!$A$87:$I$107,7,0))</f>
        <v>0.06</v>
      </c>
      <c r="BP43" s="21">
        <f>EXP(-LN(2)/35)*BP42+(1-EXP(-LN(2)/35))/(LN(2)/35)*BL43*BM43*VLOOKUP('Données projet'!$B$11,Paramètres!$A$1:$I$89,3,0)*0.475*44/12</f>
        <v>15.519043095357777</v>
      </c>
      <c r="BQ43" s="21">
        <f>EXP(-LN(2)/25)*BQ42+(1-EXP(-LN(2)/25))/(LN(2)/25)*Calculateur!BL43*Calculateur!BN43*VLOOKUP('Données projet'!$B$11,Paramètres!$A$1:$I$89,3,0)*0.475*44/12</f>
        <v>2.1303560648054489</v>
      </c>
      <c r="BR43" s="21">
        <f>EXP(-LN(2)/2)*BR42+(1-EXP(-LN(2)/2))/(LN(2)/2)*BL43*BO43*VLOOKUP('Données projet'!$B$11,Paramètres!$A$1:$I$89,3,0)*0.475*44/12</f>
        <v>1.7400852477107218</v>
      </c>
      <c r="BS43" s="22">
        <f t="shared" si="9"/>
        <v>19.389484407873951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">
      <c r="A44" s="10">
        <f t="shared" si="31"/>
        <v>41</v>
      </c>
      <c r="B44" s="73">
        <f>'Scénario référence'!$B$16*5+'Scénario référence'!$B$17*0+'Scénario référence'!$B$18*5</f>
        <v>5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">
        <f t="shared" si="32"/>
        <v>0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18.333333333333332</v>
      </c>
      <c r="H44" s="67">
        <f t="shared" si="1"/>
        <v>183.33333333333334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13.833333333333334</v>
      </c>
      <c r="N44" s="13">
        <f>IF('Données projet'!$A$36&gt;35,N43+M44-V43,IF(A44&lt;'Données projet'!$A$36,$K$205^A44,IF(A44='Données projet'!$A$36,'Données projet'!$B$36,N43+M44-V43)))</f>
        <v>165.83333333333331</v>
      </c>
      <c r="O44" s="13">
        <f>N44*VLOOKUP('Données projet'!$B$9,Paramètres!$A$1:$I$89,3,0)*VLOOKUP('Données projet'!$B$9,Paramètres!$A$1:$I$89,5,0)</f>
        <v>99.168333333333337</v>
      </c>
      <c r="P44" s="13">
        <f t="shared" si="33"/>
        <v>26.763768232926932</v>
      </c>
      <c r="Q44" s="20">
        <f t="shared" si="53"/>
        <v>219.33174356123664</v>
      </c>
      <c r="R44" s="59">
        <f t="shared" si="0"/>
        <v>467.93443315574063</v>
      </c>
      <c r="S44" s="59">
        <f ca="1">AVERAGE(OFFSET($R$3,0,0,'Données projet'!$E$9+1,1))-AVERAGE(OFFSET($H$3,0,0,'Données projet'!$E$9+1,1))</f>
        <v>219.4022220248072</v>
      </c>
      <c r="T44" s="59">
        <f t="shared" si="34"/>
        <v>199.30065726913725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30.763360685023102</v>
      </c>
      <c r="AA44" s="21">
        <f>EXP(-LN(2)/25)*AA43+(1-EXP(-LN(2)/25))/(LN(2)/25)*Calculateur!V44*Calculateur!X44*VLOOKUP('Données projet'!$B$9,Paramètres!$A$1:$I$89,3,0)*0.475*44/12</f>
        <v>8.5502968623614883</v>
      </c>
      <c r="AB44" s="21">
        <f>EXP(-LN(2)/2)*AB43+(1-EXP(-LN(2)/2))/(LN(2)/2)*V44*Y44*VLOOKUP('Données projet'!$B$9,Paramètres!$A$1:$I$89,3,0)*0.475*44/12</f>
        <v>4.1005457811515411</v>
      </c>
      <c r="AC44" s="22">
        <f t="shared" si="3"/>
        <v>43.414203328536132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8.4</v>
      </c>
      <c r="AI44" s="13">
        <f>IF('Données projet'!$A$62&gt;35,AI43+AH44-AQ43,IF(A44&lt;'Données projet'!$A$62,$AF$205^A44,IF(A44='Données projet'!$A$62,'Données projet'!$B$62,AI43+AH44-AQ43)))</f>
        <v>124.40000000000003</v>
      </c>
      <c r="AJ44" s="13">
        <f>AI44*VLOOKUP('Données projet'!$B$10,Paramètres!$A$1:$I$89,3,0)*VLOOKUP('Données projet'!$B$10,Paramètres!$A$1:$I$89,5,0)</f>
        <v>112.55712000000003</v>
      </c>
      <c r="AK44" s="13">
        <f t="shared" si="35"/>
        <v>29.932653834140599</v>
      </c>
      <c r="AL44" s="20">
        <f t="shared" si="4"/>
        <v>248.16968942779496</v>
      </c>
      <c r="AM44" s="59">
        <f t="shared" si="5"/>
        <v>496.77237902229894</v>
      </c>
      <c r="AN44" s="59">
        <f ca="1">AVERAGE(OFFSET($AM$3,0,0,'Données projet'!$E$10+1,1))-AVERAGE(OFFSET($H$3,0,0,'Données projet'!$E$10+1,1))</f>
        <v>406.64650428071837</v>
      </c>
      <c r="AO44" s="59">
        <f t="shared" si="36"/>
        <v>250.47702091764884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6.7500426011186176</v>
      </c>
      <c r="AV44" s="21">
        <f>EXP(-LN(2)/25)*AV43+(1-EXP(-LN(2)/25))/(LN(2)/25)*Calculateur!AQ44*Calculateur!AS44*VLOOKUP('Données projet'!$B$10,Paramètres!$A$1:$I$89,3,0)*0.475*44/12</f>
        <v>1.3094602932449719</v>
      </c>
      <c r="AW44" s="21">
        <f>EXP(-LN(2)/2)*AW43+(1-EXP(-LN(2)/2))/(LN(2)/2)*AQ44*AT44*VLOOKUP('Données projet'!$B$10,Paramètres!$A$1:$I$89,3,0)*0.475*44/12</f>
        <v>1.7901378990891861</v>
      </c>
      <c r="AX44" s="21">
        <f t="shared" si="6"/>
        <v>9.8496407934527763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9</v>
      </c>
      <c r="BD44" s="12">
        <f>IF('Données projet'!$A$88&gt;35,BD43+BC44-BL43,IF(A44&lt;'Données projet'!$A$88,$BA$205^A44,IF(A44='Données projet'!$A$88,'Données projet'!$B$88,BD43+BC44-BL43)))</f>
        <v>201.99999999999989</v>
      </c>
      <c r="BE44" s="13">
        <f>BD44*VLOOKUP('Données projet'!$B$11,Paramètres!$A$1:$I$89,3,0)*VLOOKUP('Données projet'!$B$11,Paramètres!$A$1:$I$89,5,0)</f>
        <v>192.22319999999991</v>
      </c>
      <c r="BF44" s="13">
        <f t="shared" si="37"/>
        <v>48.031137529960169</v>
      </c>
      <c r="BG44" s="20">
        <f t="shared" si="7"/>
        <v>418.44297119801377</v>
      </c>
      <c r="BH44" s="59">
        <f t="shared" si="8"/>
        <v>667.04566079251777</v>
      </c>
      <c r="BI44" s="59">
        <f ca="1">AVERAGE(OFFSET($BH$3,0,0,'Données projet'!$E$11+1,1))-AVERAGE(OFFSET($H$3,0,0,'Données projet'!$E$11+1,1))</f>
        <v>387.78453964980849</v>
      </c>
      <c r="BJ44" s="59">
        <f t="shared" si="38"/>
        <v>395.13533152274488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15.214724125939441</v>
      </c>
      <c r="BQ44" s="21">
        <f>EXP(-LN(2)/25)*BQ43+(1-EXP(-LN(2)/25))/(LN(2)/25)*Calculateur!BL44*Calculateur!BN44*VLOOKUP('Données projet'!$B$11,Paramètres!$A$1:$I$89,3,0)*0.475*44/12</f>
        <v>2.0721013661827876</v>
      </c>
      <c r="BR44" s="21">
        <f>EXP(-LN(2)/2)*BR43+(1-EXP(-LN(2)/2))/(LN(2)/2)*BL44*BO44*VLOOKUP('Données projet'!$B$11,Paramètres!$A$1:$I$89,3,0)*0.475*44/12</f>
        <v>1.2304260784989247</v>
      </c>
      <c r="BS44" s="22">
        <f t="shared" si="9"/>
        <v>18.517251570621156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">
      <c r="A45" s="10">
        <f t="shared" si="31"/>
        <v>42</v>
      </c>
      <c r="B45" s="73">
        <f>'Scénario référence'!$B$16*5+'Scénario référence'!$B$17*0+'Scénario référence'!$B$18*5</f>
        <v>5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">
        <f t="shared" si="32"/>
        <v>0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18.333333333333332</v>
      </c>
      <c r="H45" s="67">
        <f t="shared" si="1"/>
        <v>183.33333333333334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13.833333333333334</v>
      </c>
      <c r="N45" s="13">
        <f>IF('Données projet'!$A$36&gt;35,N44+M45-V44,IF(A45&lt;'Données projet'!$A$36,$K$205^A45,IF(A45='Données projet'!$A$36,'Données projet'!$B$36,N44+M45-V44)))</f>
        <v>179.66666666666666</v>
      </c>
      <c r="O45" s="13">
        <f>N45*VLOOKUP('Données projet'!$B$9,Paramètres!$A$1:$I$89,3,0)*VLOOKUP('Données projet'!$B$9,Paramètres!$A$1:$I$89,5,0)</f>
        <v>107.44066666666666</v>
      </c>
      <c r="P45" s="13">
        <f t="shared" si="33"/>
        <v>28.727161986195934</v>
      </c>
      <c r="Q45" s="20">
        <f t="shared" si="53"/>
        <v>237.15896823706899</v>
      </c>
      <c r="R45" s="59">
        <f t="shared" si="0"/>
        <v>486.53763449770372</v>
      </c>
      <c r="S45" s="59">
        <f ca="1">AVERAGE(OFFSET($R$3,0,0,'Données projet'!$E$9+1,1))-AVERAGE(OFFSET($H$3,0,0,'Données projet'!$E$9+1,1))</f>
        <v>219.4022220248072</v>
      </c>
      <c r="T45" s="59">
        <f t="shared" si="34"/>
        <v>199.30065726913725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30.160109945787045</v>
      </c>
      <c r="AA45" s="21">
        <f>EXP(-LN(2)/25)*AA44+(1-EXP(-LN(2)/25))/(LN(2)/25)*Calculateur!V45*Calculateur!X45*VLOOKUP('Données projet'!$B$9,Paramètres!$A$1:$I$89,3,0)*0.475*44/12</f>
        <v>8.3164885450196433</v>
      </c>
      <c r="AB45" s="21">
        <f>EXP(-LN(2)/2)*AB44+(1-EXP(-LN(2)/2))/(LN(2)/2)*V45*Y45*VLOOKUP('Données projet'!$B$9,Paramètres!$A$1:$I$89,3,0)*0.475*44/12</f>
        <v>2.8995237284181434</v>
      </c>
      <c r="AC45" s="22">
        <f t="shared" si="3"/>
        <v>41.376122219224833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8.4</v>
      </c>
      <c r="AI45" s="13">
        <f>IF('Données projet'!$A$62&gt;35,AI44+AH45-AQ44,IF(A45&lt;'Données projet'!$A$62,$AF$205^A45,IF(A45='Données projet'!$A$62,'Données projet'!$B$62,AI44+AH45-AQ44)))</f>
        <v>132.80000000000004</v>
      </c>
      <c r="AJ45" s="13">
        <f>AI45*VLOOKUP('Données projet'!$B$10,Paramètres!$A$1:$I$89,3,0)*VLOOKUP('Données projet'!$B$10,Paramètres!$A$1:$I$89,5,0)</f>
        <v>120.15744000000002</v>
      </c>
      <c r="AK45" s="13">
        <f t="shared" si="35"/>
        <v>31.711716786129845</v>
      </c>
      <c r="AL45" s="20">
        <f t="shared" si="4"/>
        <v>264.50544806917623</v>
      </c>
      <c r="AM45" s="59">
        <f t="shared" si="5"/>
        <v>513.88411432981093</v>
      </c>
      <c r="AN45" s="59">
        <f ca="1">AVERAGE(OFFSET($AM$3,0,0,'Données projet'!$E$10+1,1))-AVERAGE(OFFSET($H$3,0,0,'Données projet'!$E$10+1,1))</f>
        <v>406.64650428071837</v>
      </c>
      <c r="AO45" s="59">
        <f t="shared" si="36"/>
        <v>250.47702091764884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6.6176783828301362</v>
      </c>
      <c r="AV45" s="21">
        <f>EXP(-LN(2)/25)*AV44+(1-EXP(-LN(2)/25))/(LN(2)/25)*Calculateur!AQ45*Calculateur!AS45*VLOOKUP('Données projet'!$B$10,Paramètres!$A$1:$I$89,3,0)*0.475*44/12</f>
        <v>1.2736530326646642</v>
      </c>
      <c r="AW45" s="21">
        <f>EXP(-LN(2)/2)*AW44+(1-EXP(-LN(2)/2))/(LN(2)/2)*AQ45*AT45*VLOOKUP('Données projet'!$B$10,Paramètres!$A$1:$I$89,3,0)*0.475*44/12</f>
        <v>1.2658186477050031</v>
      </c>
      <c r="AX45" s="21">
        <f t="shared" si="6"/>
        <v>9.1571500631998042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9</v>
      </c>
      <c r="BD45" s="12">
        <f>IF('Données projet'!$A$88&gt;35,BD44+BC45-BL44,IF(A45&lt;'Données projet'!$A$88,$BA$205^A45,IF(A45='Données projet'!$A$88,'Données projet'!$B$88,BD44+BC45-BL44)))</f>
        <v>210.99999999999989</v>
      </c>
      <c r="BE45" s="13">
        <f>BD45*VLOOKUP('Données projet'!$B$11,Paramètres!$A$1:$I$89,3,0)*VLOOKUP('Données projet'!$B$11,Paramètres!$A$1:$I$89,5,0)</f>
        <v>200.78759999999988</v>
      </c>
      <c r="BF45" s="13">
        <f t="shared" si="37"/>
        <v>49.917218754196632</v>
      </c>
      <c r="BG45" s="20">
        <f t="shared" si="7"/>
        <v>436.6442259968922</v>
      </c>
      <c r="BH45" s="59">
        <f t="shared" si="8"/>
        <v>686.02289225752691</v>
      </c>
      <c r="BI45" s="59">
        <f ca="1">AVERAGE(OFFSET($BH$3,0,0,'Données projet'!$E$11+1,1))-AVERAGE(OFFSET($H$3,0,0,'Données projet'!$E$11+1,1))</f>
        <v>387.78453964980849</v>
      </c>
      <c r="BJ45" s="59">
        <f t="shared" si="38"/>
        <v>395.13533152274488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14.916372665895155</v>
      </c>
      <c r="BQ45" s="21">
        <f>EXP(-LN(2)/25)*BQ44+(1-EXP(-LN(2)/25))/(LN(2)/25)*Calculateur!BL45*Calculateur!BN45*VLOOKUP('Données projet'!$B$11,Paramètres!$A$1:$I$89,3,0)*0.475*44/12</f>
        <v>2.0154396453574441</v>
      </c>
      <c r="BR45" s="21">
        <f>EXP(-LN(2)/2)*BR44+(1-EXP(-LN(2)/2))/(LN(2)/2)*BL45*BO45*VLOOKUP('Données projet'!$B$11,Paramètres!$A$1:$I$89,3,0)*0.475*44/12</f>
        <v>0.87004262385536102</v>
      </c>
      <c r="BS45" s="22">
        <f t="shared" si="9"/>
        <v>17.801854935107961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">
      <c r="A46" s="10">
        <f t="shared" si="31"/>
        <v>43</v>
      </c>
      <c r="B46" s="73">
        <f>'Scénario référence'!$B$16*5+'Scénario référence'!$B$17*0+'Scénario référence'!$B$18*5</f>
        <v>5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">
        <f t="shared" si="32"/>
        <v>0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18.333333333333332</v>
      </c>
      <c r="H46" s="67">
        <f t="shared" si="1"/>
        <v>183.33333333333334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13.833333333333334</v>
      </c>
      <c r="N46" s="13">
        <f>IF('Données projet'!$A$36&gt;35,N45+M46-V45,IF(A46&lt;'Données projet'!$A$36,$K$205^A46,IF(A46='Données projet'!$A$36,'Données projet'!$B$36,N45+M46-V45)))</f>
        <v>193.5</v>
      </c>
      <c r="O46" s="13">
        <f>N46*VLOOKUP('Données projet'!$B$9,Paramètres!$A$1:$I$89,3,0)*VLOOKUP('Données projet'!$B$9,Paramètres!$A$1:$I$89,5,0)</f>
        <v>115.71300000000001</v>
      </c>
      <c r="P46" s="13">
        <f t="shared" si="33"/>
        <v>30.673019842466044</v>
      </c>
      <c r="Q46" s="20">
        <f t="shared" si="53"/>
        <v>254.95565122562834</v>
      </c>
      <c r="R46" s="59">
        <f t="shared" si="0"/>
        <v>505.09683269206039</v>
      </c>
      <c r="S46" s="59">
        <f ca="1">AVERAGE(OFFSET($R$3,0,0,'Données projet'!$E$9+1,1))-AVERAGE(OFFSET($H$3,0,0,'Données projet'!$E$9+1,1))</f>
        <v>219.4022220248072</v>
      </c>
      <c r="T46" s="59">
        <f t="shared" si="34"/>
        <v>199.30065726913725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29.568688585600789</v>
      </c>
      <c r="AA46" s="21">
        <f>EXP(-LN(2)/25)*AA45+(1-EXP(-LN(2)/25))/(LN(2)/25)*Calculateur!V46*Calculateur!X46*VLOOKUP('Données projet'!$B$9,Paramètres!$A$1:$I$89,3,0)*0.475*44/12</f>
        <v>8.0890737284109555</v>
      </c>
      <c r="AB46" s="21">
        <f>EXP(-LN(2)/2)*AB45+(1-EXP(-LN(2)/2))/(LN(2)/2)*V46*Y46*VLOOKUP('Données projet'!$B$9,Paramètres!$A$1:$I$89,3,0)*0.475*44/12</f>
        <v>2.0502728905757706</v>
      </c>
      <c r="AC46" s="22">
        <f t="shared" si="3"/>
        <v>39.708035204587517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8.4</v>
      </c>
      <c r="AI46" s="13">
        <f>IF('Données projet'!$A$62&gt;35,AI45+AH46-AQ45,IF(A46&lt;'Données projet'!$A$62,$AF$205^A46,IF(A46='Données projet'!$A$62,'Données projet'!$B$62,AI45+AH46-AQ45)))</f>
        <v>141.20000000000005</v>
      </c>
      <c r="AJ46" s="13">
        <f>AI46*VLOOKUP('Données projet'!$B$10,Paramètres!$A$1:$I$89,3,0)*VLOOKUP('Données projet'!$B$10,Paramètres!$A$1:$I$89,5,0)</f>
        <v>127.75776000000003</v>
      </c>
      <c r="AK46" s="13">
        <f t="shared" si="35"/>
        <v>33.477720030956604</v>
      </c>
      <c r="AL46" s="20">
        <f t="shared" si="4"/>
        <v>280.81846105391611</v>
      </c>
      <c r="AM46" s="59">
        <f t="shared" si="5"/>
        <v>530.9596425203481</v>
      </c>
      <c r="AN46" s="59">
        <f ca="1">AVERAGE(OFFSET($AM$3,0,0,'Données projet'!$E$10+1,1))-AVERAGE(OFFSET($H$3,0,0,'Données projet'!$E$10+1,1))</f>
        <v>406.64650428071837</v>
      </c>
      <c r="AO46" s="59">
        <f t="shared" si="36"/>
        <v>250.47702091764884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6.487909746128091</v>
      </c>
      <c r="AV46" s="21">
        <f>EXP(-LN(2)/25)*AV45+(1-EXP(-LN(2)/25))/(LN(2)/25)*Calculateur!AQ46*Calculateur!AS46*VLOOKUP('Données projet'!$B$10,Paramètres!$A$1:$I$89,3,0)*0.475*44/12</f>
        <v>1.2388249235079469</v>
      </c>
      <c r="AW46" s="21">
        <f>EXP(-LN(2)/2)*AW45+(1-EXP(-LN(2)/2))/(LN(2)/2)*AQ46*AT46*VLOOKUP('Données projet'!$B$10,Paramètres!$A$1:$I$89,3,0)*0.475*44/12</f>
        <v>0.89506894954459315</v>
      </c>
      <c r="AX46" s="21">
        <f t="shared" si="6"/>
        <v>8.6218036191806302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9</v>
      </c>
      <c r="BD46" s="12">
        <f>IF('Données projet'!$A$88&gt;35,BD45+BC46-BL45,IF(A46&lt;'Données projet'!$A$88,$BA$205^A46,IF(A46='Données projet'!$A$88,'Données projet'!$B$88,BD45+BC46-BL45)))</f>
        <v>219.99999999999989</v>
      </c>
      <c r="BE46" s="13">
        <f>BD46*VLOOKUP('Données projet'!$B$11,Paramètres!$A$1:$I$89,3,0)*VLOOKUP('Données projet'!$B$11,Paramètres!$A$1:$I$89,5,0)</f>
        <v>209.35199999999989</v>
      </c>
      <c r="BF46" s="13">
        <f t="shared" si="37"/>
        <v>51.79395593509436</v>
      </c>
      <c r="BG46" s="20">
        <f t="shared" si="7"/>
        <v>454.82920658695576</v>
      </c>
      <c r="BH46" s="59">
        <f t="shared" si="8"/>
        <v>704.97038805338775</v>
      </c>
      <c r="BI46" s="59">
        <f ca="1">AVERAGE(OFFSET($BH$3,0,0,'Données projet'!$E$11+1,1))-AVERAGE(OFFSET($H$3,0,0,'Données projet'!$E$11+1,1))</f>
        <v>387.78453964980849</v>
      </c>
      <c r="BJ46" s="59">
        <f t="shared" si="38"/>
        <v>395.13533152274488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14.623871696005915</v>
      </c>
      <c r="BQ46" s="21">
        <f>EXP(-LN(2)/25)*BQ45+(1-EXP(-LN(2)/25))/(LN(2)/25)*Calculateur!BL46*Calculateur!BN46*VLOOKUP('Données projet'!$B$11,Paramètres!$A$1:$I$89,3,0)*0.475*44/12</f>
        <v>1.9603273422677803</v>
      </c>
      <c r="BR46" s="21">
        <f>EXP(-LN(2)/2)*BR45+(1-EXP(-LN(2)/2))/(LN(2)/2)*BL46*BO46*VLOOKUP('Données projet'!$B$11,Paramètres!$A$1:$I$89,3,0)*0.475*44/12</f>
        <v>0.61521303924946247</v>
      </c>
      <c r="BS46" s="22">
        <f t="shared" si="9"/>
        <v>17.199412077523156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">
      <c r="A47" s="10">
        <f t="shared" si="31"/>
        <v>44</v>
      </c>
      <c r="B47" s="73">
        <f>'Scénario référence'!$B$16*5+'Scénario référence'!$B$17*0+'Scénario référence'!$B$18*5</f>
        <v>5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">
        <f t="shared" si="32"/>
        <v>0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18.333333333333332</v>
      </c>
      <c r="H47" s="67">
        <f t="shared" si="1"/>
        <v>183.33333333333334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13.833333333333334</v>
      </c>
      <c r="N47" s="13">
        <f>IF('Données projet'!$A$36&gt;35,N46+M47-V46,IF(A47&lt;'Données projet'!$A$36,$K$205^A47,IF(A47='Données projet'!$A$36,'Données projet'!$B$36,N46+M47-V46)))</f>
        <v>207.33333333333334</v>
      </c>
      <c r="O47" s="13">
        <f>N47*VLOOKUP('Données projet'!$B$9,Paramètres!$A$1:$I$89,3,0)*VLOOKUP('Données projet'!$B$9,Paramètres!$A$1:$I$89,5,0)</f>
        <v>123.98533333333334</v>
      </c>
      <c r="P47" s="13">
        <f t="shared" si="33"/>
        <v>32.60273802554125</v>
      </c>
      <c r="Q47" s="20">
        <f t="shared" si="53"/>
        <v>272.7242242833733</v>
      </c>
      <c r="R47" s="59">
        <f t="shared" si="0"/>
        <v>523.61469302151067</v>
      </c>
      <c r="S47" s="59">
        <f ca="1">AVERAGE(OFFSET($R$3,0,0,'Données projet'!$E$9+1,1))-AVERAGE(OFFSET($H$3,0,0,'Données projet'!$E$9+1,1))</f>
        <v>219.4022220248072</v>
      </c>
      <c r="T47" s="59">
        <f t="shared" si="34"/>
        <v>199.30065726913725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28.988864637556375</v>
      </c>
      <c r="AA47" s="21">
        <f>EXP(-LN(2)/25)*AA46+(1-EXP(-LN(2)/25))/(LN(2)/25)*Calculateur!V47*Calculateur!X47*VLOOKUP('Données projet'!$B$9,Paramètres!$A$1:$I$89,3,0)*0.475*44/12</f>
        <v>7.8678775819216584</v>
      </c>
      <c r="AB47" s="21">
        <f>EXP(-LN(2)/2)*AB46+(1-EXP(-LN(2)/2))/(LN(2)/2)*V47*Y47*VLOOKUP('Données projet'!$B$9,Paramètres!$A$1:$I$89,3,0)*0.475*44/12</f>
        <v>1.4497618642090717</v>
      </c>
      <c r="AC47" s="22">
        <f t="shared" si="3"/>
        <v>38.306504083687109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8.4</v>
      </c>
      <c r="AI47" s="13">
        <f>IF('Données projet'!$A$62&gt;35,AI46+AH47-AQ46,IF(A47&lt;'Données projet'!$A$62,$AF$205^A47,IF(A47='Données projet'!$A$62,'Données projet'!$B$62,AI46+AH47-AQ46)))</f>
        <v>149.60000000000005</v>
      </c>
      <c r="AJ47" s="13">
        <f>AI47*VLOOKUP('Données projet'!$B$10,Paramètres!$A$1:$I$89,3,0)*VLOOKUP('Données projet'!$B$10,Paramètres!$A$1:$I$89,5,0)</f>
        <v>135.35808000000006</v>
      </c>
      <c r="AK47" s="13">
        <f t="shared" si="35"/>
        <v>35.231528980112834</v>
      </c>
      <c r="AL47" s="20">
        <f t="shared" si="4"/>
        <v>297.11023564036327</v>
      </c>
      <c r="AM47" s="59">
        <f t="shared" si="5"/>
        <v>548.0007043785007</v>
      </c>
      <c r="AN47" s="59">
        <f ca="1">AVERAGE(OFFSET($AM$3,0,0,'Données projet'!$E$10+1,1))-AVERAGE(OFFSET($H$3,0,0,'Données projet'!$E$10+1,1))</f>
        <v>406.64650428071837</v>
      </c>
      <c r="AO47" s="59">
        <f t="shared" si="36"/>
        <v>250.47702091764884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6.3606857932407195</v>
      </c>
      <c r="AV47" s="21">
        <f>EXP(-LN(2)/25)*AV46+(1-EXP(-LN(2)/25))/(LN(2)/25)*Calculateur!AQ47*Calculateur!AS47*VLOOKUP('Données projet'!$B$10,Paramètres!$A$1:$I$89,3,0)*0.475*44/12</f>
        <v>1.2049491908276508</v>
      </c>
      <c r="AW47" s="21">
        <f>EXP(-LN(2)/2)*AW46+(1-EXP(-LN(2)/2))/(LN(2)/2)*AQ47*AT47*VLOOKUP('Données projet'!$B$10,Paramètres!$A$1:$I$89,3,0)*0.475*44/12</f>
        <v>0.63290932385250165</v>
      </c>
      <c r="AX47" s="21">
        <f t="shared" si="6"/>
        <v>8.1985443079208711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9</v>
      </c>
      <c r="BD47" s="12">
        <f>IF('Données projet'!$A$88&gt;35,BD46+BC47-BL46,IF(A47&lt;'Données projet'!$A$88,$BA$205^A47,IF(A47='Données projet'!$A$88,'Données projet'!$B$88,BD46+BC47-BL46)))</f>
        <v>228.99999999999989</v>
      </c>
      <c r="BE47" s="13">
        <f>BD47*VLOOKUP('Données projet'!$B$11,Paramètres!$A$1:$I$89,3,0)*VLOOKUP('Données projet'!$B$11,Paramètres!$A$1:$I$89,5,0)</f>
        <v>217.91639999999992</v>
      </c>
      <c r="BF47" s="13">
        <f t="shared" si="37"/>
        <v>53.661775051402536</v>
      </c>
      <c r="BG47" s="20">
        <f t="shared" si="7"/>
        <v>472.99865488119258</v>
      </c>
      <c r="BH47" s="59">
        <f t="shared" si="8"/>
        <v>723.88912361933001</v>
      </c>
      <c r="BI47" s="59">
        <f ca="1">AVERAGE(OFFSET($BH$3,0,0,'Données projet'!$E$11+1,1))-AVERAGE(OFFSET($H$3,0,0,'Données projet'!$E$11+1,1))</f>
        <v>387.78453964980849</v>
      </c>
      <c r="BJ47" s="59">
        <f t="shared" si="38"/>
        <v>395.13533152274488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14.337106491728228</v>
      </c>
      <c r="BQ47" s="21">
        <f>EXP(-LN(2)/25)*BQ46+(1-EXP(-LN(2)/25))/(LN(2)/25)*Calculateur!BL47*Calculateur!BN47*VLOOKUP('Données projet'!$B$11,Paramètres!$A$1:$I$89,3,0)*0.475*44/12</f>
        <v>1.9067220880043332</v>
      </c>
      <c r="BR47" s="21">
        <f>EXP(-LN(2)/2)*BR46+(1-EXP(-LN(2)/2))/(LN(2)/2)*BL47*BO47*VLOOKUP('Données projet'!$B$11,Paramètres!$A$1:$I$89,3,0)*0.475*44/12</f>
        <v>0.43502131192768057</v>
      </c>
      <c r="BS47" s="22">
        <f t="shared" si="9"/>
        <v>16.678849891660242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">
      <c r="A48" s="10">
        <f t="shared" si="31"/>
        <v>45</v>
      </c>
      <c r="B48" s="73">
        <f>'Scénario référence'!$B$16*5+'Scénario référence'!$B$17*0+'Scénario référence'!$B$18*5</f>
        <v>5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">
        <f t="shared" si="32"/>
        <v>0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18.333333333333332</v>
      </c>
      <c r="H48" s="67">
        <f t="shared" si="1"/>
        <v>183.33333333333334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13.833333333333334</v>
      </c>
      <c r="N48" s="13">
        <f>IF('Données projet'!$A$36&gt;35,N47+M48-V47,IF(A48&lt;'Données projet'!$A$36,$K$205^A48,IF(A48='Données projet'!$A$36,'Données projet'!$B$36,N47+M48-V47)))</f>
        <v>221.16666666666669</v>
      </c>
      <c r="O48" s="13">
        <f>N48*VLOOKUP('Données projet'!$B$9,Paramètres!$A$1:$I$89,3,0)*VLOOKUP('Données projet'!$B$9,Paramètres!$A$1:$I$89,5,0)</f>
        <v>132.25766666666669</v>
      </c>
      <c r="P48" s="13">
        <f t="shared" si="33"/>
        <v>34.517515905668397</v>
      </c>
      <c r="Q48" s="20">
        <f t="shared" si="53"/>
        <v>290.46677631348359</v>
      </c>
      <c r="R48" s="59">
        <f t="shared" si="0"/>
        <v>542.09353386431769</v>
      </c>
      <c r="S48" s="59">
        <f ca="1">AVERAGE(OFFSET($R$3,0,0,'Données projet'!$E$9+1,1))-AVERAGE(OFFSET($H$3,0,0,'Données projet'!$E$9+1,1))</f>
        <v>219.4022220248072</v>
      </c>
      <c r="T48" s="59">
        <f t="shared" si="34"/>
        <v>199.30065726913725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28.420410683475424</v>
      </c>
      <c r="AA48" s="21">
        <f>EXP(-LN(2)/25)*AA47+(1-EXP(-LN(2)/25))/(LN(2)/25)*Calculateur!V48*Calculateur!X48*VLOOKUP('Données projet'!$B$9,Paramètres!$A$1:$I$89,3,0)*0.475*44/12</f>
        <v>7.6527300556903111</v>
      </c>
      <c r="AB48" s="21">
        <f>EXP(-LN(2)/2)*AB47+(1-EXP(-LN(2)/2))/(LN(2)/2)*V48*Y48*VLOOKUP('Données projet'!$B$9,Paramètres!$A$1:$I$89,3,0)*0.475*44/12</f>
        <v>1.0251364452878853</v>
      </c>
      <c r="AC48" s="22">
        <f t="shared" si="3"/>
        <v>37.098277184453622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>
        <f>VLOOKUP(A48,'Données projet'!$A$61:$I$81,2,0)</f>
        <v>158</v>
      </c>
      <c r="AG48" s="12">
        <f>VLOOKUP(A48,'Données projet'!$A$61:$I$81,9,0)</f>
        <v>8.4</v>
      </c>
      <c r="AH48" s="12">
        <f t="array" ref="AH48">INDEX(AG:AG,MIN(IF(ISNUMBER(AG48:AG244),ROW(AG48:AG244),"")))</f>
        <v>8.4</v>
      </c>
      <c r="AI48" s="13">
        <f>IF('Données projet'!$A$62&gt;35,AI47+AH48-AQ47,IF(A48&lt;'Données projet'!$A$62,$AF$205^A48,IF(A48='Données projet'!$A$62,'Données projet'!$B$62,AI47+AH48-AQ47)))</f>
        <v>158.00000000000006</v>
      </c>
      <c r="AJ48" s="13">
        <f>AI48*VLOOKUP('Données projet'!$B$10,Paramètres!$A$1:$I$89,3,0)*VLOOKUP('Données projet'!$B$10,Paramètres!$A$1:$I$89,5,0)</f>
        <v>142.95840000000004</v>
      </c>
      <c r="AK48" s="13">
        <f t="shared" si="35"/>
        <v>36.973906370811264</v>
      </c>
      <c r="AL48" s="20">
        <f t="shared" si="4"/>
        <v>313.38210026249641</v>
      </c>
      <c r="AM48" s="59">
        <f t="shared" si="5"/>
        <v>565.00885781333056</v>
      </c>
      <c r="AN48" s="59">
        <f ca="1">AVERAGE(OFFSET($AM$3,0,0,'Données projet'!$E$10+1,1))-AVERAGE(OFFSET($H$3,0,0,'Données projet'!$E$10+1,1))</f>
        <v>406.64650428071837</v>
      </c>
      <c r="AO48" s="59">
        <f t="shared" si="36"/>
        <v>250.47702091764884</v>
      </c>
      <c r="AP48" s="15">
        <f>IF(ISNA(VLOOKUP(A48,'Données projet'!$A$61:$I$81,3,0)),0,VLOOKUP(A48,'Données projet'!$A$61:$I$81,3,0))</f>
        <v>5</v>
      </c>
      <c r="AQ48" s="15">
        <f>IF(ISNA(VLOOKUP(A48,'Données projet'!$A$61:$I$81,4,0)),0,VLOOKUP(A48,'Données projet'!$A$61:$I$81,4,0))</f>
        <v>21</v>
      </c>
      <c r="AR48" s="16">
        <f>IF(ISNA(VLOOKUP(A48,'Données projet'!$A$61:$I$81,5,0)),0%,VLOOKUP(A48,'Données projet'!$A$61:$I$81,5,0)*VLOOKUP('Données projet'!$B$10,Paramètres!$A$1:$I$89,7,0))</f>
        <v>0.25800000000000001</v>
      </c>
      <c r="AS48" s="16">
        <f>IF(ISNA(VLOOKUP(A48,'Données projet'!$A$61:$I$81,6,0)),0%,VLOOKUP(A48,'Données projet'!$A$61:$I$81,6,0)*VLOOKUP('Données projet'!$B$10,Paramètres!$A$1:$I$89,7,0))</f>
        <v>1.72E-2</v>
      </c>
      <c r="AT48" s="16">
        <f>IF(ISNA(VLOOKUP(A48,'Données projet'!$A$61:$I$81,7,0)),0%,VLOOKUP(A48,'Données projet'!$A$61:$I$81,7,0))</f>
        <v>0.06</v>
      </c>
      <c r="AU48" s="21">
        <f>EXP(-LN(2)/35)*AU47+(1-EXP(-LN(2)/35))/(LN(2)/35)*AQ48*AR48*VLOOKUP('Données projet'!$B$10,Paramètres!$A$1:$I$89,3,0)*0.475*44/12</f>
        <v>11.655200594027377</v>
      </c>
      <c r="AV48" s="21">
        <f>EXP(-LN(2)/25)*AV47+(1-EXP(-LN(2)/25))/(LN(2)/25)*Calculateur!AQ48*Calculateur!AS48*VLOOKUP('Données projet'!$B$10,Paramètres!$A$1:$I$89,3,0)*0.475*44/12</f>
        <v>1.531860214582603</v>
      </c>
      <c r="AW48" s="21">
        <f>EXP(-LN(2)/2)*AW47+(1-EXP(-LN(2)/2))/(LN(2)/2)*AQ48*AT48*VLOOKUP('Données projet'!$B$10,Paramètres!$A$1:$I$89,3,0)*0.475*44/12</f>
        <v>1.5232004467143401</v>
      </c>
      <c r="AX48" s="21">
        <f t="shared" si="6"/>
        <v>14.710261255324319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>
        <f>VLOOKUP(A48,'Données projet'!$A$87:$I$107,2,0)</f>
        <v>238</v>
      </c>
      <c r="BB48" s="12">
        <f>VLOOKUP(A48,'Données projet'!$A$87:$I$107,9,0)</f>
        <v>9</v>
      </c>
      <c r="BC48" s="12">
        <f t="array" ref="BC48">INDEX(BB:BB,MIN(IF(ISNUMBER(BB48:BB244),ROW(BB48:BB244),"")))</f>
        <v>9</v>
      </c>
      <c r="BD48" s="12">
        <f>IF('Données projet'!$A$88&gt;35,BD47+BC48-BL47,IF(A48&lt;'Données projet'!$A$88,$BA$205^A48,IF(A48='Données projet'!$A$88,'Données projet'!$B$88,BD47+BC48-BL47)))</f>
        <v>237.99999999999989</v>
      </c>
      <c r="BE48" s="13">
        <f>BD48*VLOOKUP('Données projet'!$B$11,Paramètres!$A$1:$I$89,3,0)*VLOOKUP('Données projet'!$B$11,Paramètres!$A$1:$I$89,5,0)</f>
        <v>226.48079999999987</v>
      </c>
      <c r="BF48" s="13">
        <f t="shared" si="37"/>
        <v>55.521066703161971</v>
      </c>
      <c r="BG48" s="20">
        <f t="shared" si="7"/>
        <v>491.15325117467358</v>
      </c>
      <c r="BH48" s="59">
        <f t="shared" si="8"/>
        <v>742.78000872550774</v>
      </c>
      <c r="BI48" s="59">
        <f ca="1">AVERAGE(OFFSET($BH$3,0,0,'Données projet'!$E$11+1,1))-AVERAGE(OFFSET($H$3,0,0,'Données projet'!$E$11+1,1))</f>
        <v>387.78453964980849</v>
      </c>
      <c r="BJ48" s="59">
        <f t="shared" si="38"/>
        <v>395.13533152274488</v>
      </c>
      <c r="BK48" s="15">
        <f>IF(ISNA(VLOOKUP(A48,'Données projet'!$A$87:$I$107,3,0)),0,VLOOKUP(A48,'Données projet'!$A$87:$I$107,3,0))</f>
        <v>7</v>
      </c>
      <c r="BL48" s="15">
        <f>IF(ISNA(VLOOKUP(A48,'Données projet'!$A$87:$I$107,4,0)),0,VLOOKUP(A48,'Données projet'!$A$87:$I$107,4,0))</f>
        <v>24</v>
      </c>
      <c r="BM48" s="16">
        <f>IF(ISNA(VLOOKUP(A48,'Données projet'!$A$87:$I$107,5,0)),0%,VLOOKUP(A48,'Données projet'!$A$87:$I$107,5,0)*VLOOKUP('Données projet'!$B$11,Paramètres!$A$1:$I$89,7,0))</f>
        <v>0.25800000000000001</v>
      </c>
      <c r="BN48" s="16">
        <f>IF(ISNA(VLOOKUP(A48,'Données projet'!$A$87:$I$107,6,0)),0%,VLOOKUP(A48,'Données projet'!$A$87:$I$107,6,0)*VLOOKUP('Données projet'!$B$11,Paramètres!$A$1:$I$89,7,0))</f>
        <v>1.72E-2</v>
      </c>
      <c r="BO48" s="16">
        <f>IF(ISNA(VLOOKUP(A48,'Données projet'!$A$87:$I$107,7,0)),0%,VLOOKUP(A48,'Données projet'!$A$87:$I$107,7,0))</f>
        <v>0.06</v>
      </c>
      <c r="BP48" s="21">
        <f>EXP(-LN(2)/35)*BP47+(1-EXP(-LN(2)/35))/(LN(2)/35)*BL48*BM48*VLOOKUP('Données projet'!$B$11,Paramètres!$A$1:$I$89,3,0)*0.475*44/12</f>
        <v>20.569735654905656</v>
      </c>
      <c r="BQ48" s="21">
        <f>EXP(-LN(2)/25)*BQ47+(1-EXP(-LN(2)/25))/(LN(2)/25)*Calculateur!BL48*Calculateur!BN48*VLOOKUP('Données projet'!$B$11,Paramètres!$A$1:$I$89,3,0)*0.475*44/12</f>
        <v>2.2871242641069225</v>
      </c>
      <c r="BR48" s="21">
        <f>EXP(-LN(2)/2)*BR47+(1-EXP(-LN(2)/2))/(LN(2)/2)*BL48*BO48*VLOOKUP('Données projet'!$B$11,Paramètres!$A$1:$I$89,3,0)*0.475*44/12</f>
        <v>1.600525224816153</v>
      </c>
      <c r="BS48" s="22">
        <f t="shared" si="9"/>
        <v>24.457385143828731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">
      <c r="A49" s="10">
        <f t="shared" si="31"/>
        <v>46</v>
      </c>
      <c r="B49" s="73">
        <f>'Scénario référence'!$B$16*5+'Scénario référence'!$B$17*0+'Scénario référence'!$B$18*5</f>
        <v>5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">
        <f t="shared" si="32"/>
        <v>0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18.333333333333332</v>
      </c>
      <c r="H49" s="67">
        <f t="shared" si="1"/>
        <v>183.33333333333334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>
        <f>VLOOKUP(A49,'Données projet'!$A$35:$I$55,2,0)</f>
        <v>235</v>
      </c>
      <c r="L49" s="12">
        <f>VLOOKUP(A49,'Données projet'!$A$35:$I$55,9,0)</f>
        <v>13.833333333333334</v>
      </c>
      <c r="M49" s="12">
        <f t="array" ref="M49">INDEX(L:L,MIN(IF(ISNUMBER(L49:L245),ROW(L49:L245),"")))</f>
        <v>13.833333333333334</v>
      </c>
      <c r="N49" s="13">
        <f>IF('Données projet'!$A$36&gt;35,N48+M49-V48,IF(A49&lt;'Données projet'!$A$36,$K$205^A49,IF(A49='Données projet'!$A$36,'Données projet'!$B$36,N48+M49-V48)))</f>
        <v>235.00000000000003</v>
      </c>
      <c r="O49" s="13">
        <f>N49*VLOOKUP('Données projet'!$B$9,Paramètres!$A$1:$I$89,3,0)*VLOOKUP('Données projet'!$B$9,Paramètres!$A$1:$I$89,5,0)</f>
        <v>140.53000000000003</v>
      </c>
      <c r="P49" s="13">
        <f t="shared" si="33"/>
        <v>36.418394338798741</v>
      </c>
      <c r="Q49" s="20">
        <f t="shared" si="53"/>
        <v>308.1851201400745</v>
      </c>
      <c r="R49" s="59">
        <f t="shared" si="0"/>
        <v>560.53539353880012</v>
      </c>
      <c r="S49" s="59">
        <f ca="1">AVERAGE(OFFSET($R$3,0,0,'Données projet'!$E$9+1,1))-AVERAGE(OFFSET($H$3,0,0,'Données projet'!$E$9+1,1))</f>
        <v>219.4022220248072</v>
      </c>
      <c r="T49" s="59">
        <f t="shared" si="34"/>
        <v>199.30065726913725</v>
      </c>
      <c r="U49" s="15">
        <f>IF(ISNA(VLOOKUP(A49,'Données projet'!$A$35:$I$55,3,0)),0,VLOOKUP(A49,'Données projet'!$A$35:$I$55,3,0))</f>
        <v>7</v>
      </c>
      <c r="V49" s="15">
        <f>IF(ISNA(VLOOKUP(A49,'Données projet'!$A$35:$I$55,4,0)),0,VLOOKUP(A49,'Données projet'!$A$35:$I$55,4,0))</f>
        <v>29</v>
      </c>
      <c r="W49" s="16">
        <f>IF(ISNA(VLOOKUP(A49,'Données projet'!$A$35:$I$55,5,0)),0%,VLOOKUP(A49,'Données projet'!$A$35:$I$55,5,0)*VLOOKUP('Données projet'!$B$9,Paramètres!$A$1:$I$89,7,0))</f>
        <v>0.315</v>
      </c>
      <c r="X49" s="16">
        <f>IF(ISNA(VLOOKUP(A49,'Données projet'!$A$35:$I$55,6,0)),0%,VLOOKUP(A49,'Données projet'!$A$35:$I$55,6,0)*VLOOKUP('Données projet'!$B$9,Paramètres!$A$1:$I$89,7,0))</f>
        <v>5.3999999999999999E-2</v>
      </c>
      <c r="Y49" s="16">
        <f>IF(ISNA(VLOOKUP(A49,'Données projet'!$A$35:$I$55,7,0)),0%,VLOOKUP(A49,'Données projet'!$A$35:$I$55,7,0))</f>
        <v>0.18</v>
      </c>
      <c r="Z49" s="21">
        <f>EXP(-LN(2)/35)*Z48+(1-EXP(-LN(2)/35))/(LN(2)/35)*V49*W49*VLOOKUP('Données projet'!$B$9,Paramètres!$A$1:$I$89,3,0)*0.475*44/12</f>
        <v>35.109767212374564</v>
      </c>
      <c r="AA49" s="21">
        <f>EXP(-LN(2)/25)*AA48+(1-EXP(-LN(2)/25))/(LN(2)/25)*Calculateur!V49*Calculateur!X49*VLOOKUP('Données projet'!$B$9,Paramètres!$A$1:$I$89,3,0)*0.475*44/12</f>
        <v>8.6808595623020839</v>
      </c>
      <c r="AB49" s="21">
        <f>EXP(-LN(2)/2)*AB48+(1-EXP(-LN(2)/2))/(LN(2)/2)*V49*Y49*VLOOKUP('Données projet'!$B$9,Paramètres!$A$1:$I$89,3,0)*0.475*44/12</f>
        <v>4.2592119827712507</v>
      </c>
      <c r="AC49" s="22">
        <f t="shared" si="3"/>
        <v>48.049838757447894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8.1999999999999993</v>
      </c>
      <c r="AI49" s="13">
        <f>IF('Données projet'!$A$62&gt;35,AI48+AH49-AQ48,IF(A49&lt;'Données projet'!$A$62,$AF$205^A49,IF(A49='Données projet'!$A$62,'Données projet'!$B$62,AI48+AH49-AQ48)))</f>
        <v>145.20000000000005</v>
      </c>
      <c r="AJ49" s="13">
        <f>AI49*VLOOKUP('Données projet'!$B$10,Paramètres!$A$1:$I$89,3,0)*VLOOKUP('Données projet'!$B$10,Paramètres!$A$1:$I$89,5,0)</f>
        <v>131.37696000000003</v>
      </c>
      <c r="AK49" s="13">
        <f t="shared" si="35"/>
        <v>34.314338988223334</v>
      </c>
      <c r="AL49" s="20">
        <f t="shared" si="4"/>
        <v>288.57901240448905</v>
      </c>
      <c r="AM49" s="59">
        <f t="shared" si="5"/>
        <v>540.92928580321473</v>
      </c>
      <c r="AN49" s="59">
        <f ca="1">AVERAGE(OFFSET($AM$3,0,0,'Données projet'!$E$10+1,1))-AVERAGE(OFFSET($H$3,0,0,'Données projet'!$E$10+1,1))</f>
        <v>406.64650428071837</v>
      </c>
      <c r="AO49" s="59">
        <f t="shared" si="36"/>
        <v>250.47702091764884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11.42664921934891</v>
      </c>
      <c r="AV49" s="21">
        <f>EXP(-LN(2)/25)*AV48+(1-EXP(-LN(2)/25))/(LN(2)/25)*Calculateur!AQ49*Calculateur!AS49*VLOOKUP('Données projet'!$B$10,Paramètres!$A$1:$I$89,3,0)*0.475*44/12</f>
        <v>1.4899714164578142</v>
      </c>
      <c r="AW49" s="21">
        <f>EXP(-LN(2)/2)*AW48+(1-EXP(-LN(2)/2))/(LN(2)/2)*AQ49*AT49*VLOOKUP('Données projet'!$B$10,Paramètres!$A$1:$I$89,3,0)*0.475*44/12</f>
        <v>1.0770653649780884</v>
      </c>
      <c r="AX49" s="21">
        <f t="shared" si="6"/>
        <v>13.993686000784813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8.6</v>
      </c>
      <c r="BD49" s="12">
        <f>IF('Données projet'!$A$88&gt;35,BD48+BC49-BL48,IF(A49&lt;'Données projet'!$A$88,$BA$205^A49,IF(A49='Données projet'!$A$88,'Données projet'!$B$88,BD48+BC49-BL48)))</f>
        <v>222.59999999999988</v>
      </c>
      <c r="BE49" s="13">
        <f>BD49*VLOOKUP('Données projet'!$B$11,Paramètres!$A$1:$I$89,3,0)*VLOOKUP('Données projet'!$B$11,Paramètres!$A$1:$I$89,5,0)</f>
        <v>211.82615999999987</v>
      </c>
      <c r="BF49" s="13">
        <f t="shared" si="37"/>
        <v>52.334446286305713</v>
      </c>
      <c r="BG49" s="20">
        <f t="shared" si="7"/>
        <v>460.07972261531557</v>
      </c>
      <c r="BH49" s="59">
        <f t="shared" si="8"/>
        <v>712.42999601404119</v>
      </c>
      <c r="BI49" s="59">
        <f ca="1">AVERAGE(OFFSET($BH$3,0,0,'Données projet'!$E$11+1,1))-AVERAGE(OFFSET($H$3,0,0,'Données projet'!$E$11+1,1))</f>
        <v>387.78453964980849</v>
      </c>
      <c r="BJ49" s="59">
        <f t="shared" si="38"/>
        <v>395.13533152274488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20.166375685012863</v>
      </c>
      <c r="BQ49" s="21">
        <f>EXP(-LN(2)/25)*BQ48+(1-EXP(-LN(2)/25))/(LN(2)/25)*Calculateur!BL49*Calculateur!BN49*VLOOKUP('Données projet'!$B$11,Paramètres!$A$1:$I$89,3,0)*0.475*44/12</f>
        <v>2.224582730830281</v>
      </c>
      <c r="BR49" s="21">
        <f>EXP(-LN(2)/2)*BR48+(1-EXP(-LN(2)/2))/(LN(2)/2)*BL49*BO49*VLOOKUP('Données projet'!$B$11,Paramètres!$A$1:$I$89,3,0)*0.475*44/12</f>
        <v>1.1317422399276253</v>
      </c>
      <c r="BS49" s="22">
        <f t="shared" si="9"/>
        <v>23.52270065577077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">
      <c r="A50" s="10">
        <f t="shared" si="31"/>
        <v>47</v>
      </c>
      <c r="B50" s="73">
        <f>'Scénario référence'!$B$16*5+'Scénario référence'!$B$17*0+'Scénario référence'!$B$18*5</f>
        <v>5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">
        <f t="shared" si="32"/>
        <v>0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18.333333333333332</v>
      </c>
      <c r="H50" s="67">
        <f t="shared" si="1"/>
        <v>183.33333333333334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9.125</v>
      </c>
      <c r="N50" s="13">
        <f>IF('Données projet'!$A$36&gt;35,N49+M50-V49,IF(A50&lt;'Données projet'!$A$36,$K$205^A50,IF(A50='Données projet'!$A$36,'Données projet'!$B$36,N49+M50-V49)))</f>
        <v>215.12500000000003</v>
      </c>
      <c r="O50" s="13">
        <f>N50*VLOOKUP('Données projet'!$B$9,Paramètres!$A$1:$I$89,3,0)*VLOOKUP('Données projet'!$B$9,Paramètres!$A$1:$I$89,5,0)</f>
        <v>128.64475000000004</v>
      </c>
      <c r="P50" s="13">
        <f t="shared" si="33"/>
        <v>33.683010103044438</v>
      </c>
      <c r="Q50" s="20">
        <f t="shared" si="53"/>
        <v>282.72084884613577</v>
      </c>
      <c r="R50" s="59">
        <f t="shared" si="0"/>
        <v>535.78208671033121</v>
      </c>
      <c r="S50" s="59">
        <f ca="1">AVERAGE(OFFSET($R$3,0,0,'Données projet'!$E$9+1,1))-AVERAGE(OFFSET($H$3,0,0,'Données projet'!$E$9+1,1))</f>
        <v>219.4022220248072</v>
      </c>
      <c r="T50" s="59">
        <f t="shared" si="34"/>
        <v>199.30065726913725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34.421286092183358</v>
      </c>
      <c r="AA50" s="21">
        <f>EXP(-LN(2)/25)*AA49+(1-EXP(-LN(2)/25))/(LN(2)/25)*Calculateur!V50*Calculateur!X50*VLOOKUP('Données projet'!$B$9,Paramètres!$A$1:$I$89,3,0)*0.475*44/12</f>
        <v>8.4434810010643702</v>
      </c>
      <c r="AB50" s="21">
        <f>EXP(-LN(2)/2)*AB49+(1-EXP(-LN(2)/2))/(LN(2)/2)*V50*Y50*VLOOKUP('Données projet'!$B$9,Paramètres!$A$1:$I$89,3,0)*0.475*44/12</f>
        <v>3.0117176755285522</v>
      </c>
      <c r="AC50" s="22">
        <f t="shared" si="3"/>
        <v>45.87648476877628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8.1999999999999993</v>
      </c>
      <c r="AI50" s="13">
        <f>IF('Données projet'!$A$62&gt;35,AI49+AH50-AQ49,IF(A50&lt;'Données projet'!$A$62,$AF$205^A50,IF(A50='Données projet'!$A$62,'Données projet'!$B$62,AI49+AH50-AQ49)))</f>
        <v>153.40000000000003</v>
      </c>
      <c r="AJ50" s="13">
        <f>AI50*VLOOKUP('Données projet'!$B$10,Paramètres!$A$1:$I$89,3,0)*VLOOKUP('Données projet'!$B$10,Paramètres!$A$1:$I$89,5,0)</f>
        <v>138.79632000000001</v>
      </c>
      <c r="AK50" s="13">
        <f t="shared" si="35"/>
        <v>36.021120886354588</v>
      </c>
      <c r="AL50" s="20">
        <f t="shared" si="4"/>
        <v>304.47370954373423</v>
      </c>
      <c r="AM50" s="59">
        <f t="shared" si="5"/>
        <v>557.53494740792962</v>
      </c>
      <c r="AN50" s="59">
        <f ca="1">AVERAGE(OFFSET($AM$3,0,0,'Données projet'!$E$10+1,1))-AVERAGE(OFFSET($H$3,0,0,'Données projet'!$E$10+1,1))</f>
        <v>406.64650428071837</v>
      </c>
      <c r="AO50" s="59">
        <f t="shared" si="36"/>
        <v>250.47702091764884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11.202579597725315</v>
      </c>
      <c r="AV50" s="21">
        <f>EXP(-LN(2)/25)*AV49+(1-EXP(-LN(2)/25))/(LN(2)/25)*Calculateur!AQ50*Calculateur!AS50*VLOOKUP('Données projet'!$B$10,Paramètres!$A$1:$I$89,3,0)*0.475*44/12</f>
        <v>1.4492280697205839</v>
      </c>
      <c r="AW50" s="21">
        <f>EXP(-LN(2)/2)*AW49+(1-EXP(-LN(2)/2))/(LN(2)/2)*AQ50*AT50*VLOOKUP('Données projet'!$B$10,Paramètres!$A$1:$I$89,3,0)*0.475*44/12</f>
        <v>0.76160022335717015</v>
      </c>
      <c r="AX50" s="21">
        <f t="shared" si="6"/>
        <v>13.41340789080307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8.6</v>
      </c>
      <c r="BD50" s="12">
        <f>IF('Données projet'!$A$88&gt;35,BD49+BC50-BL49,IF(A50&lt;'Données projet'!$A$88,$BA$205^A50,IF(A50='Données projet'!$A$88,'Données projet'!$B$88,BD49+BC50-BL49)))</f>
        <v>231.19999999999987</v>
      </c>
      <c r="BE50" s="13">
        <f>BD50*VLOOKUP('Données projet'!$B$11,Paramètres!$A$1:$I$89,3,0)*VLOOKUP('Données projet'!$B$11,Paramètres!$A$1:$I$89,5,0)</f>
        <v>220.00991999999988</v>
      </c>
      <c r="BF50" s="13">
        <f t="shared" si="37"/>
        <v>54.117041777925152</v>
      </c>
      <c r="BG50" s="20">
        <f t="shared" si="7"/>
        <v>477.43779176321937</v>
      </c>
      <c r="BH50" s="59">
        <f t="shared" si="8"/>
        <v>730.49902962741476</v>
      </c>
      <c r="BI50" s="59">
        <f ca="1">AVERAGE(OFFSET($BH$3,0,0,'Données projet'!$E$11+1,1))-AVERAGE(OFFSET($H$3,0,0,'Données projet'!$E$11+1,1))</f>
        <v>387.78453964980849</v>
      </c>
      <c r="BJ50" s="59">
        <f t="shared" si="38"/>
        <v>395.13533152274488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19.770925358104378</v>
      </c>
      <c r="BQ50" s="21">
        <f>EXP(-LN(2)/25)*BQ49+(1-EXP(-LN(2)/25))/(LN(2)/25)*Calculateur!BL50*Calculateur!BN50*VLOOKUP('Données projet'!$B$11,Paramètres!$A$1:$I$89,3,0)*0.475*44/12</f>
        <v>2.1637513990700055</v>
      </c>
      <c r="BR50" s="21">
        <f>EXP(-LN(2)/2)*BR49+(1-EXP(-LN(2)/2))/(LN(2)/2)*BL50*BO50*VLOOKUP('Données projet'!$B$11,Paramètres!$A$1:$I$89,3,0)*0.475*44/12</f>
        <v>0.80026261240807661</v>
      </c>
      <c r="BS50" s="22">
        <f t="shared" si="9"/>
        <v>22.73493936958246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">
      <c r="A51" s="10">
        <f t="shared" si="31"/>
        <v>48</v>
      </c>
      <c r="B51" s="73">
        <f>'Scénario référence'!$B$16*5+'Scénario référence'!$B$17*0+'Scénario référence'!$B$18*5</f>
        <v>5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">
        <f t="shared" si="32"/>
        <v>0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18.333333333333332</v>
      </c>
      <c r="H51" s="67">
        <f t="shared" si="1"/>
        <v>183.33333333333334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9.125</v>
      </c>
      <c r="N51" s="13">
        <f>IF('Données projet'!$A$36&gt;35,N50+M51-V50,IF(A51&lt;'Données projet'!$A$36,$K$205^A51,IF(A51='Données projet'!$A$36,'Données projet'!$B$36,N50+M51-V50)))</f>
        <v>224.25000000000003</v>
      </c>
      <c r="O51" s="13">
        <f>N51*VLOOKUP('Données projet'!$B$9,Paramètres!$A$1:$I$89,3,0)*VLOOKUP('Données projet'!$B$9,Paramètres!$A$1:$I$89,5,0)</f>
        <v>134.10150000000002</v>
      </c>
      <c r="P51" s="13">
        <f t="shared" si="33"/>
        <v>34.942375413956256</v>
      </c>
      <c r="Q51" s="20">
        <f t="shared" si="53"/>
        <v>294.41808301264047</v>
      </c>
      <c r="R51" s="59">
        <f t="shared" si="0"/>
        <v>548.17795169830811</v>
      </c>
      <c r="S51" s="59">
        <f ca="1">AVERAGE(OFFSET($R$3,0,0,'Données projet'!$E$9+1,1))-AVERAGE(OFFSET($H$3,0,0,'Données projet'!$E$9+1,1))</f>
        <v>219.4022220248072</v>
      </c>
      <c r="T51" s="59">
        <f t="shared" si="34"/>
        <v>199.30065726913725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33.746305666827084</v>
      </c>
      <c r="AA51" s="21">
        <f>EXP(-LN(2)/25)*AA50+(1-EXP(-LN(2)/25))/(LN(2)/25)*Calculateur!V51*Calculateur!X51*VLOOKUP('Données projet'!$B$9,Paramètres!$A$1:$I$89,3,0)*0.475*44/12</f>
        <v>8.2125935690668967</v>
      </c>
      <c r="AB51" s="21">
        <f>EXP(-LN(2)/2)*AB50+(1-EXP(-LN(2)/2))/(LN(2)/2)*V51*Y51*VLOOKUP('Données projet'!$B$9,Paramètres!$A$1:$I$89,3,0)*0.475*44/12</f>
        <v>2.1296059913856258</v>
      </c>
      <c r="AC51" s="22">
        <f t="shared" si="3"/>
        <v>44.088505227279605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8.1999999999999993</v>
      </c>
      <c r="AI51" s="13">
        <f>IF('Données projet'!$A$62&gt;35,AI50+AH51-AQ50,IF(A51&lt;'Données projet'!$A$62,$AF$205^A51,IF(A51='Données projet'!$A$62,'Données projet'!$B$62,AI50+AH51-AQ50)))</f>
        <v>161.60000000000002</v>
      </c>
      <c r="AJ51" s="13">
        <f>AI51*VLOOKUP('Données projet'!$B$10,Paramètres!$A$1:$I$89,3,0)*VLOOKUP('Données projet'!$B$10,Paramètres!$A$1:$I$89,5,0)</f>
        <v>146.21568000000002</v>
      </c>
      <c r="AK51" s="13">
        <f t="shared" si="35"/>
        <v>37.717310552893402</v>
      </c>
      <c r="AL51" s="20">
        <f t="shared" si="4"/>
        <v>320.34995854628937</v>
      </c>
      <c r="AM51" s="59">
        <f t="shared" si="5"/>
        <v>574.10982723195707</v>
      </c>
      <c r="AN51" s="59">
        <f ca="1">AVERAGE(OFFSET($AM$3,0,0,'Données projet'!$E$10+1,1))-AVERAGE(OFFSET($H$3,0,0,'Données projet'!$E$10+1,1))</f>
        <v>406.64650428071837</v>
      </c>
      <c r="AO51" s="59">
        <f t="shared" si="36"/>
        <v>250.47702091764884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10.982903844712784</v>
      </c>
      <c r="AV51" s="21">
        <f>EXP(-LN(2)/25)*AV50+(1-EXP(-LN(2)/25))/(LN(2)/25)*Calculateur!AQ51*Calculateur!AS51*VLOOKUP('Données projet'!$B$10,Paramètres!$A$1:$I$89,3,0)*0.475*44/12</f>
        <v>1.4095988519424827</v>
      </c>
      <c r="AW51" s="21">
        <f>EXP(-LN(2)/2)*AW50+(1-EXP(-LN(2)/2))/(LN(2)/2)*AQ51*AT51*VLOOKUP('Données projet'!$B$10,Paramètres!$A$1:$I$89,3,0)*0.475*44/12</f>
        <v>0.53853268248904429</v>
      </c>
      <c r="AX51" s="21">
        <f t="shared" si="6"/>
        <v>12.931035379144312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8.6</v>
      </c>
      <c r="BD51" s="12">
        <f>IF('Données projet'!$A$88&gt;35,BD50+BC51-BL50,IF(A51&lt;'Données projet'!$A$88,$BA$205^A51,IF(A51='Données projet'!$A$88,'Données projet'!$B$88,BD50+BC51-BL50)))</f>
        <v>239.79999999999987</v>
      </c>
      <c r="BE51" s="13">
        <f>BD51*VLOOKUP('Données projet'!$B$11,Paramètres!$A$1:$I$89,3,0)*VLOOKUP('Données projet'!$B$11,Paramètres!$A$1:$I$89,5,0)</f>
        <v>228.19367999999986</v>
      </c>
      <c r="BF51" s="13">
        <f t="shared" si="37"/>
        <v>55.891933871330544</v>
      </c>
      <c r="BG51" s="20">
        <f t="shared" si="7"/>
        <v>494.78244415923376</v>
      </c>
      <c r="BH51" s="59">
        <f t="shared" si="8"/>
        <v>748.54231284490152</v>
      </c>
      <c r="BI51" s="59">
        <f ca="1">AVERAGE(OFFSET($BH$3,0,0,'Données projet'!$E$11+1,1))-AVERAGE(OFFSET($H$3,0,0,'Données projet'!$E$11+1,1))</f>
        <v>387.78453964980849</v>
      </c>
      <c r="BJ51" s="59">
        <f t="shared" si="38"/>
        <v>395.13533152274488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19.383229570905684</v>
      </c>
      <c r="BQ51" s="21">
        <f>EXP(-LN(2)/25)*BQ50+(1-EXP(-LN(2)/25))/(LN(2)/25)*Calculateur!BL51*Calculateur!BN51*VLOOKUP('Données projet'!$B$11,Paramètres!$A$1:$I$89,3,0)*0.475*44/12</f>
        <v>2.1045835032756952</v>
      </c>
      <c r="BR51" s="21">
        <f>EXP(-LN(2)/2)*BR50+(1-EXP(-LN(2)/2))/(LN(2)/2)*BL51*BO51*VLOOKUP('Données projet'!$B$11,Paramètres!$A$1:$I$89,3,0)*0.475*44/12</f>
        <v>0.56587111996381279</v>
      </c>
      <c r="BS51" s="22">
        <f t="shared" si="9"/>
        <v>22.053684194145191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">
      <c r="A52" s="10">
        <f t="shared" si="31"/>
        <v>49</v>
      </c>
      <c r="B52" s="73">
        <f>'Scénario référence'!$B$16*5+'Scénario référence'!$B$17*0+'Scénario référence'!$B$18*5</f>
        <v>5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">
        <f t="shared" si="32"/>
        <v>0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18.333333333333332</v>
      </c>
      <c r="H52" s="67">
        <f t="shared" si="1"/>
        <v>183.33333333333334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9.125</v>
      </c>
      <c r="N52" s="13">
        <f>IF('Données projet'!$A$36&gt;35,N51+M52-V51,IF(A52&lt;'Données projet'!$A$36,$K$205^A52,IF(A52='Données projet'!$A$36,'Données projet'!$B$36,N51+M52-V51)))</f>
        <v>233.37500000000003</v>
      </c>
      <c r="O52" s="13">
        <f>N52*VLOOKUP('Données projet'!$B$9,Paramètres!$A$1:$I$89,3,0)*VLOOKUP('Données projet'!$B$9,Paramètres!$A$1:$I$89,5,0)</f>
        <v>139.55825000000004</v>
      </c>
      <c r="P52" s="13">
        <f t="shared" si="33"/>
        <v>36.195788167092942</v>
      </c>
      <c r="Q52" s="20">
        <f t="shared" si="53"/>
        <v>306.10494980768692</v>
      </c>
      <c r="R52" s="59">
        <f t="shared" si="0"/>
        <v>560.55132963197889</v>
      </c>
      <c r="S52" s="59">
        <f ca="1">AVERAGE(OFFSET($R$3,0,0,'Données projet'!$E$9+1,1))-AVERAGE(OFFSET($H$3,0,0,'Données projet'!$E$9+1,1))</f>
        <v>219.4022220248072</v>
      </c>
      <c r="T52" s="59">
        <f t="shared" si="34"/>
        <v>199.30065726913725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33.084561195914638</v>
      </c>
      <c r="AA52" s="21">
        <f>EXP(-LN(2)/25)*AA51+(1-EXP(-LN(2)/25))/(LN(2)/25)*Calculateur!V52*Calculateur!X52*VLOOKUP('Données projet'!$B$9,Paramètres!$A$1:$I$89,3,0)*0.475*44/12</f>
        <v>7.9880197660392369</v>
      </c>
      <c r="AB52" s="21">
        <f>EXP(-LN(2)/2)*AB51+(1-EXP(-LN(2)/2))/(LN(2)/2)*V52*Y52*VLOOKUP('Données projet'!$B$9,Paramètres!$A$1:$I$89,3,0)*0.475*44/12</f>
        <v>1.5058588377642763</v>
      </c>
      <c r="AC52" s="22">
        <f t="shared" si="3"/>
        <v>42.578439799718154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8.1999999999999993</v>
      </c>
      <c r="AI52" s="13">
        <f>IF('Données projet'!$A$62&gt;35,AI51+AH52-AQ51,IF(A52&lt;'Données projet'!$A$62,$AF$205^A52,IF(A52='Données projet'!$A$62,'Données projet'!$B$62,AI51+AH52-AQ51)))</f>
        <v>169.8</v>
      </c>
      <c r="AJ52" s="13">
        <f>AI52*VLOOKUP('Données projet'!$B$10,Paramètres!$A$1:$I$89,3,0)*VLOOKUP('Données projet'!$B$10,Paramètres!$A$1:$I$89,5,0)</f>
        <v>153.63504</v>
      </c>
      <c r="AK52" s="13">
        <f t="shared" si="35"/>
        <v>39.403506785222667</v>
      </c>
      <c r="AL52" s="20">
        <f t="shared" si="4"/>
        <v>336.20880231759617</v>
      </c>
      <c r="AM52" s="59">
        <f t="shared" si="5"/>
        <v>590.65518214188819</v>
      </c>
      <c r="AN52" s="59">
        <f ca="1">AVERAGE(OFFSET($AM$3,0,0,'Données projet'!$E$10+1,1))-AVERAGE(OFFSET($H$3,0,0,'Données projet'!$E$10+1,1))</f>
        <v>406.64650428071837</v>
      </c>
      <c r="AO52" s="59">
        <f t="shared" si="36"/>
        <v>250.47702091764884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10.767535799227849</v>
      </c>
      <c r="AV52" s="21">
        <f>EXP(-LN(2)/25)*AV51+(1-EXP(-LN(2)/25))/(LN(2)/25)*Calculateur!AQ52*Calculateur!AS52*VLOOKUP('Données projet'!$B$10,Paramètres!$A$1:$I$89,3,0)*0.475*44/12</f>
        <v>1.3710532972085336</v>
      </c>
      <c r="AW52" s="21">
        <f>EXP(-LN(2)/2)*AW51+(1-EXP(-LN(2)/2))/(LN(2)/2)*AQ52*AT52*VLOOKUP('Données projet'!$B$10,Paramètres!$A$1:$I$89,3,0)*0.475*44/12</f>
        <v>0.38080011167858513</v>
      </c>
      <c r="AX52" s="21">
        <f t="shared" si="6"/>
        <v>12.519389208114967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8.6</v>
      </c>
      <c r="BD52" s="12">
        <f>IF('Données projet'!$A$88&gt;35,BD51+BC52-BL51,IF(A52&lt;'Données projet'!$A$88,$BA$205^A52,IF(A52='Données projet'!$A$88,'Données projet'!$B$88,BD51+BC52-BL51)))</f>
        <v>248.39999999999986</v>
      </c>
      <c r="BE52" s="13">
        <f>BD52*VLOOKUP('Données projet'!$B$11,Paramètres!$A$1:$I$89,3,0)*VLOOKUP('Données projet'!$B$11,Paramètres!$A$1:$I$89,5,0)</f>
        <v>236.37743999999986</v>
      </c>
      <c r="BF52" s="13">
        <f t="shared" si="37"/>
        <v>57.659430484223769</v>
      </c>
      <c r="BG52" s="20">
        <f t="shared" si="7"/>
        <v>512.11421609335616</v>
      </c>
      <c r="BH52" s="59">
        <f t="shared" si="8"/>
        <v>766.56059591764813</v>
      </c>
      <c r="BI52" s="59">
        <f ca="1">AVERAGE(OFFSET($BH$3,0,0,'Données projet'!$E$11+1,1))-AVERAGE(OFFSET($H$3,0,0,'Données projet'!$E$11+1,1))</f>
        <v>387.78453964980849</v>
      </c>
      <c r="BJ52" s="59">
        <f t="shared" si="38"/>
        <v>395.13533152274488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19.003136261622878</v>
      </c>
      <c r="BQ52" s="21">
        <f>EXP(-LN(2)/25)*BQ51+(1-EXP(-LN(2)/25))/(LN(2)/25)*Calculateur!BL52*Calculateur!BN52*VLOOKUP('Données projet'!$B$11,Paramètres!$A$1:$I$89,3,0)*0.475*44/12</f>
        <v>2.047033556703385</v>
      </c>
      <c r="BR52" s="21">
        <f>EXP(-LN(2)/2)*BR51+(1-EXP(-LN(2)/2))/(LN(2)/2)*BL52*BO52*VLOOKUP('Données projet'!$B$11,Paramètres!$A$1:$I$89,3,0)*0.475*44/12</f>
        <v>0.40013130620403836</v>
      </c>
      <c r="BS52" s="22">
        <f t="shared" si="9"/>
        <v>21.450301124530302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">
      <c r="A53" s="10">
        <f t="shared" si="31"/>
        <v>50</v>
      </c>
      <c r="B53" s="73">
        <f>'Scénario référence'!$B$16*5+'Scénario référence'!$B$17*0+'Scénario référence'!$B$18*5</f>
        <v>5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">
        <f t="shared" si="32"/>
        <v>0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18.333333333333332</v>
      </c>
      <c r="H53" s="67">
        <f t="shared" si="1"/>
        <v>183.33333333333334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9.125</v>
      </c>
      <c r="N53" s="13">
        <f>IF('Données projet'!$A$36&gt;35,N52+M53-V52,IF(A53&lt;'Données projet'!$A$36,$K$205^A53,IF(A53='Données projet'!$A$36,'Données projet'!$B$36,N52+M53-V52)))</f>
        <v>242.50000000000003</v>
      </c>
      <c r="O53" s="13">
        <f>N53*VLOOKUP('Données projet'!$B$9,Paramètres!$A$1:$I$89,3,0)*VLOOKUP('Données projet'!$B$9,Paramètres!$A$1:$I$89,5,0)</f>
        <v>145.01500000000001</v>
      </c>
      <c r="P53" s="13">
        <f t="shared" si="33"/>
        <v>37.443507744276459</v>
      </c>
      <c r="Q53" s="20">
        <f t="shared" si="53"/>
        <v>317.78190098794818</v>
      </c>
      <c r="R53" s="59">
        <f t="shared" si="0"/>
        <v>572.90288251741822</v>
      </c>
      <c r="S53" s="59">
        <f ca="1">AVERAGE(OFFSET($R$3,0,0,'Données projet'!$E$9+1,1))-AVERAGE(OFFSET($H$3,0,0,'Données projet'!$E$9+1,1))</f>
        <v>219.4022220248072</v>
      </c>
      <c r="T53" s="59">
        <f t="shared" si="34"/>
        <v>199.30065726913725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32.43579313045251</v>
      </c>
      <c r="AA53" s="21">
        <f>EXP(-LN(2)/25)*AA52+(1-EXP(-LN(2)/25))/(LN(2)/25)*Calculateur!V53*Calculateur!X53*VLOOKUP('Données projet'!$B$9,Paramètres!$A$1:$I$89,3,0)*0.475*44/12</f>
        <v>7.7695869454651909</v>
      </c>
      <c r="AB53" s="21">
        <f>EXP(-LN(2)/2)*AB52+(1-EXP(-LN(2)/2))/(LN(2)/2)*V53*Y53*VLOOKUP('Données projet'!$B$9,Paramètres!$A$1:$I$89,3,0)*0.475*44/12</f>
        <v>1.0648029956928129</v>
      </c>
      <c r="AC53" s="22">
        <f t="shared" si="3"/>
        <v>41.270183071610518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178</v>
      </c>
      <c r="AG53" s="12">
        <f>VLOOKUP(A53,'Données projet'!$A$61:$I$81,9,0)</f>
        <v>8.1999999999999993</v>
      </c>
      <c r="AH53" s="12">
        <f t="array" ref="AH53">INDEX(AG:AG,MIN(IF(ISNUMBER(AG53:AG249),ROW(AG53:AG249),"")))</f>
        <v>8.1999999999999993</v>
      </c>
      <c r="AI53" s="13">
        <f>IF('Données projet'!$A$62&gt;35,AI52+AH53-AQ52,IF(A53&lt;'Données projet'!$A$62,$AF$205^A53,IF(A53='Données projet'!$A$62,'Données projet'!$B$62,AI52+AH53-AQ52)))</f>
        <v>178</v>
      </c>
      <c r="AJ53" s="13">
        <f>AI53*VLOOKUP('Données projet'!$B$10,Paramètres!$A$1:$I$89,3,0)*VLOOKUP('Données projet'!$B$10,Paramètres!$A$1:$I$89,5,0)</f>
        <v>161.05439999999999</v>
      </c>
      <c r="AK53" s="13">
        <f t="shared" si="35"/>
        <v>41.080247278685491</v>
      </c>
      <c r="AL53" s="20">
        <f t="shared" si="4"/>
        <v>352.05117734371055</v>
      </c>
      <c r="AM53" s="59">
        <f t="shared" si="5"/>
        <v>607.17215887318071</v>
      </c>
      <c r="AN53" s="59">
        <f ca="1">AVERAGE(OFFSET($AM$3,0,0,'Données projet'!$E$10+1,1))-AVERAGE(OFFSET($H$3,0,0,'Données projet'!$E$10+1,1))</f>
        <v>406.64650428071837</v>
      </c>
      <c r="AO53" s="59">
        <f t="shared" si="36"/>
        <v>250.47702091764884</v>
      </c>
      <c r="AP53" s="15">
        <f>IF(ISNA(VLOOKUP(A53,'Données projet'!$A$61:$I$81,3,0)),0,VLOOKUP(A53,'Données projet'!$A$61:$I$81,3,0))</f>
        <v>6</v>
      </c>
      <c r="AQ53" s="15">
        <f>IF(ISNA(VLOOKUP(A53,'Données projet'!$A$61:$I$81,4,0)),0,VLOOKUP(A53,'Données projet'!$A$61:$I$81,4,0))</f>
        <v>21</v>
      </c>
      <c r="AR53" s="16">
        <f>IF(ISNA(VLOOKUP(A53,'Données projet'!$A$61:$I$81,5,0)),0%,VLOOKUP(A53,'Données projet'!$A$61:$I$81,5,0)*VLOOKUP('Données projet'!$B$10,Paramètres!$A$1:$I$89,7,0))</f>
        <v>0.25800000000000001</v>
      </c>
      <c r="AS53" s="16">
        <f>IF(ISNA(VLOOKUP(A53,'Données projet'!$A$61:$I$81,6,0)),0%,VLOOKUP(A53,'Données projet'!$A$61:$I$81,6,0)*VLOOKUP('Données projet'!$B$10,Paramètres!$A$1:$I$89,7,0))</f>
        <v>1.72E-2</v>
      </c>
      <c r="AT53" s="16">
        <f>IF(ISNA(VLOOKUP(A53,'Données projet'!$A$61:$I$81,7,0)),0%,VLOOKUP(A53,'Données projet'!$A$61:$I$81,7,0))</f>
        <v>0.06</v>
      </c>
      <c r="AU53" s="21">
        <f>EXP(-LN(2)/35)*AU52+(1-EXP(-LN(2)/35))/(LN(2)/35)*AQ53*AR53*VLOOKUP('Données projet'!$B$10,Paramètres!$A$1:$I$89,3,0)*0.475*44/12</f>
        <v>15.975634959310195</v>
      </c>
      <c r="AV53" s="21">
        <f>EXP(-LN(2)/25)*AV52+(1-EXP(-LN(2)/25))/(LN(2)/25)*Calculateur!AQ53*Calculateur!AS53*VLOOKUP('Données projet'!$B$10,Paramètres!$A$1:$I$89,3,0)*0.475*44/12</f>
        <v>1.6934221954394653</v>
      </c>
      <c r="AW53" s="21">
        <f>EXP(-LN(2)/2)*AW52+(1-EXP(-LN(2)/2))/(LN(2)/2)*AQ53*AT53*VLOOKUP('Données projet'!$B$10,Paramètres!$A$1:$I$89,3,0)*0.475*44/12</f>
        <v>1.3449323131865656</v>
      </c>
      <c r="AX53" s="21">
        <f t="shared" si="6"/>
        <v>19.013989467936224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257</v>
      </c>
      <c r="BB53" s="12">
        <f>VLOOKUP(A53,'Données projet'!$A$87:$I$107,9,0)</f>
        <v>8.6</v>
      </c>
      <c r="BC53" s="12">
        <f t="array" ref="BC53">INDEX(BB:BB,MIN(IF(ISNUMBER(BB53:BB249),ROW(BB53:BB249),"")))</f>
        <v>8.6</v>
      </c>
      <c r="BD53" s="12">
        <f>IF('Données projet'!$A$88&gt;35,BD52+BC53-BL52,IF(A53&lt;'Données projet'!$A$88,$BA$205^A53,IF(A53='Données projet'!$A$88,'Données projet'!$B$88,BD52+BC53-BL52)))</f>
        <v>256.99999999999989</v>
      </c>
      <c r="BE53" s="13">
        <f>BD53*VLOOKUP('Données projet'!$B$11,Paramètres!$A$1:$I$89,3,0)*VLOOKUP('Données projet'!$B$11,Paramètres!$A$1:$I$89,5,0)</f>
        <v>244.5611999999999</v>
      </c>
      <c r="BF53" s="13">
        <f t="shared" si="37"/>
        <v>59.419817003915256</v>
      </c>
      <c r="BG53" s="20">
        <f t="shared" si="7"/>
        <v>529.43360461515215</v>
      </c>
      <c r="BH53" s="59">
        <f t="shared" si="8"/>
        <v>784.55458614462225</v>
      </c>
      <c r="BI53" s="59">
        <f ca="1">AVERAGE(OFFSET($BH$3,0,0,'Données projet'!$E$11+1,1))-AVERAGE(OFFSET($H$3,0,0,'Données projet'!$E$11+1,1))</f>
        <v>387.78453964980849</v>
      </c>
      <c r="BJ53" s="59">
        <f t="shared" si="38"/>
        <v>395.13533152274488</v>
      </c>
      <c r="BK53" s="15">
        <f>IF(ISNA(VLOOKUP(A53,'Données projet'!$A$87:$I$107,3,0)),0,VLOOKUP(A53,'Données projet'!$A$87:$I$107,3,0))</f>
        <v>8</v>
      </c>
      <c r="BL53" s="15">
        <f>IF(ISNA(VLOOKUP(A53,'Données projet'!$A$87:$I$107,4,0)),0,VLOOKUP(A53,'Données projet'!$A$87:$I$107,4,0))</f>
        <v>24</v>
      </c>
      <c r="BM53" s="16">
        <f>IF(ISNA(VLOOKUP(A53,'Données projet'!$A$87:$I$107,5,0)),0%,VLOOKUP(A53,'Données projet'!$A$87:$I$107,5,0)*VLOOKUP('Données projet'!$B$11,Paramètres!$A$1:$I$89,7,0))</f>
        <v>0.25800000000000001</v>
      </c>
      <c r="BN53" s="16">
        <f>IF(ISNA(VLOOKUP(A53,'Données projet'!$A$87:$I$107,6,0)),0%,VLOOKUP(A53,'Données projet'!$A$87:$I$107,6,0)*VLOOKUP('Données projet'!$B$11,Paramètres!$A$1:$I$89,7,0))</f>
        <v>1.72E-2</v>
      </c>
      <c r="BO53" s="16">
        <f>IF(ISNA(VLOOKUP(A53,'Données projet'!$A$87:$I$107,7,0)),0%,VLOOKUP(A53,'Données projet'!$A$87:$I$107,7,0))</f>
        <v>0.06</v>
      </c>
      <c r="BP53" s="21">
        <f>EXP(-LN(2)/35)*BP52+(1-EXP(-LN(2)/35))/(LN(2)/35)*BL53*BM53*VLOOKUP('Données projet'!$B$11,Paramètres!$A$1:$I$89,3,0)*0.475*44/12</f>
        <v>25.144267427009815</v>
      </c>
      <c r="BQ53" s="21">
        <f>EXP(-LN(2)/25)*BQ52+(1-EXP(-LN(2)/25))/(LN(2)/25)*Calculateur!BL53*Calculateur!BN53*VLOOKUP('Données projet'!$B$11,Paramètres!$A$1:$I$89,3,0)*0.475*44/12</f>
        <v>2.4235989083157397</v>
      </c>
      <c r="BR53" s="21">
        <f>EXP(-LN(2)/2)*BR52+(1-EXP(-LN(2)/2))/(LN(2)/2)*BL53*BO53*VLOOKUP('Données projet'!$B$11,Paramètres!$A$1:$I$89,3,0)*0.475*44/12</f>
        <v>1.5758542651733281</v>
      </c>
      <c r="BS53" s="22">
        <f t="shared" si="9"/>
        <v>29.143720600498881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">
      <c r="A54" s="10">
        <f t="shared" si="31"/>
        <v>51</v>
      </c>
      <c r="B54" s="73">
        <f>'Scénario référence'!$B$16*5+'Scénario référence'!$B$17*0+'Scénario référence'!$B$18*5</f>
        <v>5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">
        <f t="shared" si="32"/>
        <v>0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18.333333333333332</v>
      </c>
      <c r="H54" s="67">
        <f t="shared" si="1"/>
        <v>183.33333333333334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9.125</v>
      </c>
      <c r="N54" s="13">
        <f>IF('Données projet'!$A$36&gt;35,N53+M54-V53,IF(A54&lt;'Données projet'!$A$36,$K$205^A54,IF(A54='Données projet'!$A$36,'Données projet'!$B$36,N53+M54-V53)))</f>
        <v>251.62500000000003</v>
      </c>
      <c r="O54" s="13">
        <f>N54*VLOOKUP('Données projet'!$B$9,Paramètres!$A$1:$I$89,3,0)*VLOOKUP('Données projet'!$B$9,Paramètres!$A$1:$I$89,5,0)</f>
        <v>150.47175000000001</v>
      </c>
      <c r="P54" s="13">
        <f t="shared" si="33"/>
        <v>38.685772901052076</v>
      </c>
      <c r="Q54" s="20">
        <f t="shared" si="53"/>
        <v>329.44935238599902</v>
      </c>
      <c r="R54" s="59">
        <f t="shared" si="0"/>
        <v>585.2332327892459</v>
      </c>
      <c r="S54" s="59">
        <f ca="1">AVERAGE(OFFSET($R$3,0,0,'Données projet'!$E$9+1,1))-AVERAGE(OFFSET($H$3,0,0,'Données projet'!$E$9+1,1))</f>
        <v>219.4022220248072</v>
      </c>
      <c r="T54" s="59">
        <f t="shared" si="34"/>
        <v>199.30065726913725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31.799747011044648</v>
      </c>
      <c r="AA54" s="21">
        <f>EXP(-LN(2)/25)*AA53+(1-EXP(-LN(2)/25))/(LN(2)/25)*Calculateur!V54*Calculateur!X54*VLOOKUP('Données projet'!$B$9,Paramètres!$A$1:$I$89,3,0)*0.475*44/12</f>
        <v>7.5571271818566252</v>
      </c>
      <c r="AB54" s="21">
        <f>EXP(-LN(2)/2)*AB53+(1-EXP(-LN(2)/2))/(LN(2)/2)*V54*Y54*VLOOKUP('Données projet'!$B$9,Paramètres!$A$1:$I$89,3,0)*0.475*44/12</f>
        <v>0.75292941888213816</v>
      </c>
      <c r="AC54" s="22">
        <f t="shared" si="3"/>
        <v>40.109803611783413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8</v>
      </c>
      <c r="AI54" s="13">
        <f>IF('Données projet'!$A$62&gt;35,AI53+AH54-AQ53,IF(A54&lt;'Données projet'!$A$62,$AF$205^A54,IF(A54='Données projet'!$A$62,'Données projet'!$B$62,AI53+AH54-AQ53)))</f>
        <v>165</v>
      </c>
      <c r="AJ54" s="13">
        <f>AI54*VLOOKUP('Données projet'!$B$10,Paramètres!$A$1:$I$89,3,0)*VLOOKUP('Données projet'!$B$10,Paramètres!$A$1:$I$89,5,0)</f>
        <v>149.29199999999997</v>
      </c>
      <c r="AK54" s="13">
        <f t="shared" si="35"/>
        <v>38.417645803815411</v>
      </c>
      <c r="AL54" s="20">
        <f t="shared" si="4"/>
        <v>326.9276331083118</v>
      </c>
      <c r="AM54" s="59">
        <f t="shared" si="5"/>
        <v>582.71151351155868</v>
      </c>
      <c r="AN54" s="59">
        <f ca="1">AVERAGE(OFFSET($AM$3,0,0,'Données projet'!$E$10+1,1))-AVERAGE(OFFSET($H$3,0,0,'Données projet'!$E$10+1,1))</f>
        <v>406.64650428071837</v>
      </c>
      <c r="AO54" s="59">
        <f t="shared" si="36"/>
        <v>250.47702091764884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15.662362501933289</v>
      </c>
      <c r="AV54" s="21">
        <f>EXP(-LN(2)/25)*AV53+(1-EXP(-LN(2)/25))/(LN(2)/25)*Calculateur!AQ54*Calculateur!AS54*VLOOKUP('Données projet'!$B$10,Paramètres!$A$1:$I$89,3,0)*0.475*44/12</f>
        <v>1.6471154764519702</v>
      </c>
      <c r="AW54" s="21">
        <f>EXP(-LN(2)/2)*AW53+(1-EXP(-LN(2)/2))/(LN(2)/2)*AQ54*AT54*VLOOKUP('Données projet'!$B$10,Paramètres!$A$1:$I$89,3,0)*0.475*44/12</f>
        <v>0.95101075889113007</v>
      </c>
      <c r="AX54" s="21">
        <f t="shared" si="6"/>
        <v>18.26048873727639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8.1999999999999993</v>
      </c>
      <c r="BD54" s="12">
        <f>IF('Données projet'!$A$88&gt;35,BD53+BC54-BL53,IF(A54&lt;'Données projet'!$A$88,$BA$205^A54,IF(A54='Données projet'!$A$88,'Données projet'!$B$88,BD53+BC54-BL53)))</f>
        <v>241.19999999999987</v>
      </c>
      <c r="BE54" s="13">
        <f>BD54*VLOOKUP('Données projet'!$B$11,Paramètres!$A$1:$I$89,3,0)*VLOOKUP('Données projet'!$B$11,Paramètres!$A$1:$I$89,5,0)</f>
        <v>229.52591999999987</v>
      </c>
      <c r="BF54" s="13">
        <f t="shared" si="37"/>
        <v>56.180162044652285</v>
      </c>
      <c r="BG54" s="20">
        <f t="shared" si="7"/>
        <v>497.60475956110253</v>
      </c>
      <c r="BH54" s="59">
        <f t="shared" si="8"/>
        <v>753.3886399643493</v>
      </c>
      <c r="BI54" s="59">
        <f ca="1">AVERAGE(OFFSET($BH$3,0,0,'Données projet'!$E$11+1,1))-AVERAGE(OFFSET($H$3,0,0,'Données projet'!$E$11+1,1))</f>
        <v>387.78453964980849</v>
      </c>
      <c r="BJ54" s="59">
        <f t="shared" si="38"/>
        <v>395.13533152274488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24.65120367925493</v>
      </c>
      <c r="BQ54" s="21">
        <f>EXP(-LN(2)/25)*BQ53+(1-EXP(-LN(2)/25))/(LN(2)/25)*Calculateur!BL54*Calculateur!BN54*VLOOKUP('Données projet'!$B$11,Paramètres!$A$1:$I$89,3,0)*0.475*44/12</f>
        <v>2.3573254687163185</v>
      </c>
      <c r="BR54" s="21">
        <f>EXP(-LN(2)/2)*BR53+(1-EXP(-LN(2)/2))/(LN(2)/2)*BL54*BO54*VLOOKUP('Données projet'!$B$11,Paramètres!$A$1:$I$89,3,0)*0.475*44/12</f>
        <v>1.1142972370658042</v>
      </c>
      <c r="BS54" s="22">
        <f t="shared" si="9"/>
        <v>28.122826385037055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">
      <c r="A55" s="10">
        <f t="shared" si="31"/>
        <v>52</v>
      </c>
      <c r="B55" s="73">
        <f>'Scénario référence'!$B$16*5+'Scénario référence'!$B$17*0+'Scénario référence'!$B$18*5</f>
        <v>5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">
        <f t="shared" si="32"/>
        <v>0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18.333333333333332</v>
      </c>
      <c r="H55" s="67">
        <f t="shared" si="1"/>
        <v>183.33333333333334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9.125</v>
      </c>
      <c r="N55" s="13">
        <f>IF('Données projet'!$A$36&gt;35,N54+M55-V54,IF(A55&lt;'Données projet'!$A$36,$K$205^A55,IF(A55='Données projet'!$A$36,'Données projet'!$B$36,N54+M55-V54)))</f>
        <v>260.75</v>
      </c>
      <c r="O55" s="13">
        <f>N55*VLOOKUP('Données projet'!$B$9,Paramètres!$A$1:$I$89,3,0)*VLOOKUP('Données projet'!$B$9,Paramètres!$A$1:$I$89,5,0)</f>
        <v>155.92850000000001</v>
      </c>
      <c r="P55" s="13">
        <f t="shared" si="33"/>
        <v>39.922804094929681</v>
      </c>
      <c r="Q55" s="20">
        <f t="shared" si="53"/>
        <v>341.10768796533586</v>
      </c>
      <c r="R55" s="59">
        <f t="shared" si="0"/>
        <v>597.54296742891916</v>
      </c>
      <c r="S55" s="59">
        <f ca="1">AVERAGE(OFFSET($R$3,0,0,'Données projet'!$E$9+1,1))-AVERAGE(OFFSET($H$3,0,0,'Données projet'!$E$9+1,1))</f>
        <v>219.4022220248072</v>
      </c>
      <c r="T55" s="59">
        <f t="shared" si="34"/>
        <v>199.30065726913725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31.176173368088548</v>
      </c>
      <c r="AA55" s="21">
        <f>EXP(-LN(2)/25)*AA54+(1-EXP(-LN(2)/25))/(LN(2)/25)*Calculateur!V55*Calculateur!X55*VLOOKUP('Données projet'!$B$9,Paramètres!$A$1:$I$89,3,0)*0.475*44/12</f>
        <v>7.3504771416567092</v>
      </c>
      <c r="AB55" s="21">
        <f>EXP(-LN(2)/2)*AB54+(1-EXP(-LN(2)/2))/(LN(2)/2)*V55*Y55*VLOOKUP('Données projet'!$B$9,Paramètres!$A$1:$I$89,3,0)*0.475*44/12</f>
        <v>0.53240149784640645</v>
      </c>
      <c r="AC55" s="22">
        <f t="shared" si="3"/>
        <v>39.059052007591667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8</v>
      </c>
      <c r="AI55" s="13">
        <f>IF('Données projet'!$A$62&gt;35,AI54+AH55-AQ54,IF(A55&lt;'Données projet'!$A$62,$AF$205^A55,IF(A55='Données projet'!$A$62,'Données projet'!$B$62,AI54+AH55-AQ54)))</f>
        <v>173</v>
      </c>
      <c r="AJ55" s="13">
        <f>AI55*VLOOKUP('Données projet'!$B$10,Paramètres!$A$1:$I$89,3,0)*VLOOKUP('Données projet'!$B$10,Paramètres!$A$1:$I$89,5,0)</f>
        <v>156.53039999999999</v>
      </c>
      <c r="AK55" s="13">
        <f t="shared" si="35"/>
        <v>40.058941713182037</v>
      </c>
      <c r="AL55" s="20">
        <f t="shared" si="4"/>
        <v>342.393103483792</v>
      </c>
      <c r="AM55" s="59">
        <f t="shared" si="5"/>
        <v>598.8283829473753</v>
      </c>
      <c r="AN55" s="59">
        <f ca="1">AVERAGE(OFFSET($AM$3,0,0,'Données projet'!$E$10+1,1))-AVERAGE(OFFSET($H$3,0,0,'Données projet'!$E$10+1,1))</f>
        <v>406.64650428071837</v>
      </c>
      <c r="AO55" s="59">
        <f t="shared" si="36"/>
        <v>250.47702091764884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15.355233126368214</v>
      </c>
      <c r="AV55" s="21">
        <f>EXP(-LN(2)/25)*AV54+(1-EXP(-LN(2)/25))/(LN(2)/25)*Calculateur!AQ55*Calculateur!AS55*VLOOKUP('Données projet'!$B$10,Paramètres!$A$1:$I$89,3,0)*0.475*44/12</f>
        <v>1.6020750171303526</v>
      </c>
      <c r="AW55" s="21">
        <f>EXP(-LN(2)/2)*AW54+(1-EXP(-LN(2)/2))/(LN(2)/2)*AQ55*AT55*VLOOKUP('Données projet'!$B$10,Paramètres!$A$1:$I$89,3,0)*0.475*44/12</f>
        <v>0.6724661565932829</v>
      </c>
      <c r="AX55" s="21">
        <f t="shared" si="6"/>
        <v>17.629774300091849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8.1999999999999993</v>
      </c>
      <c r="BD55" s="12">
        <f>IF('Données projet'!$A$88&gt;35,BD54+BC55-BL54,IF(A55&lt;'Données projet'!$A$88,$BA$205^A55,IF(A55='Données projet'!$A$88,'Données projet'!$B$88,BD54+BC55-BL54)))</f>
        <v>249.39999999999986</v>
      </c>
      <c r="BE55" s="13">
        <f>BD55*VLOOKUP('Données projet'!$B$11,Paramètres!$A$1:$I$89,3,0)*VLOOKUP('Données projet'!$B$11,Paramètres!$A$1:$I$89,5,0)</f>
        <v>237.32903999999985</v>
      </c>
      <c r="BF55" s="13">
        <f t="shared" si="37"/>
        <v>57.864486657971952</v>
      </c>
      <c r="BG55" s="20">
        <f t="shared" si="7"/>
        <v>514.12872559596747</v>
      </c>
      <c r="BH55" s="59">
        <f t="shared" si="8"/>
        <v>770.56400505955082</v>
      </c>
      <c r="BI55" s="59">
        <f ca="1">AVERAGE(OFFSET($BH$3,0,0,'Données projet'!$E$11+1,1))-AVERAGE(OFFSET($H$3,0,0,'Données projet'!$E$11+1,1))</f>
        <v>387.78453964980849</v>
      </c>
      <c r="BJ55" s="59">
        <f t="shared" si="38"/>
        <v>395.13533152274488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24.16780861085433</v>
      </c>
      <c r="BQ55" s="21">
        <f>EXP(-LN(2)/25)*BQ54+(1-EXP(-LN(2)/25))/(LN(2)/25)*Calculateur!BL55*Calculateur!BN55*VLOOKUP('Données projet'!$B$11,Paramètres!$A$1:$I$89,3,0)*0.475*44/12</f>
        <v>2.2928642798079122</v>
      </c>
      <c r="BR55" s="21">
        <f>EXP(-LN(2)/2)*BR54+(1-EXP(-LN(2)/2))/(LN(2)/2)*BL55*BO55*VLOOKUP('Données projet'!$B$11,Paramètres!$A$1:$I$89,3,0)*0.475*44/12</f>
        <v>0.78792713258666414</v>
      </c>
      <c r="BS55" s="22">
        <f t="shared" si="9"/>
        <v>27.248600023248905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">
      <c r="A56" s="10">
        <f t="shared" si="31"/>
        <v>53</v>
      </c>
      <c r="B56" s="73">
        <f>'Scénario référence'!$B$16*5+'Scénario référence'!$B$17*0+'Scénario référence'!$B$18*5</f>
        <v>5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">
        <f t="shared" si="32"/>
        <v>0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18.333333333333332</v>
      </c>
      <c r="H56" s="67">
        <f t="shared" si="1"/>
        <v>183.33333333333334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9.125</v>
      </c>
      <c r="N56" s="13">
        <f>IF('Données projet'!$A$36&gt;35,N55+M56-V55,IF(A56&lt;'Données projet'!$A$36,$K$205^A56,IF(A56='Données projet'!$A$36,'Données projet'!$B$36,N55+M56-V55)))</f>
        <v>269.875</v>
      </c>
      <c r="O56" s="13">
        <f>N56*VLOOKUP('Données projet'!$B$9,Paramètres!$A$1:$I$89,3,0)*VLOOKUP('Données projet'!$B$9,Paramètres!$A$1:$I$89,5,0)</f>
        <v>161.38525000000001</v>
      </c>
      <c r="P56" s="13">
        <f t="shared" si="33"/>
        <v>41.154805478559268</v>
      </c>
      <c r="Q56" s="20">
        <f t="shared" si="53"/>
        <v>352.75726329182407</v>
      </c>
      <c r="R56" s="59">
        <f t="shared" si="0"/>
        <v>609.83264149835736</v>
      </c>
      <c r="S56" s="59">
        <f ca="1">AVERAGE(OFFSET($R$3,0,0,'Données projet'!$E$9+1,1))-AVERAGE(OFFSET($H$3,0,0,'Données projet'!$E$9+1,1))</f>
        <v>219.4022220248072</v>
      </c>
      <c r="T56" s="59">
        <f t="shared" si="34"/>
        <v>199.30065726913725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30.564827623928455</v>
      </c>
      <c r="AA56" s="21">
        <f>EXP(-LN(2)/25)*AA55+(1-EXP(-LN(2)/25))/(LN(2)/25)*Calculateur!V56*Calculateur!X56*VLOOKUP('Données projet'!$B$9,Paramètres!$A$1:$I$89,3,0)*0.475*44/12</f>
        <v>7.1494779576733132</v>
      </c>
      <c r="AB56" s="21">
        <f>EXP(-LN(2)/2)*AB55+(1-EXP(-LN(2)/2))/(LN(2)/2)*V56*Y56*VLOOKUP('Données projet'!$B$9,Paramètres!$A$1:$I$89,3,0)*0.475*44/12</f>
        <v>0.37646470944106908</v>
      </c>
      <c r="AC56" s="22">
        <f t="shared" si="3"/>
        <v>38.090770291042837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8</v>
      </c>
      <c r="AI56" s="13">
        <f>IF('Données projet'!$A$62&gt;35,AI55+AH56-AQ55,IF(A56&lt;'Données projet'!$A$62,$AF$205^A56,IF(A56='Données projet'!$A$62,'Données projet'!$B$62,AI55+AH56-AQ55)))</f>
        <v>181</v>
      </c>
      <c r="AJ56" s="13">
        <f>AI56*VLOOKUP('Données projet'!$B$10,Paramètres!$A$1:$I$89,3,0)*VLOOKUP('Données projet'!$B$10,Paramètres!$A$1:$I$89,5,0)</f>
        <v>163.7688</v>
      </c>
      <c r="AK56" s="13">
        <f t="shared" si="35"/>
        <v>41.691423503509803</v>
      </c>
      <c r="AL56" s="20">
        <f t="shared" si="4"/>
        <v>357.84322260194625</v>
      </c>
      <c r="AM56" s="59">
        <f t="shared" si="5"/>
        <v>614.91860080847948</v>
      </c>
      <c r="AN56" s="59">
        <f ca="1">AVERAGE(OFFSET($AM$3,0,0,'Données projet'!$E$10+1,1))-AVERAGE(OFFSET($H$3,0,0,'Données projet'!$E$10+1,1))</f>
        <v>406.64650428071837</v>
      </c>
      <c r="AO56" s="59">
        <f t="shared" si="36"/>
        <v>250.47702091764884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15.054126370527548</v>
      </c>
      <c r="AV56" s="21">
        <f>EXP(-LN(2)/25)*AV55+(1-EXP(-LN(2)/25))/(LN(2)/25)*Calculateur!AQ56*Calculateur!AS56*VLOOKUP('Données projet'!$B$10,Paramètres!$A$1:$I$89,3,0)*0.475*44/12</f>
        <v>1.5582661915374596</v>
      </c>
      <c r="AW56" s="21">
        <f>EXP(-LN(2)/2)*AW55+(1-EXP(-LN(2)/2))/(LN(2)/2)*AQ56*AT56*VLOOKUP('Données projet'!$B$10,Paramètres!$A$1:$I$89,3,0)*0.475*44/12</f>
        <v>0.47550537944556515</v>
      </c>
      <c r="AX56" s="21">
        <f t="shared" si="6"/>
        <v>17.087897941510573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8.1999999999999993</v>
      </c>
      <c r="BD56" s="12">
        <f>IF('Données projet'!$A$88&gt;35,BD55+BC56-BL55,IF(A56&lt;'Données projet'!$A$88,$BA$205^A56,IF(A56='Données projet'!$A$88,'Données projet'!$B$88,BD55+BC56-BL55)))</f>
        <v>257.59999999999985</v>
      </c>
      <c r="BE56" s="13">
        <f>BD56*VLOOKUP('Données projet'!$B$11,Paramètres!$A$1:$I$89,3,0)*VLOOKUP('Données projet'!$B$11,Paramètres!$A$1:$I$89,5,0)</f>
        <v>245.13215999999986</v>
      </c>
      <c r="BF56" s="13">
        <f t="shared" si="37"/>
        <v>59.542376278413307</v>
      </c>
      <c r="BG56" s="20">
        <f t="shared" si="7"/>
        <v>530.64148401823616</v>
      </c>
      <c r="BH56" s="59">
        <f t="shared" si="8"/>
        <v>787.71686222476933</v>
      </c>
      <c r="BI56" s="59">
        <f ca="1">AVERAGE(OFFSET($BH$3,0,0,'Données projet'!$E$11+1,1))-AVERAGE(OFFSET($H$3,0,0,'Données projet'!$E$11+1,1))</f>
        <v>387.78453964980849</v>
      </c>
      <c r="BJ56" s="59">
        <f t="shared" si="38"/>
        <v>395.13533152274488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23.693892624903185</v>
      </c>
      <c r="BQ56" s="21">
        <f>EXP(-LN(2)/25)*BQ55+(1-EXP(-LN(2)/25))/(LN(2)/25)*Calculateur!BL56*Calculateur!BN56*VLOOKUP('Données projet'!$B$11,Paramètres!$A$1:$I$89,3,0)*0.475*44/12</f>
        <v>2.2301657855000729</v>
      </c>
      <c r="BR56" s="21">
        <f>EXP(-LN(2)/2)*BR55+(1-EXP(-LN(2)/2))/(LN(2)/2)*BL56*BO56*VLOOKUP('Données projet'!$B$11,Paramètres!$A$1:$I$89,3,0)*0.475*44/12</f>
        <v>0.55714861853290221</v>
      </c>
      <c r="BS56" s="22">
        <f t="shared" si="9"/>
        <v>26.481207028936161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">
      <c r="A57" s="10">
        <f t="shared" si="31"/>
        <v>54</v>
      </c>
      <c r="B57" s="73">
        <f>'Scénario référence'!$B$16*5+'Scénario référence'!$B$17*0+'Scénario référence'!$B$18*5</f>
        <v>5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">
        <f t="shared" si="32"/>
        <v>0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18.333333333333332</v>
      </c>
      <c r="H57" s="67">
        <f t="shared" si="1"/>
        <v>183.33333333333334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>
        <f>VLOOKUP(A57,'Données projet'!$A$35:$I$55,2,0)</f>
        <v>279</v>
      </c>
      <c r="L57" s="12">
        <f>VLOOKUP(A57,'Données projet'!$A$35:$I$55,9,0)</f>
        <v>9.125</v>
      </c>
      <c r="M57" s="12">
        <f t="array" ref="M57">INDEX(L:L,MIN(IF(ISNUMBER(L57:L253),ROW(L57:L253),"")))</f>
        <v>9.125</v>
      </c>
      <c r="N57" s="13">
        <f>IF('Données projet'!$A$36&gt;35,N56+M57-V56,IF(A57&lt;'Données projet'!$A$36,$K$205^A57,IF(A57='Données projet'!$A$36,'Données projet'!$B$36,N56+M57-V56)))</f>
        <v>279</v>
      </c>
      <c r="O57" s="13">
        <f>N57*VLOOKUP('Données projet'!$B$9,Paramètres!$A$1:$I$89,3,0)*VLOOKUP('Données projet'!$B$9,Paramètres!$A$1:$I$89,5,0)</f>
        <v>166.84200000000001</v>
      </c>
      <c r="P57" s="13">
        <f t="shared" si="33"/>
        <v>42.381966615760369</v>
      </c>
      <c r="Q57" s="20">
        <f t="shared" si="53"/>
        <v>364.3984085224493</v>
      </c>
      <c r="R57" s="59">
        <f t="shared" si="0"/>
        <v>622.10278118978863</v>
      </c>
      <c r="S57" s="59">
        <f ca="1">AVERAGE(OFFSET($R$3,0,0,'Données projet'!$E$9+1,1))-AVERAGE(OFFSET($H$3,0,0,'Données projet'!$E$9+1,1))</f>
        <v>219.4022220248072</v>
      </c>
      <c r="T57" s="59">
        <f t="shared" si="34"/>
        <v>199.30065726913725</v>
      </c>
      <c r="U57" s="15">
        <f>IF(ISNA(VLOOKUP(A57,'Données projet'!$A$35:$I$55,3,0)),0,VLOOKUP(A57,'Données projet'!$A$35:$I$55,3,0))</f>
        <v>8</v>
      </c>
      <c r="V57" s="15">
        <f>IF(ISNA(VLOOKUP(A57,'Données projet'!$A$35:$I$55,4,0)),0,VLOOKUP(A57,'Données projet'!$A$35:$I$55,4,0))</f>
        <v>16</v>
      </c>
      <c r="W57" s="16">
        <f>IF(ISNA(VLOOKUP(A57,'Données projet'!$A$35:$I$55,5,0)),0%,VLOOKUP(A57,'Données projet'!$A$35:$I$55,5,0)*VLOOKUP('Données projet'!$B$9,Paramètres!$A$1:$I$89,7,0))</f>
        <v>0.315</v>
      </c>
      <c r="X57" s="16">
        <f>IF(ISNA(VLOOKUP(A57,'Données projet'!$A$35:$I$55,6,0)),0%,VLOOKUP(A57,'Données projet'!$A$35:$I$55,6,0)*VLOOKUP('Données projet'!$B$9,Paramètres!$A$1:$I$89,7,0))</f>
        <v>5.3999999999999999E-2</v>
      </c>
      <c r="Y57" s="16">
        <f>IF(ISNA(VLOOKUP(A57,'Données projet'!$A$35:$I$55,7,0)),0%,VLOOKUP(A57,'Données projet'!$A$35:$I$55,7,0))</f>
        <v>0.18</v>
      </c>
      <c r="Z57" s="21">
        <f>EXP(-LN(2)/35)*Z56+(1-EXP(-LN(2)/35))/(LN(2)/35)*V57*W57*VLOOKUP('Données projet'!$B$9,Paramètres!$A$1:$I$89,3,0)*0.475*44/12</f>
        <v>33.963629140465592</v>
      </c>
      <c r="AA57" s="21">
        <f>EXP(-LN(2)/25)*AA56+(1-EXP(-LN(2)/25))/(LN(2)/25)*Calculateur!V57*Calculateur!X57*VLOOKUP('Données projet'!$B$9,Paramètres!$A$1:$I$89,3,0)*0.475*44/12</f>
        <v>7.6366751413869736</v>
      </c>
      <c r="AB57" s="21">
        <f>EXP(-LN(2)/2)*AB56+(1-EXP(-LN(2)/2))/(LN(2)/2)*V57*Y57*VLOOKUP('Données projet'!$B$9,Paramètres!$A$1:$I$89,3,0)*0.475*44/12</f>
        <v>2.2161765010151839</v>
      </c>
      <c r="AC57" s="22">
        <f t="shared" si="3"/>
        <v>43.81648078286775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8</v>
      </c>
      <c r="AI57" s="13">
        <f>IF('Données projet'!$A$62&gt;35,AI56+AH57-AQ56,IF(A57&lt;'Données projet'!$A$62,$AF$205^A57,IF(A57='Données projet'!$A$62,'Données projet'!$B$62,AI56+AH57-AQ56)))</f>
        <v>189</v>
      </c>
      <c r="AJ57" s="13">
        <f>AI57*VLOOKUP('Données projet'!$B$10,Paramètres!$A$1:$I$89,3,0)*VLOOKUP('Données projet'!$B$10,Paramètres!$A$1:$I$89,5,0)</f>
        <v>171.00719999999998</v>
      </c>
      <c r="AK57" s="13">
        <f t="shared" si="35"/>
        <v>43.315525267338089</v>
      </c>
      <c r="AL57" s="20">
        <f t="shared" si="4"/>
        <v>373.27874650728046</v>
      </c>
      <c r="AM57" s="59">
        <f t="shared" si="5"/>
        <v>630.98311917461979</v>
      </c>
      <c r="AN57" s="59">
        <f ca="1">AVERAGE(OFFSET($AM$3,0,0,'Données projet'!$E$10+1,1))-AVERAGE(OFFSET($H$3,0,0,'Données projet'!$E$10+1,1))</f>
        <v>406.64650428071837</v>
      </c>
      <c r="AO57" s="59">
        <f t="shared" si="36"/>
        <v>250.47702091764884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14.758924134511931</v>
      </c>
      <c r="AV57" s="21">
        <f>EXP(-LN(2)/25)*AV56+(1-EXP(-LN(2)/25))/(LN(2)/25)*Calculateur!AQ57*Calculateur!AS57*VLOOKUP('Données projet'!$B$10,Paramètres!$A$1:$I$89,3,0)*0.475*44/12</f>
        <v>1.5156553205842103</v>
      </c>
      <c r="AW57" s="21">
        <f>EXP(-LN(2)/2)*AW56+(1-EXP(-LN(2)/2))/(LN(2)/2)*AQ57*AT57*VLOOKUP('Données projet'!$B$10,Paramètres!$A$1:$I$89,3,0)*0.475*44/12</f>
        <v>0.33623307829664151</v>
      </c>
      <c r="AX57" s="21">
        <f t="shared" si="6"/>
        <v>16.610812533392782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8.1999999999999993</v>
      </c>
      <c r="BD57" s="12">
        <f>IF('Données projet'!$A$88&gt;35,BD56+BC57-BL56,IF(A57&lt;'Données projet'!$A$88,$BA$205^A57,IF(A57='Données projet'!$A$88,'Données projet'!$B$88,BD56+BC57-BL56)))</f>
        <v>265.79999999999984</v>
      </c>
      <c r="BE57" s="13">
        <f>BD57*VLOOKUP('Données projet'!$B$11,Paramètres!$A$1:$I$89,3,0)*VLOOKUP('Données projet'!$B$11,Paramètres!$A$1:$I$89,5,0)</f>
        <v>252.93527999999984</v>
      </c>
      <c r="BF57" s="13">
        <f t="shared" si="37"/>
        <v>61.214059245158197</v>
      </c>
      <c r="BG57" s="20">
        <f t="shared" si="7"/>
        <v>547.14343251865023</v>
      </c>
      <c r="BH57" s="59">
        <f t="shared" si="8"/>
        <v>804.8478051859895</v>
      </c>
      <c r="BI57" s="59">
        <f ca="1">AVERAGE(OFFSET($BH$3,0,0,'Données projet'!$E$11+1,1))-AVERAGE(OFFSET($H$3,0,0,'Données projet'!$E$11+1,1))</f>
        <v>387.78453964980849</v>
      </c>
      <c r="BJ57" s="59">
        <f t="shared" si="38"/>
        <v>395.13533152274488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23.229269842376333</v>
      </c>
      <c r="BQ57" s="21">
        <f>EXP(-LN(2)/25)*BQ56+(1-EXP(-LN(2)/25))/(LN(2)/25)*Calculateur!BL57*Calculateur!BN57*VLOOKUP('Données projet'!$B$11,Paramètres!$A$1:$I$89,3,0)*0.475*44/12</f>
        <v>2.169181784816252</v>
      </c>
      <c r="BR57" s="21">
        <f>EXP(-LN(2)/2)*BR56+(1-EXP(-LN(2)/2))/(LN(2)/2)*BL57*BO57*VLOOKUP('Données projet'!$B$11,Paramètres!$A$1:$I$89,3,0)*0.475*44/12</f>
        <v>0.39396356629333212</v>
      </c>
      <c r="BS57" s="22">
        <f t="shared" si="9"/>
        <v>25.792415193485919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">
      <c r="A58" s="10">
        <f t="shared" si="31"/>
        <v>55</v>
      </c>
      <c r="B58" s="73">
        <f>'Scénario référence'!$B$16*5+'Scénario référence'!$B$17*0+'Scénario référence'!$B$18*5</f>
        <v>5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">
        <f t="shared" si="32"/>
        <v>0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18.333333333333332</v>
      </c>
      <c r="H58" s="67">
        <f t="shared" si="1"/>
        <v>183.33333333333334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4.875</v>
      </c>
      <c r="N58" s="13">
        <f>IF('Données projet'!$A$36&gt;35,N57+M58-V57,IF(A58&lt;'Données projet'!$A$36,$K$205^A58,IF(A58='Données projet'!$A$36,'Données projet'!$B$36,N57+M58-V57)))</f>
        <v>267.875</v>
      </c>
      <c r="O58" s="13">
        <f>N58*VLOOKUP('Données projet'!$B$9,Paramètres!$A$1:$I$89,3,0)*VLOOKUP('Données projet'!$B$9,Paramètres!$A$1:$I$89,5,0)</f>
        <v>160.18925000000002</v>
      </c>
      <c r="P58" s="13">
        <f t="shared" si="33"/>
        <v>40.885198335266622</v>
      </c>
      <c r="Q58" s="20">
        <f t="shared" si="53"/>
        <v>350.20466418392272</v>
      </c>
      <c r="R58" s="59">
        <f t="shared" si="0"/>
        <v>608.52711966439415</v>
      </c>
      <c r="S58" s="59">
        <f ca="1">AVERAGE(OFFSET($R$3,0,0,'Données projet'!$E$9+1,1))-AVERAGE(OFFSET($H$3,0,0,'Données projet'!$E$9+1,1))</f>
        <v>219.4022220248072</v>
      </c>
      <c r="T58" s="59">
        <f t="shared" si="34"/>
        <v>199.30065726913725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33.297623088789322</v>
      </c>
      <c r="AA58" s="21">
        <f>EXP(-LN(2)/25)*AA57+(1-EXP(-LN(2)/25))/(LN(2)/25)*Calculateur!V58*Calculateur!X58*VLOOKUP('Données projet'!$B$9,Paramètres!$A$1:$I$89,3,0)*0.475*44/12</f>
        <v>7.4278498580504548</v>
      </c>
      <c r="AB58" s="21">
        <f>EXP(-LN(2)/2)*AB57+(1-EXP(-LN(2)/2))/(LN(2)/2)*V58*Y58*VLOOKUP('Données projet'!$B$9,Paramètres!$A$1:$I$89,3,0)*0.475*44/12</f>
        <v>1.5670734321741122</v>
      </c>
      <c r="AC58" s="22">
        <f t="shared" si="3"/>
        <v>42.292546379013892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>
        <f>VLOOKUP(A58,'Données projet'!$A$61:$I$81,2,0)</f>
        <v>197</v>
      </c>
      <c r="AG58" s="12">
        <f>VLOOKUP(A58,'Données projet'!$A$61:$I$81,9,0)</f>
        <v>8</v>
      </c>
      <c r="AH58" s="12">
        <f t="array" ref="AH58">INDEX(AG:AG,MIN(IF(ISNUMBER(AG58:AG254),ROW(AG58:AG254),"")))</f>
        <v>8</v>
      </c>
      <c r="AI58" s="13">
        <f>IF('Données projet'!$A$62&gt;35,AI57+AH58-AQ57,IF(A58&lt;'Données projet'!$A$62,$AF$205^A58,IF(A58='Données projet'!$A$62,'Données projet'!$B$62,AI57+AH58-AQ57)))</f>
        <v>197</v>
      </c>
      <c r="AJ58" s="13">
        <f>AI58*VLOOKUP('Données projet'!$B$10,Paramètres!$A$1:$I$89,3,0)*VLOOKUP('Données projet'!$B$10,Paramètres!$A$1:$I$89,5,0)</f>
        <v>178.2456</v>
      </c>
      <c r="AK58" s="13">
        <f t="shared" si="35"/>
        <v>44.931642269910427</v>
      </c>
      <c r="AL58" s="20">
        <f t="shared" si="4"/>
        <v>388.70036362009404</v>
      </c>
      <c r="AM58" s="59">
        <f t="shared" si="5"/>
        <v>647.02281910056536</v>
      </c>
      <c r="AN58" s="59">
        <f ca="1">AVERAGE(OFFSET($AM$3,0,0,'Données projet'!$E$10+1,1))-AVERAGE(OFFSET($H$3,0,0,'Données projet'!$E$10+1,1))</f>
        <v>406.64650428071837</v>
      </c>
      <c r="AO58" s="59">
        <f t="shared" si="36"/>
        <v>250.47702091764884</v>
      </c>
      <c r="AP58" s="15">
        <f>IF(ISNA(VLOOKUP(A58,'Données projet'!$A$61:$I$81,3,0)),0,VLOOKUP(A58,'Données projet'!$A$61:$I$81,3,0))</f>
        <v>7</v>
      </c>
      <c r="AQ58" s="15">
        <f>IF(ISNA(VLOOKUP(A58,'Données projet'!$A$61:$I$81,4,0)),0,VLOOKUP(A58,'Données projet'!$A$61:$I$81,4,0))</f>
        <v>21</v>
      </c>
      <c r="AR58" s="16">
        <f>IF(ISNA(VLOOKUP(A58,'Données projet'!$A$61:$I$81,5,0)),0%,VLOOKUP(A58,'Données projet'!$A$61:$I$81,5,0)*VLOOKUP('Données projet'!$B$10,Paramètres!$A$1:$I$89,7,0))</f>
        <v>0.34400000000000003</v>
      </c>
      <c r="AS58" s="16">
        <f>IF(ISNA(VLOOKUP(A58,'Données projet'!$A$61:$I$81,6,0)),0%,VLOOKUP(A58,'Données projet'!$A$61:$I$81,6,0)*VLOOKUP('Données projet'!$B$10,Paramètres!$A$1:$I$89,7,0))</f>
        <v>1.72E-2</v>
      </c>
      <c r="AT58" s="16">
        <f>IF(ISNA(VLOOKUP(A58,'Données projet'!$A$61:$I$81,7,0)),0%,VLOOKUP(A58,'Données projet'!$A$61:$I$81,7,0))</f>
        <v>0.06</v>
      </c>
      <c r="AU58" s="21">
        <f>EXP(-LN(2)/35)*AU57+(1-EXP(-LN(2)/35))/(LN(2)/35)*AQ58*AR58*VLOOKUP('Données projet'!$B$10,Paramètres!$A$1:$I$89,3,0)*0.475*44/12</f>
        <v>21.695169260364803</v>
      </c>
      <c r="AV58" s="21">
        <f>EXP(-LN(2)/25)*AV57+(1-EXP(-LN(2)/25))/(LN(2)/25)*Calculateur!AQ58*Calculateur!AS58*VLOOKUP('Données projet'!$B$10,Paramètres!$A$1:$I$89,3,0)*0.475*44/12</f>
        <v>1.8340700688816443</v>
      </c>
      <c r="AW58" s="21">
        <f>EXP(-LN(2)/2)*AW57+(1-EXP(-LN(2)/2))/(LN(2)/2)*AQ58*AT58*VLOOKUP('Données projet'!$B$10,Paramètres!$A$1:$I$89,3,0)*0.475*44/12</f>
        <v>1.313418661664826</v>
      </c>
      <c r="AX58" s="21">
        <f t="shared" si="6"/>
        <v>24.842657990911274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>
        <f>VLOOKUP(A58,'Données projet'!$A$87:$I$107,2,0)</f>
        <v>274</v>
      </c>
      <c r="BB58" s="12">
        <f>VLOOKUP(A58,'Données projet'!$A$87:$I$107,9,0)</f>
        <v>8.1999999999999993</v>
      </c>
      <c r="BC58" s="12">
        <f t="array" ref="BC58">INDEX(BB:BB,MIN(IF(ISNUMBER(BB58:BB254),ROW(BB58:BB254),"")))</f>
        <v>8.1999999999999993</v>
      </c>
      <c r="BD58" s="12">
        <f>IF('Données projet'!$A$88&gt;35,BD57+BC58-BL57,IF(A58&lt;'Données projet'!$A$88,$BA$205^A58,IF(A58='Données projet'!$A$88,'Données projet'!$B$88,BD57+BC58-BL57)))</f>
        <v>273.99999999999983</v>
      </c>
      <c r="BE58" s="13">
        <f>BD58*VLOOKUP('Données projet'!$B$11,Paramètres!$A$1:$I$89,3,0)*VLOOKUP('Données projet'!$B$11,Paramètres!$A$1:$I$89,5,0)</f>
        <v>260.73839999999984</v>
      </c>
      <c r="BF58" s="13">
        <f t="shared" si="37"/>
        <v>62.879749008354707</v>
      </c>
      <c r="BG58" s="20">
        <f t="shared" si="7"/>
        <v>563.63494285621744</v>
      </c>
      <c r="BH58" s="59">
        <f t="shared" si="8"/>
        <v>821.95739833668881</v>
      </c>
      <c r="BI58" s="59">
        <f ca="1">AVERAGE(OFFSET($BH$3,0,0,'Données projet'!$E$11+1,1))-AVERAGE(OFFSET($H$3,0,0,'Données projet'!$E$11+1,1))</f>
        <v>387.78453964980849</v>
      </c>
      <c r="BJ58" s="59">
        <f t="shared" si="38"/>
        <v>395.13533152274488</v>
      </c>
      <c r="BK58" s="15">
        <f>IF(ISNA(VLOOKUP(A58,'Données projet'!$A$87:$I$107,3,0)),0,VLOOKUP(A58,'Données projet'!$A$87:$I$107,3,0))</f>
        <v>9</v>
      </c>
      <c r="BL58" s="15">
        <f>IF(ISNA(VLOOKUP(A58,'Données projet'!$A$87:$I$107,4,0)),0,VLOOKUP(A58,'Données projet'!$A$87:$I$107,4,0))</f>
        <v>23</v>
      </c>
      <c r="BM58" s="16">
        <f>IF(ISNA(VLOOKUP(A58,'Données projet'!$A$87:$I$107,5,0)),0%,VLOOKUP(A58,'Données projet'!$A$87:$I$107,5,0)*VLOOKUP('Données projet'!$B$11,Paramètres!$A$1:$I$89,7,0))</f>
        <v>0.34400000000000003</v>
      </c>
      <c r="BN58" s="16">
        <f>IF(ISNA(VLOOKUP(A58,'Données projet'!$A$87:$I$107,6,0)),0%,VLOOKUP(A58,'Données projet'!$A$87:$I$107,6,0)*VLOOKUP('Données projet'!$B$11,Paramètres!$A$1:$I$89,7,0))</f>
        <v>1.72E-2</v>
      </c>
      <c r="BO58" s="16">
        <f>IF(ISNA(VLOOKUP(A58,'Données projet'!$A$87:$I$107,7,0)),0%,VLOOKUP(A58,'Données projet'!$A$87:$I$107,7,0))</f>
        <v>0.06</v>
      </c>
      <c r="BP58" s="21">
        <f>EXP(-LN(2)/35)*BP57+(1-EXP(-LN(2)/35))/(LN(2)/35)*BL58*BM58*VLOOKUP('Données projet'!$B$11,Paramètres!$A$1:$I$89,3,0)*0.475*44/12</f>
        <v>31.096909960572969</v>
      </c>
      <c r="BQ58" s="21">
        <f>EXP(-LN(2)/25)*BQ57+(1-EXP(-LN(2)/25))/(LN(2)/25)*Calculateur!BL58*Calculateur!BN58*VLOOKUP('Données projet'!$B$11,Paramètres!$A$1:$I$89,3,0)*0.475*44/12</f>
        <v>2.5243844203794796</v>
      </c>
      <c r="BR58" s="21">
        <f>EXP(-LN(2)/2)*BR57+(1-EXP(-LN(2)/2))/(LN(2)/2)*BL58*BO58*VLOOKUP('Données projet'!$B$11,Paramètres!$A$1:$I$89,3,0)*0.475*44/12</f>
        <v>1.5176214017415637</v>
      </c>
      <c r="BS58" s="22">
        <f t="shared" si="9"/>
        <v>35.138915782694014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">
      <c r="A59" s="10">
        <f t="shared" si="31"/>
        <v>56</v>
      </c>
      <c r="B59" s="73">
        <f>'Scénario référence'!$B$16*5+'Scénario référence'!$B$17*0+'Scénario référence'!$B$18*5</f>
        <v>5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">
        <f t="shared" si="32"/>
        <v>0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18.333333333333332</v>
      </c>
      <c r="H59" s="67">
        <f t="shared" si="1"/>
        <v>183.33333333333334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4.875</v>
      </c>
      <c r="N59" s="13">
        <f>IF('Données projet'!$A$36&gt;35,N58+M59-V58,IF(A59&lt;'Données projet'!$A$36,$K$205^A59,IF(A59='Données projet'!$A$36,'Données projet'!$B$36,N58+M59-V58)))</f>
        <v>272.75</v>
      </c>
      <c r="O59" s="13">
        <f>N59*VLOOKUP('Données projet'!$B$9,Paramètres!$A$1:$I$89,3,0)*VLOOKUP('Données projet'!$B$9,Paramètres!$A$1:$I$89,5,0)</f>
        <v>163.1045</v>
      </c>
      <c r="P59" s="13">
        <f t="shared" si="33"/>
        <v>41.541958957555011</v>
      </c>
      <c r="Q59" s="20">
        <f t="shared" si="53"/>
        <v>356.42591601774166</v>
      </c>
      <c r="R59" s="59">
        <f t="shared" si="0"/>
        <v>615.35573195636334</v>
      </c>
      <c r="S59" s="59">
        <f ca="1">AVERAGE(OFFSET($R$3,0,0,'Données projet'!$E$9+1,1))-AVERAGE(OFFSET($H$3,0,0,'Données projet'!$E$9+1,1))</f>
        <v>219.4022220248072</v>
      </c>
      <c r="T59" s="59">
        <f t="shared" si="34"/>
        <v>199.30065726913725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32.644677009562848</v>
      </c>
      <c r="AA59" s="21">
        <f>EXP(-LN(2)/25)*AA58+(1-EXP(-LN(2)/25))/(LN(2)/25)*Calculateur!V59*Calculateur!X59*VLOOKUP('Données projet'!$B$9,Paramètres!$A$1:$I$89,3,0)*0.475*44/12</f>
        <v>7.224734913068418</v>
      </c>
      <c r="AB59" s="21">
        <f>EXP(-LN(2)/2)*AB58+(1-EXP(-LN(2)/2))/(LN(2)/2)*V59*Y59*VLOOKUP('Données projet'!$B$9,Paramètres!$A$1:$I$89,3,0)*0.475*44/12</f>
        <v>1.108088250507592</v>
      </c>
      <c r="AC59" s="22">
        <f t="shared" si="3"/>
        <v>40.977500173138857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7.6</v>
      </c>
      <c r="AI59" s="13">
        <f>IF('Données projet'!$A$62&gt;35,AI58+AH59-AQ58,IF(A59&lt;'Données projet'!$A$62,$AF$205^A59,IF(A59='Données projet'!$A$62,'Données projet'!$B$62,AI58+AH59-AQ58)))</f>
        <v>183.6</v>
      </c>
      <c r="AJ59" s="13">
        <f>AI59*VLOOKUP('Données projet'!$B$10,Paramètres!$A$1:$I$89,3,0)*VLOOKUP('Données projet'!$B$10,Paramètres!$A$1:$I$89,5,0)</f>
        <v>166.12127999999998</v>
      </c>
      <c r="AK59" s="13">
        <f t="shared" si="35"/>
        <v>42.220155874487318</v>
      </c>
      <c r="AL59" s="20">
        <f t="shared" si="4"/>
        <v>362.8613341480654</v>
      </c>
      <c r="AM59" s="59">
        <f t="shared" si="5"/>
        <v>621.79115008668714</v>
      </c>
      <c r="AN59" s="59">
        <f ca="1">AVERAGE(OFFSET($AM$3,0,0,'Données projet'!$E$10+1,1))-AVERAGE(OFFSET($H$3,0,0,'Données projet'!$E$10+1,1))</f>
        <v>406.64650428071837</v>
      </c>
      <c r="AO59" s="59">
        <f t="shared" si="36"/>
        <v>250.47702091764884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21.269740223915672</v>
      </c>
      <c r="AV59" s="21">
        <f>EXP(-LN(2)/25)*AV58+(1-EXP(-LN(2)/25))/(LN(2)/25)*Calculateur!AQ59*Calculateur!AS59*VLOOKUP('Données projet'!$B$10,Paramètres!$A$1:$I$89,3,0)*0.475*44/12</f>
        <v>1.7839173263985226</v>
      </c>
      <c r="AW59" s="21">
        <f>EXP(-LN(2)/2)*AW58+(1-EXP(-LN(2)/2))/(LN(2)/2)*AQ59*AT59*VLOOKUP('Données projet'!$B$10,Paramètres!$A$1:$I$89,3,0)*0.475*44/12</f>
        <v>0.92872724220015834</v>
      </c>
      <c r="AX59" s="21">
        <f t="shared" si="6"/>
        <v>23.982384792514353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7.6</v>
      </c>
      <c r="BD59" s="12">
        <f>IF('Données projet'!$A$88&gt;35,BD58+BC59-BL58,IF(A59&lt;'Données projet'!$A$88,$BA$205^A59,IF(A59='Données projet'!$A$88,'Données projet'!$B$88,BD58+BC59-BL58)))</f>
        <v>258.59999999999985</v>
      </c>
      <c r="BE59" s="13">
        <f>BD59*VLOOKUP('Données projet'!$B$11,Paramètres!$A$1:$I$89,3,0)*VLOOKUP('Données projet'!$B$11,Paramètres!$A$1:$I$89,5,0)</f>
        <v>246.08375999999984</v>
      </c>
      <c r="BF59" s="13">
        <f t="shared" si="37"/>
        <v>59.74656794836347</v>
      </c>
      <c r="BG59" s="20">
        <f t="shared" si="7"/>
        <v>532.65448784339935</v>
      </c>
      <c r="BH59" s="59">
        <f t="shared" si="8"/>
        <v>791.58430378202115</v>
      </c>
      <c r="BI59" s="59">
        <f ca="1">AVERAGE(OFFSET($BH$3,0,0,'Données projet'!$E$11+1,1))-AVERAGE(OFFSET($H$3,0,0,'Données projet'!$E$11+1,1))</f>
        <v>387.78453964980849</v>
      </c>
      <c r="BJ59" s="59">
        <f t="shared" si="38"/>
        <v>395.13533152274488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30.487118523488348</v>
      </c>
      <c r="BQ59" s="21">
        <f>EXP(-LN(2)/25)*BQ58+(1-EXP(-LN(2)/25))/(LN(2)/25)*Calculateur!BL59*Calculateur!BN59*VLOOKUP('Données projet'!$B$11,Paramètres!$A$1:$I$89,3,0)*0.475*44/12</f>
        <v>2.4553549956525957</v>
      </c>
      <c r="BR59" s="21">
        <f>EXP(-LN(2)/2)*BR58+(1-EXP(-LN(2)/2))/(LN(2)/2)*BL59*BO59*VLOOKUP('Données projet'!$B$11,Paramètres!$A$1:$I$89,3,0)*0.475*44/12</f>
        <v>1.0731203844452935</v>
      </c>
      <c r="BS59" s="22">
        <f t="shared" si="9"/>
        <v>34.015593903586243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">
      <c r="A60" s="10">
        <f t="shared" si="31"/>
        <v>57</v>
      </c>
      <c r="B60" s="73">
        <f>'Scénario référence'!$B$16*5+'Scénario référence'!$B$17*0+'Scénario référence'!$B$18*5</f>
        <v>5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">
        <f t="shared" si="32"/>
        <v>0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18.333333333333332</v>
      </c>
      <c r="H60" s="67">
        <f t="shared" si="1"/>
        <v>183.33333333333334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4.875</v>
      </c>
      <c r="N60" s="13">
        <f>IF('Données projet'!$A$36&gt;35,N59+M60-V59,IF(A60&lt;'Données projet'!$A$36,$K$205^A60,IF(A60='Données projet'!$A$36,'Données projet'!$B$36,N59+M60-V59)))</f>
        <v>277.625</v>
      </c>
      <c r="O60" s="13">
        <f>N60*VLOOKUP('Données projet'!$B$9,Paramètres!$A$1:$I$89,3,0)*VLOOKUP('Données projet'!$B$9,Paramètres!$A$1:$I$89,5,0)</f>
        <v>166.01975000000002</v>
      </c>
      <c r="P60" s="13">
        <f t="shared" si="33"/>
        <v>42.197354548254467</v>
      </c>
      <c r="Q60" s="20">
        <f t="shared" si="53"/>
        <v>362.64479042154329</v>
      </c>
      <c r="R60" s="59">
        <f t="shared" si="0"/>
        <v>622.171430472221</v>
      </c>
      <c r="S60" s="59">
        <f ca="1">AVERAGE(OFFSET($R$3,0,0,'Données projet'!$E$9+1,1))-AVERAGE(OFFSET($H$3,0,0,'Données projet'!$E$9+1,1))</f>
        <v>219.4022220248072</v>
      </c>
      <c r="T60" s="59">
        <f t="shared" si="34"/>
        <v>199.30065726913725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32.00453480469222</v>
      </c>
      <c r="AA60" s="21">
        <f>EXP(-LN(2)/25)*AA59+(1-EXP(-LN(2)/25))/(LN(2)/25)*Calculateur!V60*Calculateur!X60*VLOOKUP('Données projet'!$B$9,Paramètres!$A$1:$I$89,3,0)*0.475*44/12</f>
        <v>7.0271741569382655</v>
      </c>
      <c r="AB60" s="21">
        <f>EXP(-LN(2)/2)*AB59+(1-EXP(-LN(2)/2))/(LN(2)/2)*V60*Y60*VLOOKUP('Données projet'!$B$9,Paramètres!$A$1:$I$89,3,0)*0.475*44/12</f>
        <v>0.78353671608705611</v>
      </c>
      <c r="AC60" s="22">
        <f t="shared" si="3"/>
        <v>39.815245677717542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7.6</v>
      </c>
      <c r="AI60" s="13">
        <f>IF('Données projet'!$A$62&gt;35,AI59+AH60-AQ59,IF(A60&lt;'Données projet'!$A$62,$AF$205^A60,IF(A60='Données projet'!$A$62,'Données projet'!$B$62,AI59+AH60-AQ59)))</f>
        <v>191.2</v>
      </c>
      <c r="AJ60" s="13">
        <f>AI60*VLOOKUP('Données projet'!$B$10,Paramètres!$A$1:$I$89,3,0)*VLOOKUP('Données projet'!$B$10,Paramètres!$A$1:$I$89,5,0)</f>
        <v>172.99775999999997</v>
      </c>
      <c r="AK60" s="13">
        <f t="shared" si="35"/>
        <v>43.760737531919609</v>
      </c>
      <c r="AL60" s="20">
        <f t="shared" si="4"/>
        <v>377.52104986809326</v>
      </c>
      <c r="AM60" s="59">
        <f t="shared" si="5"/>
        <v>637.04768991877097</v>
      </c>
      <c r="AN60" s="59">
        <f ca="1">AVERAGE(OFFSET($AM$3,0,0,'Données projet'!$E$10+1,1))-AVERAGE(OFFSET($H$3,0,0,'Données projet'!$E$10+1,1))</f>
        <v>406.64650428071837</v>
      </c>
      <c r="AO60" s="59">
        <f t="shared" si="36"/>
        <v>250.47702091764884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20.85265359138522</v>
      </c>
      <c r="AV60" s="21">
        <f>EXP(-LN(2)/25)*AV59+(1-EXP(-LN(2)/25))/(LN(2)/25)*Calculateur!AQ60*Calculateur!AS60*VLOOKUP('Données projet'!$B$10,Paramètres!$A$1:$I$89,3,0)*0.475*44/12</f>
        <v>1.7351360132960201</v>
      </c>
      <c r="AW60" s="21">
        <f>EXP(-LN(2)/2)*AW59+(1-EXP(-LN(2)/2))/(LN(2)/2)*AQ60*AT60*VLOOKUP('Données projet'!$B$10,Paramètres!$A$1:$I$89,3,0)*0.475*44/12</f>
        <v>0.65670933083241312</v>
      </c>
      <c r="AX60" s="21">
        <f t="shared" si="6"/>
        <v>23.244498935513654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7.6</v>
      </c>
      <c r="BD60" s="12">
        <f>IF('Données projet'!$A$88&gt;35,BD59+BC60-BL59,IF(A60&lt;'Données projet'!$A$88,$BA$205^A60,IF(A60='Données projet'!$A$88,'Données projet'!$B$88,BD59+BC60-BL59)))</f>
        <v>266.19999999999987</v>
      </c>
      <c r="BE60" s="13">
        <f>BD60*VLOOKUP('Données projet'!$B$11,Paramètres!$A$1:$I$89,3,0)*VLOOKUP('Données projet'!$B$11,Paramètres!$A$1:$I$89,5,0)</f>
        <v>253.31591999999989</v>
      </c>
      <c r="BF60" s="13">
        <f t="shared" si="37"/>
        <v>61.295449776469411</v>
      </c>
      <c r="BG60" s="20">
        <f t="shared" si="7"/>
        <v>547.94813569401742</v>
      </c>
      <c r="BH60" s="59">
        <f t="shared" si="8"/>
        <v>807.47477574469508</v>
      </c>
      <c r="BI60" s="59">
        <f ca="1">AVERAGE(OFFSET($BH$3,0,0,'Données projet'!$E$11+1,1))-AVERAGE(OFFSET($H$3,0,0,'Données projet'!$E$11+1,1))</f>
        <v>387.78453964980849</v>
      </c>
      <c r="BJ60" s="59">
        <f t="shared" si="38"/>
        <v>395.13533152274488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29.889284724548908</v>
      </c>
      <c r="BQ60" s="21">
        <f>EXP(-LN(2)/25)*BQ59+(1-EXP(-LN(2)/25))/(LN(2)/25)*Calculateur!BL60*Calculateur!BN60*VLOOKUP('Données projet'!$B$11,Paramètres!$A$1:$I$89,3,0)*0.475*44/12</f>
        <v>2.3882131841749681</v>
      </c>
      <c r="BR60" s="21">
        <f>EXP(-LN(2)/2)*BR59+(1-EXP(-LN(2)/2))/(LN(2)/2)*BL60*BO60*VLOOKUP('Données projet'!$B$11,Paramètres!$A$1:$I$89,3,0)*0.475*44/12</f>
        <v>0.75881070087078195</v>
      </c>
      <c r="BS60" s="22">
        <f t="shared" si="9"/>
        <v>33.036308609594656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">
      <c r="A61" s="10">
        <f t="shared" si="31"/>
        <v>58</v>
      </c>
      <c r="B61" s="73">
        <f>'Scénario référence'!$B$16*5+'Scénario référence'!$B$17*0+'Scénario référence'!$B$18*5</f>
        <v>5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">
        <f t="shared" si="32"/>
        <v>0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18.333333333333332</v>
      </c>
      <c r="H61" s="67">
        <f t="shared" si="1"/>
        <v>183.33333333333334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4.875</v>
      </c>
      <c r="N61" s="13">
        <f>IF('Données projet'!$A$36&gt;35,N60+M61-V60,IF(A61&lt;'Données projet'!$A$36,$K$205^A61,IF(A61='Données projet'!$A$36,'Données projet'!$B$36,N60+M61-V60)))</f>
        <v>282.5</v>
      </c>
      <c r="O61" s="13">
        <f>N61*VLOOKUP('Données projet'!$B$9,Paramètres!$A$1:$I$89,3,0)*VLOOKUP('Données projet'!$B$9,Paramètres!$A$1:$I$89,5,0)</f>
        <v>168.93500000000003</v>
      </c>
      <c r="P61" s="13">
        <f t="shared" si="33"/>
        <v>42.851411842341875</v>
      </c>
      <c r="Q61" s="20">
        <f t="shared" si="53"/>
        <v>368.86133395874549</v>
      </c>
      <c r="R61" s="59">
        <f t="shared" si="0"/>
        <v>628.97444455743391</v>
      </c>
      <c r="S61" s="59">
        <f ca="1">AVERAGE(OFFSET($R$3,0,0,'Données projet'!$E$9+1,1))-AVERAGE(OFFSET($H$3,0,0,'Données projet'!$E$9+1,1))</f>
        <v>219.4022220248072</v>
      </c>
      <c r="T61" s="59">
        <f t="shared" si="34"/>
        <v>199.30065726913725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31.376945398010914</v>
      </c>
      <c r="AA61" s="21">
        <f>EXP(-LN(2)/25)*AA60+(1-EXP(-LN(2)/25))/(LN(2)/25)*Calculateur!V61*Calculateur!X61*VLOOKUP('Données projet'!$B$9,Paramètres!$A$1:$I$89,3,0)*0.475*44/12</f>
        <v>6.835015710073761</v>
      </c>
      <c r="AB61" s="21">
        <f>EXP(-LN(2)/2)*AB60+(1-EXP(-LN(2)/2))/(LN(2)/2)*V61*Y61*VLOOKUP('Données projet'!$B$9,Paramètres!$A$1:$I$89,3,0)*0.475*44/12</f>
        <v>0.55404412525379598</v>
      </c>
      <c r="AC61" s="22">
        <f t="shared" si="3"/>
        <v>38.766005233338468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7.6</v>
      </c>
      <c r="AI61" s="13">
        <f>IF('Données projet'!$A$62&gt;35,AI60+AH61-AQ60,IF(A61&lt;'Données projet'!$A$62,$AF$205^A61,IF(A61='Données projet'!$A$62,'Données projet'!$B$62,AI60+AH61-AQ60)))</f>
        <v>198.79999999999998</v>
      </c>
      <c r="AJ61" s="13">
        <f>AI61*VLOOKUP('Données projet'!$B$10,Paramètres!$A$1:$I$89,3,0)*VLOOKUP('Données projet'!$B$10,Paramètres!$A$1:$I$89,5,0)</f>
        <v>179.87423999999999</v>
      </c>
      <c r="AK61" s="13">
        <f t="shared" si="35"/>
        <v>45.294205745553846</v>
      </c>
      <c r="AL61" s="20">
        <f t="shared" si="4"/>
        <v>392.16837634017293</v>
      </c>
      <c r="AM61" s="59">
        <f t="shared" si="5"/>
        <v>652.28148693886135</v>
      </c>
      <c r="AN61" s="59">
        <f ca="1">AVERAGE(OFFSET($AM$3,0,0,'Données projet'!$E$10+1,1))-AVERAGE(OFFSET($H$3,0,0,'Données projet'!$E$10+1,1))</f>
        <v>406.64650428071837</v>
      </c>
      <c r="AO61" s="59">
        <f t="shared" si="36"/>
        <v>250.47702091764884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20.443745773320963</v>
      </c>
      <c r="AV61" s="21">
        <f>EXP(-LN(2)/25)*AV60+(1-EXP(-LN(2)/25))/(LN(2)/25)*Calculateur!AQ61*Calculateur!AS61*VLOOKUP('Données projet'!$B$10,Paramètres!$A$1:$I$89,3,0)*0.475*44/12</f>
        <v>1.6876886277656031</v>
      </c>
      <c r="AW61" s="21">
        <f>EXP(-LN(2)/2)*AW60+(1-EXP(-LN(2)/2))/(LN(2)/2)*AQ61*AT61*VLOOKUP('Données projet'!$B$10,Paramètres!$A$1:$I$89,3,0)*0.475*44/12</f>
        <v>0.46436362110007923</v>
      </c>
      <c r="AX61" s="21">
        <f t="shared" si="6"/>
        <v>22.595798022186646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7.6</v>
      </c>
      <c r="BD61" s="12">
        <f>IF('Données projet'!$A$88&gt;35,BD60+BC61-BL60,IF(A61&lt;'Données projet'!$A$88,$BA$205^A61,IF(A61='Données projet'!$A$88,'Données projet'!$B$88,BD60+BC61-BL60)))</f>
        <v>273.7999999999999</v>
      </c>
      <c r="BE61" s="13">
        <f>BD61*VLOOKUP('Données projet'!$B$11,Paramètres!$A$1:$I$89,3,0)*VLOOKUP('Données projet'!$B$11,Paramètres!$A$1:$I$89,5,0)</f>
        <v>260.54807999999991</v>
      </c>
      <c r="BF61" s="13">
        <f t="shared" si="37"/>
        <v>62.83919214180397</v>
      </c>
      <c r="BG61" s="20">
        <f t="shared" si="7"/>
        <v>563.23283231364178</v>
      </c>
      <c r="BH61" s="59">
        <f t="shared" si="8"/>
        <v>823.3459429123302</v>
      </c>
      <c r="BI61" s="59">
        <f ca="1">AVERAGE(OFFSET($BH$3,0,0,'Données projet'!$E$11+1,1))-AVERAGE(OFFSET($H$3,0,0,'Données projet'!$E$11+1,1))</f>
        <v>387.78453964980849</v>
      </c>
      <c r="BJ61" s="59">
        <f t="shared" si="38"/>
        <v>395.13533152274488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29.303174081764059</v>
      </c>
      <c r="BQ61" s="21">
        <f>EXP(-LN(2)/25)*BQ60+(1-EXP(-LN(2)/25))/(LN(2)/25)*Calculateur!BL61*Calculateur!BN61*VLOOKUP('Données projet'!$B$11,Paramètres!$A$1:$I$89,3,0)*0.475*44/12</f>
        <v>2.3229073690630306</v>
      </c>
      <c r="BR61" s="21">
        <f>EXP(-LN(2)/2)*BR60+(1-EXP(-LN(2)/2))/(LN(2)/2)*BL61*BO61*VLOOKUP('Données projet'!$B$11,Paramètres!$A$1:$I$89,3,0)*0.475*44/12</f>
        <v>0.53656019222264684</v>
      </c>
      <c r="BS61" s="22">
        <f t="shared" si="9"/>
        <v>32.162641643049739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">
      <c r="A62" s="10">
        <f t="shared" si="31"/>
        <v>59</v>
      </c>
      <c r="B62" s="73">
        <f>'Scénario référence'!$B$16*5+'Scénario référence'!$B$17*0+'Scénario référence'!$B$18*5</f>
        <v>5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">
        <f t="shared" si="32"/>
        <v>0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18.333333333333332</v>
      </c>
      <c r="H62" s="67">
        <f t="shared" si="1"/>
        <v>183.33333333333334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4.875</v>
      </c>
      <c r="N62" s="13">
        <f>IF('Données projet'!$A$36&gt;35,N61+M62-V61,IF(A62&lt;'Données projet'!$A$36,$K$205^A62,IF(A62='Données projet'!$A$36,'Données projet'!$B$36,N61+M62-V61)))</f>
        <v>287.375</v>
      </c>
      <c r="O62" s="13">
        <f>N62*VLOOKUP('Données projet'!$B$9,Paramètres!$A$1:$I$89,3,0)*VLOOKUP('Données projet'!$B$9,Paramètres!$A$1:$I$89,5,0)</f>
        <v>171.85024999999999</v>
      </c>
      <c r="P62" s="13">
        <f t="shared" si="33"/>
        <v>43.504156599215776</v>
      </c>
      <c r="Q62" s="20">
        <f t="shared" si="53"/>
        <v>375.07559149363414</v>
      </c>
      <c r="R62" s="59">
        <f t="shared" si="0"/>
        <v>635.76499868747692</v>
      </c>
      <c r="S62" s="59">
        <f ca="1">AVERAGE(OFFSET($R$3,0,0,'Données projet'!$E$9+1,1))-AVERAGE(OFFSET($H$3,0,0,'Données projet'!$E$9+1,1))</f>
        <v>219.4022220248072</v>
      </c>
      <c r="T62" s="59">
        <f t="shared" si="34"/>
        <v>199.30065726913725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30.761662636802889</v>
      </c>
      <c r="AA62" s="21">
        <f>EXP(-LN(2)/25)*AA61+(1-EXP(-LN(2)/25))/(LN(2)/25)*Calculateur!V62*Calculateur!X62*VLOOKUP('Données projet'!$B$9,Paramètres!$A$1:$I$89,3,0)*0.475*44/12</f>
        <v>6.648111846043939</v>
      </c>
      <c r="AB62" s="21">
        <f>EXP(-LN(2)/2)*AB61+(1-EXP(-LN(2)/2))/(LN(2)/2)*V62*Y62*VLOOKUP('Données projet'!$B$9,Paramètres!$A$1:$I$89,3,0)*0.475*44/12</f>
        <v>0.39176835804352805</v>
      </c>
      <c r="AC62" s="22">
        <f t="shared" si="3"/>
        <v>37.801542840890356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7.6</v>
      </c>
      <c r="AI62" s="13">
        <f>IF('Données projet'!$A$62&gt;35,AI61+AH62-AQ61,IF(A62&lt;'Données projet'!$A$62,$AF$205^A62,IF(A62='Données projet'!$A$62,'Données projet'!$B$62,AI61+AH62-AQ61)))</f>
        <v>206.39999999999998</v>
      </c>
      <c r="AJ62" s="13">
        <f>AI62*VLOOKUP('Données projet'!$B$10,Paramètres!$A$1:$I$89,3,0)*VLOOKUP('Données projet'!$B$10,Paramètres!$A$1:$I$89,5,0)</f>
        <v>186.75071999999997</v>
      </c>
      <c r="AK62" s="13">
        <f t="shared" si="35"/>
        <v>46.820863587839391</v>
      </c>
      <c r="AL62" s="20">
        <f t="shared" si="4"/>
        <v>406.80384141548689</v>
      </c>
      <c r="AM62" s="59">
        <f t="shared" si="5"/>
        <v>667.49324860932961</v>
      </c>
      <c r="AN62" s="59">
        <f ca="1">AVERAGE(OFFSET($AM$3,0,0,'Données projet'!$E$10+1,1))-AVERAGE(OFFSET($H$3,0,0,'Données projet'!$E$10+1,1))</f>
        <v>406.64650428071837</v>
      </c>
      <c r="AO62" s="59">
        <f t="shared" si="36"/>
        <v>250.47702091764884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20.042856388159805</v>
      </c>
      <c r="AV62" s="21">
        <f>EXP(-LN(2)/25)*AV61+(1-EXP(-LN(2)/25))/(LN(2)/25)*Calculateur!AQ62*Calculateur!AS62*VLOOKUP('Données projet'!$B$10,Paramètres!$A$1:$I$89,3,0)*0.475*44/12</f>
        <v>1.641538693487665</v>
      </c>
      <c r="AW62" s="21">
        <f>EXP(-LN(2)/2)*AW61+(1-EXP(-LN(2)/2))/(LN(2)/2)*AQ62*AT62*VLOOKUP('Données projet'!$B$10,Paramètres!$A$1:$I$89,3,0)*0.475*44/12</f>
        <v>0.32835466541620661</v>
      </c>
      <c r="AX62" s="21">
        <f t="shared" si="6"/>
        <v>22.012749747063676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7.6</v>
      </c>
      <c r="BD62" s="12">
        <f>IF('Données projet'!$A$88&gt;35,BD61+BC62-BL61,IF(A62&lt;'Données projet'!$A$88,$BA$205^A62,IF(A62='Données projet'!$A$88,'Données projet'!$B$88,BD61+BC62-BL61)))</f>
        <v>281.39999999999992</v>
      </c>
      <c r="BE62" s="13">
        <f>BD62*VLOOKUP('Données projet'!$B$11,Paramètres!$A$1:$I$89,3,0)*VLOOKUP('Données projet'!$B$11,Paramètres!$A$1:$I$89,5,0)</f>
        <v>267.78023999999994</v>
      </c>
      <c r="BF62" s="13">
        <f t="shared" si="37"/>
        <v>64.377954092757676</v>
      </c>
      <c r="BG62" s="20">
        <f t="shared" si="7"/>
        <v>578.50885471155289</v>
      </c>
      <c r="BH62" s="59">
        <f t="shared" si="8"/>
        <v>839.19826190539561</v>
      </c>
      <c r="BI62" s="59">
        <f ca="1">AVERAGE(OFFSET($BH$3,0,0,'Données projet'!$E$11+1,1))-AVERAGE(OFFSET($H$3,0,0,'Données projet'!$E$11+1,1))</f>
        <v>387.78453964980849</v>
      </c>
      <c r="BJ62" s="59">
        <f t="shared" si="38"/>
        <v>395.13533152274488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28.728556711192027</v>
      </c>
      <c r="BQ62" s="21">
        <f>EXP(-LN(2)/25)*BQ61+(1-EXP(-LN(2)/25))/(LN(2)/25)*Calculateur!BL62*Calculateur!BN62*VLOOKUP('Données projet'!$B$11,Paramètres!$A$1:$I$89,3,0)*0.475*44/12</f>
        <v>2.2593873448996127</v>
      </c>
      <c r="BR62" s="21">
        <f>EXP(-LN(2)/2)*BR61+(1-EXP(-LN(2)/2))/(LN(2)/2)*BL62*BO62*VLOOKUP('Données projet'!$B$11,Paramètres!$A$1:$I$89,3,0)*0.475*44/12</f>
        <v>0.37940535043539103</v>
      </c>
      <c r="BS62" s="22">
        <f t="shared" si="9"/>
        <v>31.36734940652703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">
      <c r="A63" s="10">
        <f t="shared" si="31"/>
        <v>60</v>
      </c>
      <c r="B63" s="73">
        <f>'Scénario référence'!$B$16*5+'Scénario référence'!$B$17*0+'Scénario référence'!$B$18*5</f>
        <v>5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">
        <f t="shared" si="32"/>
        <v>0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18.333333333333332</v>
      </c>
      <c r="H63" s="67">
        <f t="shared" si="1"/>
        <v>183.33333333333334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4.875</v>
      </c>
      <c r="N63" s="13">
        <f>IF('Données projet'!$A$36&gt;35,N62+M63-V62,IF(A63&lt;'Données projet'!$A$36,$K$205^A63,IF(A63='Données projet'!$A$36,'Données projet'!$B$36,N62+M63-V62)))</f>
        <v>292.25</v>
      </c>
      <c r="O63" s="13">
        <f>N63*VLOOKUP('Données projet'!$B$9,Paramètres!$A$1:$I$89,3,0)*VLOOKUP('Données projet'!$B$9,Paramètres!$A$1:$I$89,5,0)</f>
        <v>174.7655</v>
      </c>
      <c r="P63" s="13">
        <f t="shared" si="33"/>
        <v>44.155613654230763</v>
      </c>
      <c r="Q63" s="20">
        <f t="shared" si="53"/>
        <v>381.28760628111854</v>
      </c>
      <c r="R63" s="59">
        <f t="shared" si="0"/>
        <v>642.54331261259608</v>
      </c>
      <c r="S63" s="59">
        <f ca="1">AVERAGE(OFFSET($R$3,0,0,'Données projet'!$E$9+1,1))-AVERAGE(OFFSET($H$3,0,0,'Données projet'!$E$9+1,1))</f>
        <v>219.4022220248072</v>
      </c>
      <c r="T63" s="59">
        <f t="shared" si="34"/>
        <v>199.30065726913725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30.158445195256725</v>
      </c>
      <c r="AA63" s="21">
        <f>EXP(-LN(2)/25)*AA62+(1-EXP(-LN(2)/25))/(LN(2)/25)*Calculateur!V63*Calculateur!X63*VLOOKUP('Données projet'!$B$9,Paramètres!$A$1:$I$89,3,0)*0.475*44/12</f>
        <v>6.4663188780048602</v>
      </c>
      <c r="AB63" s="21">
        <f>EXP(-LN(2)/2)*AB62+(1-EXP(-LN(2)/2))/(LN(2)/2)*V63*Y63*VLOOKUP('Données projet'!$B$9,Paramètres!$A$1:$I$89,3,0)*0.475*44/12</f>
        <v>0.27702206262689799</v>
      </c>
      <c r="AC63" s="22">
        <f t="shared" si="3"/>
        <v>36.901786135888486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214</v>
      </c>
      <c r="AG63" s="12">
        <f>VLOOKUP(A63,'Données projet'!$A$61:$I$81,9,0)</f>
        <v>7.6</v>
      </c>
      <c r="AH63" s="12">
        <f t="array" ref="AH63">INDEX(AG:AG,MIN(IF(ISNUMBER(AG63:AG259),ROW(AG63:AG259),"")))</f>
        <v>7.6</v>
      </c>
      <c r="AI63" s="13">
        <f>IF('Données projet'!$A$62&gt;35,AI62+AH63-AQ62,IF(A63&lt;'Données projet'!$A$62,$AF$205^A63,IF(A63='Données projet'!$A$62,'Données projet'!$B$62,AI62+AH63-AQ62)))</f>
        <v>213.99999999999997</v>
      </c>
      <c r="AJ63" s="13">
        <f>AI63*VLOOKUP('Données projet'!$B$10,Paramètres!$A$1:$I$89,3,0)*VLOOKUP('Données projet'!$B$10,Paramètres!$A$1:$I$89,5,0)</f>
        <v>193.62719999999996</v>
      </c>
      <c r="AK63" s="13">
        <f t="shared" si="35"/>
        <v>48.340990547231193</v>
      </c>
      <c r="AL63" s="20">
        <f t="shared" si="4"/>
        <v>421.42793186976087</v>
      </c>
      <c r="AM63" s="59">
        <f t="shared" si="5"/>
        <v>682.68363820123841</v>
      </c>
      <c r="AN63" s="59">
        <f ca="1">AVERAGE(OFFSET($AM$3,0,0,'Données projet'!$E$10+1,1))-AVERAGE(OFFSET($H$3,0,0,'Données projet'!$E$10+1,1))</f>
        <v>406.64650428071837</v>
      </c>
      <c r="AO63" s="59">
        <f t="shared" si="36"/>
        <v>250.47702091764884</v>
      </c>
      <c r="AP63" s="15">
        <f>IF(ISNA(VLOOKUP(A63,'Données projet'!$A$61:$I$81,3,0)),0,VLOOKUP(A63,'Données projet'!$A$61:$I$81,3,0))</f>
        <v>8</v>
      </c>
      <c r="AQ63" s="15">
        <f>IF(ISNA(VLOOKUP(A63,'Données projet'!$A$61:$I$81,4,0)),0,VLOOKUP(A63,'Données projet'!$A$61:$I$81,4,0))</f>
        <v>21</v>
      </c>
      <c r="AR63" s="16">
        <f>IF(ISNA(VLOOKUP(A63,'Données projet'!$A$61:$I$81,5,0)),0%,VLOOKUP(A63,'Données projet'!$A$61:$I$81,5,0)*VLOOKUP('Données projet'!$B$10,Paramètres!$A$1:$I$89,7,0))</f>
        <v>0.34400000000000003</v>
      </c>
      <c r="AS63" s="16">
        <f>IF(ISNA(VLOOKUP(A63,'Données projet'!$A$61:$I$81,6,0)),0%,VLOOKUP(A63,'Données projet'!$A$61:$I$81,6,0)*VLOOKUP('Données projet'!$B$10,Paramètres!$A$1:$I$89,7,0))</f>
        <v>1.72E-2</v>
      </c>
      <c r="AT63" s="16">
        <f>IF(ISNA(VLOOKUP(A63,'Données projet'!$A$61:$I$81,7,0)),0%,VLOOKUP(A63,'Données projet'!$A$61:$I$81,7,0))</f>
        <v>0.06</v>
      </c>
      <c r="AU63" s="21">
        <f>EXP(-LN(2)/35)*AU62+(1-EXP(-LN(2)/35))/(LN(2)/35)*AQ63*AR63*VLOOKUP('Données projet'!$B$10,Paramètres!$A$1:$I$89,3,0)*0.475*44/12</f>
        <v>26.875486825399086</v>
      </c>
      <c r="AV63" s="21">
        <f>EXP(-LN(2)/25)*AV62+(1-EXP(-LN(2)/25))/(LN(2)/25)*Calculateur!AQ63*Calculateur!AS63*VLOOKUP('Données projet'!$B$10,Paramètres!$A$1:$I$89,3,0)*0.475*44/12</f>
        <v>1.956511154333135</v>
      </c>
      <c r="AW63" s="21">
        <f>EXP(-LN(2)/2)*AW62+(1-EXP(-LN(2)/2))/(LN(2)/2)*AQ63*AT63*VLOOKUP('Données projet'!$B$10,Paramètres!$A$1:$I$89,3,0)*0.475*44/12</f>
        <v>1.3078477824920831</v>
      </c>
      <c r="AX63" s="21">
        <f t="shared" si="6"/>
        <v>30.139845762224304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projet'!$A$87:$I$107,2,0)</f>
        <v>289</v>
      </c>
      <c r="BB63" s="12">
        <f>VLOOKUP(A63,'Données projet'!$A$87:$I$107,9,0)</f>
        <v>7.6</v>
      </c>
      <c r="BC63" s="12">
        <f t="array" ref="BC63">INDEX(BB:BB,MIN(IF(ISNUMBER(BB63:BB259),ROW(BB63:BB259),"")))</f>
        <v>7.6</v>
      </c>
      <c r="BD63" s="12">
        <f>IF('Données projet'!$A$88&gt;35,BD62+BC63-BL62,IF(A63&lt;'Données projet'!$A$88,$BA$205^A63,IF(A63='Données projet'!$A$88,'Données projet'!$B$88,BD62+BC63-BL62)))</f>
        <v>288.99999999999994</v>
      </c>
      <c r="BE63" s="13">
        <f>BD63*VLOOKUP('Données projet'!$B$11,Paramètres!$A$1:$I$89,3,0)*VLOOKUP('Données projet'!$B$11,Paramètres!$A$1:$I$89,5,0)</f>
        <v>275.01239999999996</v>
      </c>
      <c r="BF63" s="13">
        <f t="shared" si="37"/>
        <v>65.911885597558978</v>
      </c>
      <c r="BG63" s="20">
        <f t="shared" si="7"/>
        <v>593.77646408241515</v>
      </c>
      <c r="BH63" s="59">
        <f t="shared" si="8"/>
        <v>855.03217041389257</v>
      </c>
      <c r="BI63" s="59">
        <f ca="1">AVERAGE(OFFSET($BH$3,0,0,'Données projet'!$E$11+1,1))-AVERAGE(OFFSET($H$3,0,0,'Données projet'!$E$11+1,1))</f>
        <v>387.78453964980849</v>
      </c>
      <c r="BJ63" s="59">
        <f t="shared" si="38"/>
        <v>395.13533152274488</v>
      </c>
      <c r="BK63" s="15">
        <f>IF(ISNA(VLOOKUP(A63,'Données projet'!$A$87:$I$107,3,0)),0,VLOOKUP(A63,'Données projet'!$A$87:$I$107,3,0))</f>
        <v>10</v>
      </c>
      <c r="BL63" s="15">
        <f>IF(ISNA(VLOOKUP(A63,'Données projet'!$A$87:$I$107,4,0)),0,VLOOKUP(A63,'Données projet'!$A$87:$I$107,4,0))</f>
        <v>23</v>
      </c>
      <c r="BM63" s="16">
        <f>IF(ISNA(VLOOKUP(A63,'Données projet'!$A$87:$I$107,5,0)),0%,VLOOKUP(A63,'Données projet'!$A$87:$I$107,5,0)*VLOOKUP('Données projet'!$B$11,Paramètres!$A$1:$I$89,7,0))</f>
        <v>0.34400000000000003</v>
      </c>
      <c r="BN63" s="16">
        <f>IF(ISNA(VLOOKUP(A63,'Données projet'!$A$87:$I$107,6,0)),0%,VLOOKUP(A63,'Données projet'!$A$87:$I$107,6,0)*VLOOKUP('Données projet'!$B$11,Paramètres!$A$1:$I$89,7,0))</f>
        <v>1.72E-2</v>
      </c>
      <c r="BO63" s="16">
        <f>IF(ISNA(VLOOKUP(A63,'Données projet'!$A$87:$I$107,7,0)),0%,VLOOKUP(A63,'Données projet'!$A$87:$I$107,7,0))</f>
        <v>0.06</v>
      </c>
      <c r="BP63" s="21">
        <f>EXP(-LN(2)/35)*BP62+(1-EXP(-LN(2)/35))/(LN(2)/35)*BL63*BM63*VLOOKUP('Données projet'!$B$11,Paramètres!$A$1:$I$89,3,0)*0.475*44/12</f>
        <v>36.488359168124973</v>
      </c>
      <c r="BQ63" s="21">
        <f>EXP(-LN(2)/25)*BQ62+(1-EXP(-LN(2)/25))/(LN(2)/25)*Calculateur!BL63*Calculateur!BN63*VLOOKUP('Données projet'!$B$11,Paramètres!$A$1:$I$89,3,0)*0.475*44/12</f>
        <v>2.6121233046786565</v>
      </c>
      <c r="BR63" s="21">
        <f>EXP(-LN(2)/2)*BR62+(1-EXP(-LN(2)/2))/(LN(2)/2)*BL63*BO63*VLOOKUP('Données projet'!$B$11,Paramètres!$A$1:$I$89,3,0)*0.475*44/12</f>
        <v>1.5073271885864359</v>
      </c>
      <c r="BS63" s="22">
        <f t="shared" si="9"/>
        <v>40.607809661390064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">
      <c r="A64" s="10">
        <f t="shared" si="31"/>
        <v>61</v>
      </c>
      <c r="B64" s="73">
        <f>'Scénario référence'!$B$16*5+'Scénario référence'!$B$17*0+'Scénario référence'!$B$18*5</f>
        <v>5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">
        <f t="shared" si="32"/>
        <v>0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18.333333333333332</v>
      </c>
      <c r="H64" s="67">
        <f t="shared" si="1"/>
        <v>183.33333333333334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4.875</v>
      </c>
      <c r="N64" s="13">
        <f>IF('Données projet'!$A$36&gt;35,N63+M64-V63,IF(A64&lt;'Données projet'!$A$36,$K$205^A64,IF(A64='Données projet'!$A$36,'Données projet'!$B$36,N63+M64-V63)))</f>
        <v>297.125</v>
      </c>
      <c r="O64" s="13">
        <f>N64*VLOOKUP('Données projet'!$B$9,Paramètres!$A$1:$I$89,3,0)*VLOOKUP('Données projet'!$B$9,Paramètres!$A$1:$I$89,5,0)</f>
        <v>177.68075000000002</v>
      </c>
      <c r="P64" s="13">
        <f t="shared" si="33"/>
        <v>44.8058069666953</v>
      </c>
      <c r="Q64" s="20">
        <f t="shared" si="53"/>
        <v>387.49742005032766</v>
      </c>
      <c r="R64" s="59">
        <f t="shared" si="0"/>
        <v>649.30960149545695</v>
      </c>
      <c r="S64" s="59">
        <f ca="1">AVERAGE(OFFSET($R$3,0,0,'Données projet'!$E$9+1,1))-AVERAGE(OFFSET($H$3,0,0,'Données projet'!$E$9+1,1))</f>
        <v>219.4022220248072</v>
      </c>
      <c r="T64" s="59">
        <f t="shared" si="34"/>
        <v>199.30065726913725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29.567056479812969</v>
      </c>
      <c r="AA64" s="21">
        <f>EXP(-LN(2)/25)*AA63+(1-EXP(-LN(2)/25))/(LN(2)/25)*Calculateur!V64*Calculateur!X64*VLOOKUP('Données projet'!$B$9,Paramètres!$A$1:$I$89,3,0)*0.475*44/12</f>
        <v>6.2894970482368864</v>
      </c>
      <c r="AB64" s="21">
        <f>EXP(-LN(2)/2)*AB63+(1-EXP(-LN(2)/2))/(LN(2)/2)*V64*Y64*VLOOKUP('Données projet'!$B$9,Paramètres!$A$1:$I$89,3,0)*0.475*44/12</f>
        <v>0.19588417902176403</v>
      </c>
      <c r="AC64" s="22">
        <f t="shared" si="3"/>
        <v>36.052437707071618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7.2</v>
      </c>
      <c r="AI64" s="13">
        <f>IF('Données projet'!$A$62&gt;35,AI63+AH64-AQ63,IF(A64&lt;'Données projet'!$A$62,$AF$205^A64,IF(A64='Données projet'!$A$62,'Données projet'!$B$62,AI63+AH64-AQ63)))</f>
        <v>200.19999999999996</v>
      </c>
      <c r="AJ64" s="13">
        <f>AI64*VLOOKUP('Données projet'!$B$10,Paramètres!$A$1:$I$89,3,0)*VLOOKUP('Données projet'!$B$10,Paramètres!$A$1:$I$89,5,0)</f>
        <v>181.14095999999995</v>
      </c>
      <c r="AK64" s="13">
        <f t="shared" si="35"/>
        <v>45.575935320610945</v>
      </c>
      <c r="AL64" s="20">
        <f t="shared" si="4"/>
        <v>394.86525935006392</v>
      </c>
      <c r="AM64" s="59">
        <f t="shared" si="5"/>
        <v>656.67744079519321</v>
      </c>
      <c r="AN64" s="59">
        <f ca="1">AVERAGE(OFFSET($AM$3,0,0,'Données projet'!$E$10+1,1))-AVERAGE(OFFSET($H$3,0,0,'Données projet'!$E$10+1,1))</f>
        <v>406.64650428071837</v>
      </c>
      <c r="AO64" s="59">
        <f t="shared" si="36"/>
        <v>250.47702091764884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26.348474921181356</v>
      </c>
      <c r="AV64" s="21">
        <f>EXP(-LN(2)/25)*AV63+(1-EXP(-LN(2)/25))/(LN(2)/25)*Calculateur!AQ64*Calculateur!AS64*VLOOKUP('Données projet'!$B$10,Paramètres!$A$1:$I$89,3,0)*0.475*44/12</f>
        <v>1.9030102539294456</v>
      </c>
      <c r="AW64" s="21">
        <f>EXP(-LN(2)/2)*AW63+(1-EXP(-LN(2)/2))/(LN(2)/2)*AQ64*AT64*VLOOKUP('Données projet'!$B$10,Paramètres!$A$1:$I$89,3,0)*0.475*44/12</f>
        <v>0.92478803575994084</v>
      </c>
      <c r="AX64" s="21">
        <f t="shared" si="6"/>
        <v>29.176273210870743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7.2</v>
      </c>
      <c r="BD64" s="12">
        <f>IF('Données projet'!$A$88&gt;35,BD63+BC64-BL63,IF(A64&lt;'Données projet'!$A$88,$BA$205^A64,IF(A64='Données projet'!$A$88,'Données projet'!$B$88,BD63+BC64-BL63)))</f>
        <v>273.19999999999993</v>
      </c>
      <c r="BE64" s="13">
        <f>BD64*VLOOKUP('Données projet'!$B$11,Paramètres!$A$1:$I$89,3,0)*VLOOKUP('Données projet'!$B$11,Paramètres!$A$1:$I$89,5,0)</f>
        <v>259.97711999999996</v>
      </c>
      <c r="BF64" s="13">
        <f t="shared" si="37"/>
        <v>62.717500839785117</v>
      </c>
      <c r="BG64" s="20">
        <f t="shared" si="7"/>
        <v>562.02646462929238</v>
      </c>
      <c r="BH64" s="59">
        <f t="shared" si="8"/>
        <v>823.83864607442172</v>
      </c>
      <c r="BI64" s="59">
        <f ca="1">AVERAGE(OFFSET($BH$3,0,0,'Données projet'!$E$11+1,1))-AVERAGE(OFFSET($H$3,0,0,'Données projet'!$E$11+1,1))</f>
        <v>387.78453964980849</v>
      </c>
      <c r="BJ64" s="59">
        <f t="shared" si="38"/>
        <v>395.13533152274488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35.772844700539565</v>
      </c>
      <c r="BQ64" s="21">
        <f>EXP(-LN(2)/25)*BQ63+(1-EXP(-LN(2)/25))/(LN(2)/25)*Calculateur!BL64*Calculateur!BN64*VLOOKUP('Données projet'!$B$11,Paramètres!$A$1:$I$89,3,0)*0.475*44/12</f>
        <v>2.5406946555466243</v>
      </c>
      <c r="BR64" s="21">
        <f>EXP(-LN(2)/2)*BR63+(1-EXP(-LN(2)/2))/(LN(2)/2)*BL64*BO64*VLOOKUP('Données projet'!$B$11,Paramètres!$A$1:$I$89,3,0)*0.475*44/12</f>
        <v>1.0658412765163228</v>
      </c>
      <c r="BS64" s="22">
        <f t="shared" si="9"/>
        <v>39.379380632602512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">
      <c r="A65" s="10">
        <f t="shared" si="31"/>
        <v>62</v>
      </c>
      <c r="B65" s="73">
        <f>'Scénario référence'!$B$16*5+'Scénario référence'!$B$17*0+'Scénario référence'!$B$18*5</f>
        <v>5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">
        <f t="shared" si="32"/>
        <v>0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18.333333333333332</v>
      </c>
      <c r="H65" s="67">
        <f t="shared" si="1"/>
        <v>183.33333333333334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>
        <f>VLOOKUP(A65,'Données projet'!$A$35:$I$55,2,0)</f>
        <v>302</v>
      </c>
      <c r="L65" s="12">
        <f>VLOOKUP(A65,'Données projet'!$A$35:$I$55,9,0)</f>
        <v>4.875</v>
      </c>
      <c r="M65" s="12">
        <f t="array" ref="M65">INDEX(L:L,MIN(IF(ISNUMBER(L65:L261),ROW(L65:L261),"")))</f>
        <v>4.875</v>
      </c>
      <c r="N65" s="13">
        <f>IF('Données projet'!$A$36&gt;35,N64+M65-V64,IF(A65&lt;'Données projet'!$A$36,$K$205^A65,IF(A65='Données projet'!$A$36,'Données projet'!$B$36,N64+M65-V64)))</f>
        <v>302</v>
      </c>
      <c r="O65" s="13">
        <f>N65*VLOOKUP('Données projet'!$B$9,Paramètres!$A$1:$I$89,3,0)*VLOOKUP('Données projet'!$B$9,Paramètres!$A$1:$I$89,5,0)</f>
        <v>180.59600000000003</v>
      </c>
      <c r="P65" s="13">
        <f t="shared" si="33"/>
        <v>45.45475966463092</v>
      </c>
      <c r="Q65" s="20">
        <f t="shared" si="53"/>
        <v>393.70507308256555</v>
      </c>
      <c r="R65" s="59">
        <f t="shared" si="0"/>
        <v>656.06407604221681</v>
      </c>
      <c r="S65" s="59">
        <f ca="1">AVERAGE(OFFSET($R$3,0,0,'Données projet'!$E$9+1,1))-AVERAGE(OFFSET($H$3,0,0,'Données projet'!$E$9+1,1))</f>
        <v>219.4022220248072</v>
      </c>
      <c r="T65" s="59">
        <f t="shared" si="34"/>
        <v>199.30065726913725</v>
      </c>
      <c r="U65" s="15">
        <f>IF(ISNA(VLOOKUP(A65,'Données projet'!$A$35:$I$55,3,0)),0,VLOOKUP(A65,'Données projet'!$A$35:$I$55,3,0))</f>
        <v>9</v>
      </c>
      <c r="V65" s="15">
        <f>IF(ISNA(VLOOKUP(A65,'Données projet'!$A$35:$I$55,4,0)),0,VLOOKUP(A65,'Données projet'!$A$35:$I$55,4,0))</f>
        <v>7</v>
      </c>
      <c r="W65" s="16">
        <f>IF(ISNA(VLOOKUP(A65,'Données projet'!$A$35:$I$55,5,0)),0%,VLOOKUP(A65,'Données projet'!$A$35:$I$55,5,0)*VLOOKUP('Données projet'!$B$9,Paramètres!$A$1:$I$89,7,0))</f>
        <v>0.315</v>
      </c>
      <c r="X65" s="16">
        <f>IF(ISNA(VLOOKUP(A65,'Données projet'!$A$35:$I$55,6,0)),0%,VLOOKUP(A65,'Données projet'!$A$35:$I$55,6,0)*VLOOKUP('Données projet'!$B$9,Paramètres!$A$1:$I$89,7,0))</f>
        <v>5.3999999999999999E-2</v>
      </c>
      <c r="Y65" s="16">
        <f>IF(ISNA(VLOOKUP(A65,'Données projet'!$A$35:$I$55,7,0)),0%,VLOOKUP(A65,'Données projet'!$A$35:$I$55,7,0))</f>
        <v>0.18</v>
      </c>
      <c r="Z65" s="21">
        <f>EXP(-LN(2)/35)*Z64+(1-EXP(-LN(2)/35))/(LN(2)/35)*V65*W65*VLOOKUP('Données projet'!$B$9,Paramètres!$A$1:$I$89,3,0)*0.475*44/12</f>
        <v>30.736459161665593</v>
      </c>
      <c r="AA65" s="21">
        <f>EXP(-LN(2)/25)*AA64+(1-EXP(-LN(2)/25))/(LN(2)/25)*Calculateur!V65*Calculateur!X65*VLOOKUP('Données projet'!$B$9,Paramètres!$A$1:$I$89,3,0)*0.475*44/12</f>
        <v>6.4161916857704853</v>
      </c>
      <c r="AB65" s="21">
        <f>EXP(-LN(2)/2)*AB64+(1-EXP(-LN(2)/2))/(LN(2)/2)*V65*Y65*VLOOKUP('Données projet'!$B$9,Paramètres!$A$1:$I$89,3,0)*0.475*44/12</f>
        <v>0.9916254228536906</v>
      </c>
      <c r="AC65" s="22">
        <f t="shared" si="3"/>
        <v>38.144276270289765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7.2</v>
      </c>
      <c r="AI65" s="13">
        <f>IF('Données projet'!$A$62&gt;35,AI64+AH65-AQ64,IF(A65&lt;'Données projet'!$A$62,$AF$205^A65,IF(A65='Données projet'!$A$62,'Données projet'!$B$62,AI64+AH65-AQ64)))</f>
        <v>207.39999999999995</v>
      </c>
      <c r="AJ65" s="13">
        <f>AI65*VLOOKUP('Données projet'!$B$10,Paramètres!$A$1:$I$89,3,0)*VLOOKUP('Données projet'!$B$10,Paramètres!$A$1:$I$89,5,0)</f>
        <v>187.65551999999994</v>
      </c>
      <c r="AK65" s="13">
        <f t="shared" si="35"/>
        <v>47.021247649900147</v>
      </c>
      <c r="AL65" s="20">
        <f t="shared" si="4"/>
        <v>408.72870365690932</v>
      </c>
      <c r="AM65" s="59">
        <f t="shared" si="5"/>
        <v>671.08770661656058</v>
      </c>
      <c r="AN65" s="59">
        <f ca="1">AVERAGE(OFFSET($AM$3,0,0,'Données projet'!$E$10+1,1))-AVERAGE(OFFSET($H$3,0,0,'Données projet'!$E$10+1,1))</f>
        <v>406.64650428071837</v>
      </c>
      <c r="AO65" s="59">
        <f t="shared" si="36"/>
        <v>250.47702091764884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25.831797398959814</v>
      </c>
      <c r="AV65" s="21">
        <f>EXP(-LN(2)/25)*AV64+(1-EXP(-LN(2)/25))/(LN(2)/25)*Calculateur!AQ65*Calculateur!AS65*VLOOKUP('Données projet'!$B$10,Paramètres!$A$1:$I$89,3,0)*0.475*44/12</f>
        <v>1.850972338460785</v>
      </c>
      <c r="AW65" s="21">
        <f>EXP(-LN(2)/2)*AW64+(1-EXP(-LN(2)/2))/(LN(2)/2)*AQ65*AT65*VLOOKUP('Données projet'!$B$10,Paramètres!$A$1:$I$89,3,0)*0.475*44/12</f>
        <v>0.65392389124604167</v>
      </c>
      <c r="AX65" s="21">
        <f t="shared" si="6"/>
        <v>28.336693628666641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7.2</v>
      </c>
      <c r="BD65" s="12">
        <f>IF('Données projet'!$A$88&gt;35,BD64+BC65-BL64,IF(A65&lt;'Données projet'!$A$88,$BA$205^A65,IF(A65='Données projet'!$A$88,'Données projet'!$B$88,BD64+BC65-BL64)))</f>
        <v>280.39999999999992</v>
      </c>
      <c r="BE65" s="13">
        <f>BD65*VLOOKUP('Données projet'!$B$11,Paramètres!$A$1:$I$89,3,0)*VLOOKUP('Données projet'!$B$11,Paramètres!$A$1:$I$89,5,0)</f>
        <v>266.82863999999995</v>
      </c>
      <c r="BF65" s="13">
        <f t="shared" si="37"/>
        <v>64.175764537605787</v>
      </c>
      <c r="BG65" s="20">
        <f t="shared" si="7"/>
        <v>576.49933790299667</v>
      </c>
      <c r="BH65" s="59">
        <f t="shared" si="8"/>
        <v>838.85834086264799</v>
      </c>
      <c r="BI65" s="59">
        <f ca="1">AVERAGE(OFFSET($BH$3,0,0,'Données projet'!$E$11+1,1))-AVERAGE(OFFSET($H$3,0,0,'Données projet'!$E$11+1,1))</f>
        <v>387.78453964980849</v>
      </c>
      <c r="BJ65" s="59">
        <f t="shared" si="38"/>
        <v>395.13533152274488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35.071361035242774</v>
      </c>
      <c r="BQ65" s="21">
        <f>EXP(-LN(2)/25)*BQ64+(1-EXP(-LN(2)/25))/(LN(2)/25)*Calculateur!BL65*Calculateur!BN65*VLOOKUP('Données projet'!$B$11,Paramètres!$A$1:$I$89,3,0)*0.475*44/12</f>
        <v>2.4712192265813768</v>
      </c>
      <c r="BR65" s="21">
        <f>EXP(-LN(2)/2)*BR64+(1-EXP(-LN(2)/2))/(LN(2)/2)*BL65*BO65*VLOOKUP('Données projet'!$B$11,Paramètres!$A$1:$I$89,3,0)*0.475*44/12</f>
        <v>0.75366359429321794</v>
      </c>
      <c r="BS65" s="22">
        <f t="shared" si="9"/>
        <v>38.296243856117364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">
      <c r="A66" s="10">
        <f t="shared" si="31"/>
        <v>63</v>
      </c>
      <c r="B66" s="73">
        <f>'Scénario référence'!$B$16*5+'Scénario référence'!$B$17*0+'Scénario référence'!$B$18*5</f>
        <v>5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">
        <f t="shared" si="32"/>
        <v>0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18.333333333333332</v>
      </c>
      <c r="H66" s="67">
        <f t="shared" si="1"/>
        <v>183.33333333333334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295</v>
      </c>
      <c r="O66" s="13">
        <f>N66*VLOOKUP('Données projet'!$B$9,Paramètres!$A$1:$I$89,3,0)*VLOOKUP('Données projet'!$B$9,Paramètres!$A$1:$I$89,5,0)</f>
        <v>176.41000000000003</v>
      </c>
      <c r="P66" s="13">
        <f t="shared" si="33"/>
        <v>44.522543239204609</v>
      </c>
      <c r="Q66" s="20">
        <f t="shared" si="53"/>
        <v>384.79084614161474</v>
      </c>
      <c r="R66" s="59">
        <f t="shared" si="0"/>
        <v>647.68718448502091</v>
      </c>
      <c r="S66" s="59">
        <f ca="1">AVERAGE(OFFSET($R$3,0,0,'Données projet'!$E$9+1,1))-AVERAGE(OFFSET($H$3,0,0,'Données projet'!$E$9+1,1))</f>
        <v>219.4022220248072</v>
      </c>
      <c r="T66" s="59">
        <f t="shared" si="34"/>
        <v>199.30065726913725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30.133735944894269</v>
      </c>
      <c r="AA66" s="21">
        <f>EXP(-LN(2)/25)*AA65+(1-EXP(-LN(2)/25))/(LN(2)/25)*Calculateur!V66*Calculateur!X66*VLOOKUP('Données projet'!$B$9,Paramètres!$A$1:$I$89,3,0)*0.475*44/12</f>
        <v>6.2407405867102348</v>
      </c>
      <c r="AB66" s="21">
        <f>EXP(-LN(2)/2)*AB65+(1-EXP(-LN(2)/2))/(LN(2)/2)*V66*Y66*VLOOKUP('Données projet'!$B$9,Paramètres!$A$1:$I$89,3,0)*0.475*44/12</f>
        <v>0.70118506089682231</v>
      </c>
      <c r="AC66" s="22">
        <f t="shared" si="3"/>
        <v>37.075661592501319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7.2</v>
      </c>
      <c r="AI66" s="13">
        <f>IF('Données projet'!$A$62&gt;35,AI65+AH66-AQ65,IF(A66&lt;'Données projet'!$A$62,$AF$205^A66,IF(A66='Données projet'!$A$62,'Données projet'!$B$62,AI65+AH66-AQ65)))</f>
        <v>214.59999999999994</v>
      </c>
      <c r="AJ66" s="13">
        <f>AI66*VLOOKUP('Données projet'!$B$10,Paramètres!$A$1:$I$89,3,0)*VLOOKUP('Données projet'!$B$10,Paramètres!$A$1:$I$89,5,0)</f>
        <v>194.17007999999996</v>
      </c>
      <c r="AK66" s="13">
        <f t="shared" si="35"/>
        <v>48.460730182351035</v>
      </c>
      <c r="AL66" s="20">
        <f t="shared" si="4"/>
        <v>422.5819944009279</v>
      </c>
      <c r="AM66" s="59">
        <f t="shared" si="5"/>
        <v>685.47833274433401</v>
      </c>
      <c r="AN66" s="59">
        <f ca="1">AVERAGE(OFFSET($AM$3,0,0,'Données projet'!$E$10+1,1))-AVERAGE(OFFSET($H$3,0,0,'Données projet'!$E$10+1,1))</f>
        <v>406.64650428071837</v>
      </c>
      <c r="AO66" s="59">
        <f t="shared" si="36"/>
        <v>250.47702091764884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25.325251607806866</v>
      </c>
      <c r="AV66" s="21">
        <f>EXP(-LN(2)/25)*AV65+(1-EXP(-LN(2)/25))/(LN(2)/25)*Calculateur!AQ66*Calculateur!AS66*VLOOKUP('Données projet'!$B$10,Paramètres!$A$1:$I$89,3,0)*0.475*44/12</f>
        <v>1.80035740252717</v>
      </c>
      <c r="AW66" s="21">
        <f>EXP(-LN(2)/2)*AW65+(1-EXP(-LN(2)/2))/(LN(2)/2)*AQ66*AT66*VLOOKUP('Données projet'!$B$10,Paramètres!$A$1:$I$89,3,0)*0.475*44/12</f>
        <v>0.46239401787997053</v>
      </c>
      <c r="AX66" s="21">
        <f t="shared" si="6"/>
        <v>27.588003028214004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7.2</v>
      </c>
      <c r="BD66" s="12">
        <f>IF('Données projet'!$A$88&gt;35,BD65+BC66-BL65,IF(A66&lt;'Données projet'!$A$88,$BA$205^A66,IF(A66='Données projet'!$A$88,'Données projet'!$B$88,BD65+BC66-BL65)))</f>
        <v>287.59999999999991</v>
      </c>
      <c r="BE66" s="13">
        <f>BD66*VLOOKUP('Données projet'!$B$11,Paramètres!$A$1:$I$89,3,0)*VLOOKUP('Données projet'!$B$11,Paramètres!$A$1:$I$89,5,0)</f>
        <v>273.68015999999994</v>
      </c>
      <c r="BF66" s="13">
        <f t="shared" si="37"/>
        <v>65.629675672026437</v>
      </c>
      <c r="BG66" s="20">
        <f t="shared" si="7"/>
        <v>590.96463046211261</v>
      </c>
      <c r="BH66" s="59">
        <f t="shared" si="8"/>
        <v>853.86096880551872</v>
      </c>
      <c r="BI66" s="59">
        <f ca="1">AVERAGE(OFFSET($BH$3,0,0,'Données projet'!$E$11+1,1))-AVERAGE(OFFSET($H$3,0,0,'Données projet'!$E$11+1,1))</f>
        <v>387.78453964980849</v>
      </c>
      <c r="BJ66" s="59">
        <f t="shared" si="38"/>
        <v>395.13533152274488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34.383633036759669</v>
      </c>
      <c r="BQ66" s="21">
        <f>EXP(-LN(2)/25)*BQ65+(1-EXP(-LN(2)/25))/(LN(2)/25)*Calculateur!BL66*Calculateur!BN66*VLOOKUP('Données projet'!$B$11,Paramètres!$A$1:$I$89,3,0)*0.475*44/12</f>
        <v>2.4036436068747382</v>
      </c>
      <c r="BR66" s="21">
        <f>EXP(-LN(2)/2)*BR65+(1-EXP(-LN(2)/2))/(LN(2)/2)*BL66*BO66*VLOOKUP('Données projet'!$B$11,Paramètres!$A$1:$I$89,3,0)*0.475*44/12</f>
        <v>0.53292063825816138</v>
      </c>
      <c r="BS66" s="22">
        <f t="shared" si="9"/>
        <v>37.320197281892568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">
      <c r="A67" s="10">
        <f t="shared" si="31"/>
        <v>64</v>
      </c>
      <c r="B67" s="73">
        <f>'Scénario référence'!$B$16*5+'Scénario référence'!$B$17*0+'Scénario référence'!$B$18*5</f>
        <v>5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">
        <f t="shared" si="32"/>
        <v>0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18.333333333333332</v>
      </c>
      <c r="H67" s="67">
        <f t="shared" si="1"/>
        <v>183.33333333333334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295</v>
      </c>
      <c r="O67" s="13">
        <f>N67*VLOOKUP('Données projet'!$B$9,Paramètres!$A$1:$I$89,3,0)*VLOOKUP('Données projet'!$B$9,Paramètres!$A$1:$I$89,5,0)</f>
        <v>176.41000000000003</v>
      </c>
      <c r="P67" s="13">
        <f t="shared" si="33"/>
        <v>44.522543239204609</v>
      </c>
      <c r="Q67" s="20">
        <f t="shared" ref="Q67:Q98" si="54">(O67+P67)*0.475*44/12</f>
        <v>384.79084614161474</v>
      </c>
      <c r="R67" s="59">
        <f t="shared" ref="R67:R130" si="55">Q67+(I67+J67)*44/12</f>
        <v>648.21519830116949</v>
      </c>
      <c r="S67" s="59">
        <f ca="1">AVERAGE(OFFSET($R$3,0,0,'Données projet'!$E$9+1,1))-AVERAGE(OFFSET($H$3,0,0,'Données projet'!$E$9+1,1))</f>
        <v>219.4022220248072</v>
      </c>
      <c r="T67" s="59">
        <f t="shared" si="34"/>
        <v>199.30065726913725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29.542831762778967</v>
      </c>
      <c r="AA67" s="21">
        <f>EXP(-LN(2)/25)*AA66+(1-EXP(-LN(2)/25))/(LN(2)/25)*Calculateur!V67*Calculateur!X67*VLOOKUP('Données projet'!$B$9,Paramètres!$A$1:$I$89,3,0)*0.475*44/12</f>
        <v>6.0700872071803591</v>
      </c>
      <c r="AB67" s="21">
        <f>EXP(-LN(2)/2)*AB66+(1-EXP(-LN(2)/2))/(LN(2)/2)*V67*Y67*VLOOKUP('Données projet'!$B$9,Paramètres!$A$1:$I$89,3,0)*0.475*44/12</f>
        <v>0.49581271142684535</v>
      </c>
      <c r="AC67" s="22">
        <f t="shared" si="3"/>
        <v>36.108731681386168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7.2</v>
      </c>
      <c r="AI67" s="13">
        <f>IF('Données projet'!$A$62&gt;35,AI66+AH67-AQ66,IF(A67&lt;'Données projet'!$A$62,$AF$205^A67,IF(A67='Données projet'!$A$62,'Données projet'!$B$62,AI66+AH67-AQ66)))</f>
        <v>221.79999999999993</v>
      </c>
      <c r="AJ67" s="13">
        <f>AI67*VLOOKUP('Données projet'!$B$10,Paramètres!$A$1:$I$89,3,0)*VLOOKUP('Données projet'!$B$10,Paramètres!$A$1:$I$89,5,0)</f>
        <v>200.68463999999992</v>
      </c>
      <c r="AK67" s="13">
        <f t="shared" si="35"/>
        <v>49.894600936700193</v>
      </c>
      <c r="AL67" s="20">
        <f t="shared" si="4"/>
        <v>436.42551129808606</v>
      </c>
      <c r="AM67" s="59">
        <f t="shared" si="5"/>
        <v>699.84986345764082</v>
      </c>
      <c r="AN67" s="59">
        <f ca="1">AVERAGE(OFFSET($AM$3,0,0,'Données projet'!$E$10+1,1))-AVERAGE(OFFSET($H$3,0,0,'Données projet'!$E$10+1,1))</f>
        <v>406.64650428071837</v>
      </c>
      <c r="AO67" s="59">
        <f t="shared" si="36"/>
        <v>250.47702091764884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24.828638870656</v>
      </c>
      <c r="AV67" s="21">
        <f>EXP(-LN(2)/25)*AV66+(1-EXP(-LN(2)/25))/(LN(2)/25)*Calculateur!AQ67*Calculateur!AS67*VLOOKUP('Données projet'!$B$10,Paramètres!$A$1:$I$89,3,0)*0.475*44/12</f>
        <v>1.7511265346783835</v>
      </c>
      <c r="AW67" s="21">
        <f>EXP(-LN(2)/2)*AW66+(1-EXP(-LN(2)/2))/(LN(2)/2)*AQ67*AT67*VLOOKUP('Données projet'!$B$10,Paramètres!$A$1:$I$89,3,0)*0.475*44/12</f>
        <v>0.32696194562302089</v>
      </c>
      <c r="AX67" s="21">
        <f t="shared" si="6"/>
        <v>26.906727350957407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7.2</v>
      </c>
      <c r="BD67" s="12">
        <f>IF('Données projet'!$A$88&gt;35,BD66+BC67-BL66,IF(A67&lt;'Données projet'!$A$88,$BA$205^A67,IF(A67='Données projet'!$A$88,'Données projet'!$B$88,BD66+BC67-BL66)))</f>
        <v>294.7999999999999</v>
      </c>
      <c r="BE67" s="13">
        <f>BD67*VLOOKUP('Données projet'!$B$11,Paramètres!$A$1:$I$89,3,0)*VLOOKUP('Données projet'!$B$11,Paramètres!$A$1:$I$89,5,0)</f>
        <v>280.53167999999994</v>
      </c>
      <c r="BF67" s="13">
        <f t="shared" si="37"/>
        <v>67.079355740650215</v>
      </c>
      <c r="BG67" s="20">
        <f t="shared" si="7"/>
        <v>605.42255391496565</v>
      </c>
      <c r="BH67" s="59">
        <f t="shared" si="8"/>
        <v>868.84690607452035</v>
      </c>
      <c r="BI67" s="59">
        <f ca="1">AVERAGE(OFFSET($BH$3,0,0,'Données projet'!$E$11+1,1))-AVERAGE(OFFSET($H$3,0,0,'Données projet'!$E$11+1,1))</f>
        <v>387.78453964980849</v>
      </c>
      <c r="BJ67" s="59">
        <f t="shared" si="38"/>
        <v>395.13533152274488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33.709390964854158</v>
      </c>
      <c r="BQ67" s="21">
        <f>EXP(-LN(2)/25)*BQ66+(1-EXP(-LN(2)/25))/(LN(2)/25)*Calculateur!BL67*Calculateur!BN67*VLOOKUP('Données projet'!$B$11,Paramètres!$A$1:$I$89,3,0)*0.475*44/12</f>
        <v>2.337915846042625</v>
      </c>
      <c r="BR67" s="21">
        <f>EXP(-LN(2)/2)*BR66+(1-EXP(-LN(2)/2))/(LN(2)/2)*BL67*BO67*VLOOKUP('Données projet'!$B$11,Paramètres!$A$1:$I$89,3,0)*0.475*44/12</f>
        <v>0.37683179714660897</v>
      </c>
      <c r="BS67" s="22">
        <f t="shared" si="9"/>
        <v>36.424138608043393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">
      <c r="A68" s="10">
        <f t="shared" si="31"/>
        <v>65</v>
      </c>
      <c r="B68" s="73">
        <f>'Scénario référence'!$B$16*5+'Scénario référence'!$B$17*0+'Scénario référence'!$B$18*5</f>
        <v>5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">
        <f t="shared" si="32"/>
        <v>0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18.333333333333332</v>
      </c>
      <c r="H68" s="67">
        <f t="shared" ref="H68:H131" si="56">(B68+E68+F68)*44/12+(C68+D68)*0.475*44/12</f>
        <v>183.33333333333334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295</v>
      </c>
      <c r="O68" s="13">
        <f>N68*VLOOKUP('Données projet'!$B$9,Paramètres!$A$1:$I$89,3,0)*VLOOKUP('Données projet'!$B$9,Paramètres!$A$1:$I$89,5,0)</f>
        <v>176.41000000000003</v>
      </c>
      <c r="P68" s="13">
        <f t="shared" si="33"/>
        <v>44.522543239204609</v>
      </c>
      <c r="Q68" s="20">
        <f t="shared" si="54"/>
        <v>384.79084614161474</v>
      </c>
      <c r="R68" s="59">
        <f t="shared" si="55"/>
        <v>648.73405225806994</v>
      </c>
      <c r="S68" s="59">
        <f ca="1">AVERAGE(OFFSET($R$3,0,0,'Données projet'!$E$9+1,1))-AVERAGE(OFFSET($H$3,0,0,'Données projet'!$E$9+1,1))</f>
        <v>219.4022220248072</v>
      </c>
      <c r="T68" s="59">
        <f t="shared" si="34"/>
        <v>199.30065726913725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28.963514851258985</v>
      </c>
      <c r="AA68" s="21">
        <f>EXP(-LN(2)/25)*AA67+(1-EXP(-LN(2)/25))/(LN(2)/25)*Calculateur!V68*Calculateur!X68*VLOOKUP('Données projet'!$B$9,Paramètres!$A$1:$I$89,3,0)*0.475*44/12</f>
        <v>5.9041003532879994</v>
      </c>
      <c r="AB68" s="21">
        <f>EXP(-LN(2)/2)*AB67+(1-EXP(-LN(2)/2))/(LN(2)/2)*V68*Y68*VLOOKUP('Données projet'!$B$9,Paramètres!$A$1:$I$89,3,0)*0.475*44/12</f>
        <v>0.35059253044841121</v>
      </c>
      <c r="AC68" s="22">
        <f t="shared" ref="AC68:AC131" si="57">SUM(Z68:AB68)</f>
        <v>35.218207734995396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>
        <f>VLOOKUP(A68,'Données projet'!$A$61:$I$81,2,0)</f>
        <v>229</v>
      </c>
      <c r="AG68" s="12">
        <f>VLOOKUP(A68,'Données projet'!$A$61:$I$81,9,0)</f>
        <v>7.2</v>
      </c>
      <c r="AH68" s="12">
        <f t="array" ref="AH68">INDEX(AG:AG,MIN(IF(ISNUMBER(AG68:AG264),ROW(AG68:AG264),"")))</f>
        <v>7.2</v>
      </c>
      <c r="AI68" s="13">
        <f>IF('Données projet'!$A$62&gt;35,AI67+AH68-AQ67,IF(A68&lt;'Données projet'!$A$62,$AF$205^A68,IF(A68='Données projet'!$A$62,'Données projet'!$B$62,AI67+AH68-AQ67)))</f>
        <v>228.99999999999991</v>
      </c>
      <c r="AJ68" s="13">
        <f>AI68*VLOOKUP('Données projet'!$B$10,Paramètres!$A$1:$I$89,3,0)*VLOOKUP('Données projet'!$B$10,Paramètres!$A$1:$I$89,5,0)</f>
        <v>207.19919999999991</v>
      </c>
      <c r="AK68" s="13">
        <f t="shared" si="35"/>
        <v>51.3230629736655</v>
      </c>
      <c r="AL68" s="20">
        <f t="shared" ref="AL68:AL131" si="58">(AJ68+AK68)*0.475*44/12</f>
        <v>450.25960801246725</v>
      </c>
      <c r="AM68" s="59">
        <f t="shared" ref="AM68:AM131" si="59">AL68+(AD68+AE68)*44/12</f>
        <v>714.20281412892245</v>
      </c>
      <c r="AN68" s="59">
        <f ca="1">AVERAGE(OFFSET($AM$3,0,0,'Données projet'!$E$10+1,1))-AVERAGE(OFFSET($H$3,0,0,'Données projet'!$E$10+1,1))</f>
        <v>406.64650428071837</v>
      </c>
      <c r="AO68" s="59">
        <f t="shared" si="36"/>
        <v>250.47702091764884</v>
      </c>
      <c r="AP68" s="15">
        <f>IF(ISNA(VLOOKUP(A68,'Données projet'!$A$61:$I$81,3,0)),0,VLOOKUP(A68,'Données projet'!$A$61:$I$81,3,0))</f>
        <v>9</v>
      </c>
      <c r="AQ68" s="15">
        <f>IF(ISNA(VLOOKUP(A68,'Données projet'!$A$61:$I$81,4,0)),0,VLOOKUP(A68,'Données projet'!$A$61:$I$81,4,0))</f>
        <v>21</v>
      </c>
      <c r="AR68" s="16">
        <f>IF(ISNA(VLOOKUP(A68,'Données projet'!$A$61:$I$81,5,0)),0%,VLOOKUP(A68,'Données projet'!$A$61:$I$81,5,0)*VLOOKUP('Données projet'!$B$10,Paramètres!$A$1:$I$89,7,0))</f>
        <v>0.34400000000000003</v>
      </c>
      <c r="AS68" s="16">
        <f>IF(ISNA(VLOOKUP(A68,'Données projet'!$A$61:$I$81,6,0)),0%,VLOOKUP(A68,'Données projet'!$A$61:$I$81,6,0)*VLOOKUP('Données projet'!$B$10,Paramètres!$A$1:$I$89,7,0))</f>
        <v>1.72E-2</v>
      </c>
      <c r="AT68" s="16">
        <f>IF(ISNA(VLOOKUP(A68,'Données projet'!$A$61:$I$81,7,0)),0%,VLOOKUP(A68,'Données projet'!$A$61:$I$81,7,0))</f>
        <v>0.06</v>
      </c>
      <c r="AU68" s="21">
        <f>EXP(-LN(2)/35)*AU67+(1-EXP(-LN(2)/35))/(LN(2)/35)*AQ68*AR68*VLOOKUP('Données projet'!$B$10,Paramètres!$A$1:$I$89,3,0)*0.475*44/12</f>
        <v>31.567423032452613</v>
      </c>
      <c r="AV68" s="21">
        <f>EXP(-LN(2)/25)*AV67+(1-EXP(-LN(2)/25))/(LN(2)/25)*Calculateur!AQ68*Calculateur!AS68*VLOOKUP('Données projet'!$B$10,Paramètres!$A$1:$I$89,3,0)*0.475*44/12</f>
        <v>2.0631023102435191</v>
      </c>
      <c r="AW68" s="21">
        <f>EXP(-LN(2)/2)*AW67+(1-EXP(-LN(2)/2))/(LN(2)/2)*AQ68*AT68*VLOOKUP('Données projet'!$B$10,Paramètres!$A$1:$I$89,3,0)*0.475*44/12</f>
        <v>1.3068629808820287</v>
      </c>
      <c r="AX68" s="21">
        <f t="shared" ref="AX68:AX131" si="60">SUM(AU68:AW68)</f>
        <v>34.937388323578162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>
        <f>VLOOKUP(A68,'Données projet'!$A$87:$I$107,2,0)</f>
        <v>302</v>
      </c>
      <c r="BB68" s="12">
        <f>VLOOKUP(A68,'Données projet'!$A$87:$I$107,9,0)</f>
        <v>7.2</v>
      </c>
      <c r="BC68" s="12">
        <f t="array" ref="BC68">INDEX(BB:BB,MIN(IF(ISNUMBER(BB68:BB264),ROW(BB68:BB264),"")))</f>
        <v>7.2</v>
      </c>
      <c r="BD68" s="12">
        <f>IF('Données projet'!$A$88&gt;35,BD67+BC68-BL67,IF(A68&lt;'Données projet'!$A$88,$BA$205^A68,IF(A68='Données projet'!$A$88,'Données projet'!$B$88,BD67+BC68-BL67)))</f>
        <v>301.99999999999989</v>
      </c>
      <c r="BE68" s="13">
        <f>BD68*VLOOKUP('Données projet'!$B$11,Paramètres!$A$1:$I$89,3,0)*VLOOKUP('Données projet'!$B$11,Paramètres!$A$1:$I$89,5,0)</f>
        <v>287.38319999999987</v>
      </c>
      <c r="BF68" s="13">
        <f t="shared" si="37"/>
        <v>68.524919967962703</v>
      </c>
      <c r="BG68" s="20">
        <f t="shared" ref="BG68:BG131" si="61">(BE68+BF68)*0.475*44/12</f>
        <v>619.87330894420143</v>
      </c>
      <c r="BH68" s="59">
        <f t="shared" ref="BH68:BH131" si="62">BG68+(AY68+AZ68)*44/12</f>
        <v>883.81651506065668</v>
      </c>
      <c r="BI68" s="59">
        <f ca="1">AVERAGE(OFFSET($BH$3,0,0,'Données projet'!$E$11+1,1))-AVERAGE(OFFSET($H$3,0,0,'Données projet'!$E$11+1,1))</f>
        <v>387.78453964980849</v>
      </c>
      <c r="BJ68" s="59">
        <f t="shared" si="38"/>
        <v>395.13533152274488</v>
      </c>
      <c r="BK68" s="15">
        <f>IF(ISNA(VLOOKUP(A68,'Données projet'!$A$87:$I$107,3,0)),0,VLOOKUP(A68,'Données projet'!$A$87:$I$107,3,0))</f>
        <v>11</v>
      </c>
      <c r="BL68" s="15">
        <f>IF(ISNA(VLOOKUP(A68,'Données projet'!$A$87:$I$107,4,0)),0,VLOOKUP(A68,'Données projet'!$A$87:$I$107,4,0))</f>
        <v>23</v>
      </c>
      <c r="BM68" s="16">
        <f>IF(ISNA(VLOOKUP(A68,'Données projet'!$A$87:$I$107,5,0)),0%,VLOOKUP(A68,'Données projet'!$A$87:$I$107,5,0)*VLOOKUP('Données projet'!$B$11,Paramètres!$A$1:$I$89,7,0))</f>
        <v>0.34400000000000003</v>
      </c>
      <c r="BN68" s="16">
        <f>IF(ISNA(VLOOKUP(A68,'Données projet'!$A$87:$I$107,6,0)),0%,VLOOKUP(A68,'Données projet'!$A$87:$I$107,6,0)*VLOOKUP('Données projet'!$B$11,Paramètres!$A$1:$I$89,7,0))</f>
        <v>1.72E-2</v>
      </c>
      <c r="BO68" s="16">
        <f>IF(ISNA(VLOOKUP(A68,'Données projet'!$A$87:$I$107,7,0)),0%,VLOOKUP(A68,'Données projet'!$A$87:$I$107,7,0))</f>
        <v>0.06</v>
      </c>
      <c r="BP68" s="21">
        <f>EXP(-LN(2)/35)*BP67+(1-EXP(-LN(2)/35))/(LN(2)/35)*BL68*BM68*VLOOKUP('Données projet'!$B$11,Paramètres!$A$1:$I$89,3,0)*0.475*44/12</f>
        <v>41.371522300081708</v>
      </c>
      <c r="BQ68" s="21">
        <f>EXP(-LN(2)/25)*BQ67+(1-EXP(-LN(2)/25))/(LN(2)/25)*Calculateur!BL68*Calculateur!BN68*VLOOKUP('Données projet'!$B$11,Paramètres!$A$1:$I$89,3,0)*0.475*44/12</f>
        <v>2.6885044398282791</v>
      </c>
      <c r="BR68" s="21">
        <f>EXP(-LN(2)/2)*BR67+(1-EXP(-LN(2)/2))/(LN(2)/2)*BL68*BO68*VLOOKUP('Données projet'!$B$11,Paramètres!$A$1:$I$89,3,0)*0.475*44/12</f>
        <v>1.5055074116041931</v>
      </c>
      <c r="BS68" s="22">
        <f t="shared" ref="BS68:BS131" si="63">SUM(BP68:BR68)</f>
        <v>45.565534151514179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">
      <c r="A69" s="10">
        <f t="shared" ref="A69:A132" si="85">A68+1</f>
        <v>66</v>
      </c>
      <c r="B69" s="73">
        <f>'Scénario référence'!$B$16*5+'Scénario référence'!$B$17*0+'Scénario référence'!$B$18*5</f>
        <v>5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">
        <f t="shared" ref="D69:D132" si="86">IFERROR(EXP(-1.0587+0.8836*LN(C69)+0.284),0)</f>
        <v>0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18.333333333333332</v>
      </c>
      <c r="H69" s="67">
        <f t="shared" si="56"/>
        <v>183.33333333333334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295</v>
      </c>
      <c r="O69" s="13">
        <f>N69*VLOOKUP('Données projet'!$B$9,Paramètres!$A$1:$I$89,3,0)*VLOOKUP('Données projet'!$B$9,Paramètres!$A$1:$I$89,5,0)</f>
        <v>176.41000000000003</v>
      </c>
      <c r="P69" s="13">
        <f t="shared" ref="P69:P132" si="87">EXP(-1.0587+0.8836*LN(O69)+0.284)</f>
        <v>44.522543239204609</v>
      </c>
      <c r="Q69" s="20">
        <f t="shared" si="54"/>
        <v>384.79084614161474</v>
      </c>
      <c r="R69" s="59">
        <f t="shared" si="55"/>
        <v>649.24390525880176</v>
      </c>
      <c r="S69" s="59">
        <f ca="1">AVERAGE(OFFSET($R$3,0,0,'Données projet'!$E$9+1,1))-AVERAGE(OFFSET($H$3,0,0,'Données projet'!$E$9+1,1))</f>
        <v>219.4022220248072</v>
      </c>
      <c r="T69" s="59">
        <f t="shared" ref="T69:T132" si="88">$T$3</f>
        <v>199.30065726913725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28.395557991025484</v>
      </c>
      <c r="AA69" s="21">
        <f>EXP(-LN(2)/25)*AA68+(1-EXP(-LN(2)/25))/(LN(2)/25)*Calculateur!V69*Calculateur!X69*VLOOKUP('Données projet'!$B$9,Paramètres!$A$1:$I$89,3,0)*0.475*44/12</f>
        <v>5.7426524186441954</v>
      </c>
      <c r="AB69" s="21">
        <f>EXP(-LN(2)/2)*AB68+(1-EXP(-LN(2)/2))/(LN(2)/2)*V69*Y69*VLOOKUP('Données projet'!$B$9,Paramètres!$A$1:$I$89,3,0)*0.475*44/12</f>
        <v>0.24790635571342273</v>
      </c>
      <c r="AC69" s="22">
        <f t="shared" si="57"/>
        <v>34.386116765383107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6.8</v>
      </c>
      <c r="AI69" s="13">
        <f>IF('Données projet'!$A$62&gt;35,AI68+AH69-AQ68,IF(A69&lt;'Données projet'!$A$62,$AF$205^A69,IF(A69='Données projet'!$A$62,'Données projet'!$B$62,AI68+AH69-AQ68)))</f>
        <v>214.79999999999993</v>
      </c>
      <c r="AJ69" s="13">
        <f>AI69*VLOOKUP('Données projet'!$B$10,Paramètres!$A$1:$I$89,3,0)*VLOOKUP('Données projet'!$B$10,Paramètres!$A$1:$I$89,5,0)</f>
        <v>194.35103999999993</v>
      </c>
      <c r="AK69" s="13">
        <f t="shared" ref="AK69:AK132" si="89">EXP(-1.0587+0.8836*LN(AJ69)+0.284)</f>
        <v>48.500634729810159</v>
      </c>
      <c r="AL69" s="20">
        <f t="shared" si="58"/>
        <v>422.96666682108594</v>
      </c>
      <c r="AM69" s="59">
        <f t="shared" si="59"/>
        <v>687.41972593827302</v>
      </c>
      <c r="AN69" s="59">
        <f ca="1">AVERAGE(OFFSET($AM$3,0,0,'Données projet'!$E$10+1,1))-AVERAGE(OFFSET($H$3,0,0,'Données projet'!$E$10+1,1))</f>
        <v>406.64650428071837</v>
      </c>
      <c r="AO69" s="59">
        <f t="shared" ref="AO69:AO132" si="90">$AO$3</f>
        <v>250.47702091764884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30.948405121013071</v>
      </c>
      <c r="AV69" s="21">
        <f>EXP(-LN(2)/25)*AV68+(1-EXP(-LN(2)/25))/(LN(2)/25)*Calculateur!AQ69*Calculateur!AS69*VLOOKUP('Données projet'!$B$10,Paramètres!$A$1:$I$89,3,0)*0.475*44/12</f>
        <v>2.0066866690760747</v>
      </c>
      <c r="AW69" s="21">
        <f>EXP(-LN(2)/2)*AW68+(1-EXP(-LN(2)/2))/(LN(2)/2)*AQ69*AT69*VLOOKUP('Données projet'!$B$10,Paramètres!$A$1:$I$89,3,0)*0.475*44/12</f>
        <v>0.92409167586334795</v>
      </c>
      <c r="AX69" s="21">
        <f t="shared" si="60"/>
        <v>33.879183465952487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6.8</v>
      </c>
      <c r="BD69" s="12">
        <f>IF('Données projet'!$A$88&gt;35,BD68+BC69-BL68,IF(A69&lt;'Données projet'!$A$88,$BA$205^A69,IF(A69='Données projet'!$A$88,'Données projet'!$B$88,BD68+BC69-BL68)))</f>
        <v>285.7999999999999</v>
      </c>
      <c r="BE69" s="13">
        <f>BD69*VLOOKUP('Données projet'!$B$11,Paramètres!$A$1:$I$89,3,0)*VLOOKUP('Données projet'!$B$11,Paramètres!$A$1:$I$89,5,0)</f>
        <v>271.9672799999999</v>
      </c>
      <c r="BF69" s="13">
        <f t="shared" ref="BF69:BF132" si="91">EXP(-1.0587+0.8836*LN(BE69)+0.284)</f>
        <v>65.266599185852357</v>
      </c>
      <c r="BG69" s="20">
        <f t="shared" si="61"/>
        <v>587.34900624869272</v>
      </c>
      <c r="BH69" s="59">
        <f t="shared" si="62"/>
        <v>851.8020653658798</v>
      </c>
      <c r="BI69" s="59">
        <f ca="1">AVERAGE(OFFSET($BH$3,0,0,'Données projet'!$E$11+1,1))-AVERAGE(OFFSET($H$3,0,0,'Données projet'!$E$11+1,1))</f>
        <v>387.78453964980849</v>
      </c>
      <c r="BJ69" s="59">
        <f t="shared" ref="BJ69:BJ132" si="92">$BJ$3</f>
        <v>395.13533152274488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40.560251981914043</v>
      </c>
      <c r="BQ69" s="21">
        <f>EXP(-LN(2)/25)*BQ68+(1-EXP(-LN(2)/25))/(LN(2)/25)*Calculateur!BL69*Calculateur!BN69*VLOOKUP('Données projet'!$B$11,Paramètres!$A$1:$I$89,3,0)*0.475*44/12</f>
        <v>2.6149871445388708</v>
      </c>
      <c r="BR69" s="21">
        <f>EXP(-LN(2)/2)*BR68+(1-EXP(-LN(2)/2))/(LN(2)/2)*BL69*BO69*VLOOKUP('Données projet'!$B$11,Paramètres!$A$1:$I$89,3,0)*0.475*44/12</f>
        <v>1.0645544998719318</v>
      </c>
      <c r="BS69" s="22">
        <f t="shared" si="63"/>
        <v>44.239793626324847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">
      <c r="A70" s="10">
        <f t="shared" si="85"/>
        <v>67</v>
      </c>
      <c r="B70" s="73">
        <f>'Scénario référence'!$B$16*5+'Scénario référence'!$B$17*0+'Scénario référence'!$B$18*5</f>
        <v>5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">
        <f t="shared" si="86"/>
        <v>0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18.333333333333332</v>
      </c>
      <c r="H70" s="67">
        <f t="shared" si="56"/>
        <v>183.33333333333334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295</v>
      </c>
      <c r="O70" s="13">
        <f>N70*VLOOKUP('Données projet'!$B$9,Paramètres!$A$1:$I$89,3,0)*VLOOKUP('Données projet'!$B$9,Paramètres!$A$1:$I$89,5,0)</f>
        <v>176.41000000000003</v>
      </c>
      <c r="P70" s="13">
        <f t="shared" si="87"/>
        <v>44.522543239204609</v>
      </c>
      <c r="Q70" s="20">
        <f t="shared" si="54"/>
        <v>384.79084614161474</v>
      </c>
      <c r="R70" s="59">
        <f t="shared" si="55"/>
        <v>649.74491344983164</v>
      </c>
      <c r="S70" s="59">
        <f ca="1">AVERAGE(OFFSET($R$3,0,0,'Données projet'!$E$9+1,1))-AVERAGE(OFFSET($H$3,0,0,'Données projet'!$E$9+1,1))</f>
        <v>219.4022220248072</v>
      </c>
      <c r="T70" s="59">
        <f t="shared" si="88"/>
        <v>199.30065726913725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27.838738418401682</v>
      </c>
      <c r="AA70" s="21">
        <f>EXP(-LN(2)/25)*AA69+(1-EXP(-LN(2)/25))/(LN(2)/25)*Calculateur!V70*Calculateur!X70*VLOOKUP('Données projet'!$B$9,Paramètres!$A$1:$I$89,3,0)*0.475*44/12</f>
        <v>5.5856192862634044</v>
      </c>
      <c r="AB70" s="21">
        <f>EXP(-LN(2)/2)*AB69+(1-EXP(-LN(2)/2))/(LN(2)/2)*V70*Y70*VLOOKUP('Données projet'!$B$9,Paramètres!$A$1:$I$89,3,0)*0.475*44/12</f>
        <v>0.17529626522420563</v>
      </c>
      <c r="AC70" s="22">
        <f t="shared" si="57"/>
        <v>33.599653969889289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6.8</v>
      </c>
      <c r="AI70" s="13">
        <f>IF('Données projet'!$A$62&gt;35,AI69+AH70-AQ69,IF(A70&lt;'Données projet'!$A$62,$AF$205^A70,IF(A70='Données projet'!$A$62,'Données projet'!$B$62,AI69+AH70-AQ69)))</f>
        <v>221.59999999999994</v>
      </c>
      <c r="AJ70" s="13">
        <f>AI70*VLOOKUP('Données projet'!$B$10,Paramètres!$A$1:$I$89,3,0)*VLOOKUP('Données projet'!$B$10,Paramètres!$A$1:$I$89,5,0)</f>
        <v>200.50367999999995</v>
      </c>
      <c r="AK70" s="13">
        <f t="shared" si="89"/>
        <v>49.854845135229887</v>
      </c>
      <c r="AL70" s="20">
        <f t="shared" si="58"/>
        <v>436.04109794385857</v>
      </c>
      <c r="AM70" s="59">
        <f t="shared" si="59"/>
        <v>700.99516525207548</v>
      </c>
      <c r="AN70" s="59">
        <f ca="1">AVERAGE(OFFSET($AM$3,0,0,'Données projet'!$E$10+1,1))-AVERAGE(OFFSET($H$3,0,0,'Données projet'!$E$10+1,1))</f>
        <v>406.64650428071837</v>
      </c>
      <c r="AO70" s="59">
        <f t="shared" si="90"/>
        <v>250.47702091764884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30.341525773253213</v>
      </c>
      <c r="AV70" s="21">
        <f>EXP(-LN(2)/25)*AV69+(1-EXP(-LN(2)/25))/(LN(2)/25)*Calculateur!AQ70*Calculateur!AS70*VLOOKUP('Données projet'!$B$10,Paramètres!$A$1:$I$89,3,0)*0.475*44/12</f>
        <v>1.951813716583124</v>
      </c>
      <c r="AW70" s="21">
        <f>EXP(-LN(2)/2)*AW69+(1-EXP(-LN(2)/2))/(LN(2)/2)*AQ70*AT70*VLOOKUP('Données projet'!$B$10,Paramètres!$A$1:$I$89,3,0)*0.475*44/12</f>
        <v>0.65343149044101445</v>
      </c>
      <c r="AX70" s="21">
        <f t="shared" si="60"/>
        <v>32.94677098027735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6.8</v>
      </c>
      <c r="BD70" s="12">
        <f>IF('Données projet'!$A$88&gt;35,BD69+BC70-BL69,IF(A70&lt;'Données projet'!$A$88,$BA$205^A70,IF(A70='Données projet'!$A$88,'Données projet'!$B$88,BD69+BC70-BL69)))</f>
        <v>292.59999999999991</v>
      </c>
      <c r="BE70" s="13">
        <f>BD70*VLOOKUP('Données projet'!$B$11,Paramètres!$A$1:$I$89,3,0)*VLOOKUP('Données projet'!$B$11,Paramètres!$A$1:$I$89,5,0)</f>
        <v>278.43815999999993</v>
      </c>
      <c r="BF70" s="13">
        <f t="shared" si="91"/>
        <v>66.636839817348402</v>
      </c>
      <c r="BG70" s="20">
        <f t="shared" si="61"/>
        <v>601.00562468188161</v>
      </c>
      <c r="BH70" s="59">
        <f t="shared" si="62"/>
        <v>865.95969199009846</v>
      </c>
      <c r="BI70" s="59">
        <f ca="1">AVERAGE(OFFSET($BH$3,0,0,'Données projet'!$E$11+1,1))-AVERAGE(OFFSET($H$3,0,0,'Données projet'!$E$11+1,1))</f>
        <v>387.78453964980849</v>
      </c>
      <c r="BJ70" s="59">
        <f t="shared" si="92"/>
        <v>395.13533152274488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39.764890179859613</v>
      </c>
      <c r="BQ70" s="21">
        <f>EXP(-LN(2)/25)*BQ69+(1-EXP(-LN(2)/25))/(LN(2)/25)*Calculateur!BL70*Calculateur!BN70*VLOOKUP('Données projet'!$B$11,Paramètres!$A$1:$I$89,3,0)*0.475*44/12</f>
        <v>2.5434801835552583</v>
      </c>
      <c r="BR70" s="21">
        <f>EXP(-LN(2)/2)*BR69+(1-EXP(-LN(2)/2))/(LN(2)/2)*BL70*BO70*VLOOKUP('Données projet'!$B$11,Paramètres!$A$1:$I$89,3,0)*0.475*44/12</f>
        <v>0.75275370580209666</v>
      </c>
      <c r="BS70" s="22">
        <f t="shared" si="63"/>
        <v>43.061124069216973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">
      <c r="A71" s="10">
        <f t="shared" si="85"/>
        <v>68</v>
      </c>
      <c r="B71" s="73">
        <f>'Scénario référence'!$B$16*5+'Scénario référence'!$B$17*0+'Scénario référence'!$B$18*5</f>
        <v>5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">
        <f t="shared" si="86"/>
        <v>0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18.333333333333332</v>
      </c>
      <c r="H71" s="67">
        <f t="shared" si="56"/>
        <v>183.33333333333334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295</v>
      </c>
      <c r="O71" s="13">
        <f>N71*VLOOKUP('Données projet'!$B$9,Paramètres!$A$1:$I$89,3,0)*VLOOKUP('Données projet'!$B$9,Paramètres!$A$1:$I$89,5,0)</f>
        <v>176.41000000000003</v>
      </c>
      <c r="P71" s="13">
        <f t="shared" si="87"/>
        <v>44.522543239204609</v>
      </c>
      <c r="Q71" s="20">
        <f t="shared" si="54"/>
        <v>384.79084614161474</v>
      </c>
      <c r="R71" s="59">
        <f t="shared" si="55"/>
        <v>650.23723026883363</v>
      </c>
      <c r="S71" s="59">
        <f ca="1">AVERAGE(OFFSET($R$3,0,0,'Données projet'!$E$9+1,1))-AVERAGE(OFFSET($H$3,0,0,'Données projet'!$E$9+1,1))</f>
        <v>219.4022220248072</v>
      </c>
      <c r="T71" s="59">
        <f t="shared" si="88"/>
        <v>199.30065726913725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27.292837737970629</v>
      </c>
      <c r="AA71" s="21">
        <f>EXP(-LN(2)/25)*AA70+(1-EXP(-LN(2)/25))/(LN(2)/25)*Calculateur!V71*Calculateur!X71*VLOOKUP('Données projet'!$B$9,Paramètres!$A$1:$I$89,3,0)*0.475*44/12</f>
        <v>5.4328802331455792</v>
      </c>
      <c r="AB71" s="21">
        <f>EXP(-LN(2)/2)*AB70+(1-EXP(-LN(2)/2))/(LN(2)/2)*V71*Y71*VLOOKUP('Données projet'!$B$9,Paramètres!$A$1:$I$89,3,0)*0.475*44/12</f>
        <v>0.12395317785671138</v>
      </c>
      <c r="AC71" s="22">
        <f t="shared" si="57"/>
        <v>32.849671148972924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6.8</v>
      </c>
      <c r="AI71" s="13">
        <f>IF('Données projet'!$A$62&gt;35,AI70+AH71-AQ70,IF(A71&lt;'Données projet'!$A$62,$AF$205^A71,IF(A71='Données projet'!$A$62,'Données projet'!$B$62,AI70+AH71-AQ70)))</f>
        <v>228.39999999999995</v>
      </c>
      <c r="AJ71" s="13">
        <f>AI71*VLOOKUP('Données projet'!$B$10,Paramètres!$A$1:$I$89,3,0)*VLOOKUP('Données projet'!$B$10,Paramètres!$A$1:$I$89,5,0)</f>
        <v>206.65631999999994</v>
      </c>
      <c r="AK71" s="13">
        <f t="shared" si="89"/>
        <v>51.20422634371338</v>
      </c>
      <c r="AL71" s="20">
        <f t="shared" si="58"/>
        <v>449.10711821530072</v>
      </c>
      <c r="AM71" s="59">
        <f t="shared" si="59"/>
        <v>714.55350234251955</v>
      </c>
      <c r="AN71" s="59">
        <f ca="1">AVERAGE(OFFSET($AM$3,0,0,'Données projet'!$E$10+1,1))-AVERAGE(OFFSET($H$3,0,0,'Données projet'!$E$10+1,1))</f>
        <v>406.64650428071837</v>
      </c>
      <c r="AO71" s="59">
        <f t="shared" si="90"/>
        <v>250.47702091764884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29.746546959343075</v>
      </c>
      <c r="AV71" s="21">
        <f>EXP(-LN(2)/25)*AV70+(1-EXP(-LN(2)/25))/(LN(2)/25)*Calculateur!AQ71*Calculateur!AS71*VLOOKUP('Données projet'!$B$10,Paramètres!$A$1:$I$89,3,0)*0.475*44/12</f>
        <v>1.8984412678617359</v>
      </c>
      <c r="AW71" s="21">
        <f>EXP(-LN(2)/2)*AW70+(1-EXP(-LN(2)/2))/(LN(2)/2)*AQ71*AT71*VLOOKUP('Données projet'!$B$10,Paramètres!$A$1:$I$89,3,0)*0.475*44/12</f>
        <v>0.46204583793167403</v>
      </c>
      <c r="AX71" s="21">
        <f t="shared" si="60"/>
        <v>32.107034065136482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6.8</v>
      </c>
      <c r="BD71" s="12">
        <f>IF('Données projet'!$A$88&gt;35,BD70+BC71-BL70,IF(A71&lt;'Données projet'!$A$88,$BA$205^A71,IF(A71='Données projet'!$A$88,'Données projet'!$B$88,BD70+BC71-BL70)))</f>
        <v>299.39999999999992</v>
      </c>
      <c r="BE71" s="13">
        <f>BD71*VLOOKUP('Données projet'!$B$11,Paramètres!$A$1:$I$89,3,0)*VLOOKUP('Données projet'!$B$11,Paramètres!$A$1:$I$89,5,0)</f>
        <v>284.90903999999995</v>
      </c>
      <c r="BF71" s="13">
        <f t="shared" si="91"/>
        <v>68.003378431455985</v>
      </c>
      <c r="BG71" s="20">
        <f t="shared" si="61"/>
        <v>614.65579543478577</v>
      </c>
      <c r="BH71" s="59">
        <f t="shared" si="62"/>
        <v>880.10217956200461</v>
      </c>
      <c r="BI71" s="59">
        <f ca="1">AVERAGE(OFFSET($BH$3,0,0,'Données projet'!$E$11+1,1))-AVERAGE(OFFSET($H$3,0,0,'Données projet'!$E$11+1,1))</f>
        <v>387.78453964980849</v>
      </c>
      <c r="BJ71" s="59">
        <f t="shared" si="92"/>
        <v>395.13533152274488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38.985124937620675</v>
      </c>
      <c r="BQ71" s="21">
        <f>EXP(-LN(2)/25)*BQ70+(1-EXP(-LN(2)/25))/(LN(2)/25)*Calculateur!BL71*Calculateur!BN71*VLOOKUP('Données projet'!$B$11,Paramètres!$A$1:$I$89,3,0)*0.475*44/12</f>
        <v>2.47392858418013</v>
      </c>
      <c r="BR71" s="21">
        <f>EXP(-LN(2)/2)*BR70+(1-EXP(-LN(2)/2))/(LN(2)/2)*BL71*BO71*VLOOKUP('Données projet'!$B$11,Paramètres!$A$1:$I$89,3,0)*0.475*44/12</f>
        <v>0.53227724993596592</v>
      </c>
      <c r="BS71" s="22">
        <f t="shared" si="63"/>
        <v>41.99133077173677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">
      <c r="A72" s="10">
        <f t="shared" si="85"/>
        <v>69</v>
      </c>
      <c r="B72" s="73">
        <f>'Scénario référence'!$B$16*5+'Scénario référence'!$B$17*0+'Scénario référence'!$B$18*5</f>
        <v>5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">
        <f t="shared" si="86"/>
        <v>0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18.333333333333332</v>
      </c>
      <c r="H72" s="67">
        <f t="shared" si="56"/>
        <v>183.33333333333334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295</v>
      </c>
      <c r="O72" s="13">
        <f>N72*VLOOKUP('Données projet'!$B$9,Paramètres!$A$1:$I$89,3,0)*VLOOKUP('Données projet'!$B$9,Paramètres!$A$1:$I$89,5,0)</f>
        <v>176.41000000000003</v>
      </c>
      <c r="P72" s="13">
        <f t="shared" si="87"/>
        <v>44.522543239204609</v>
      </c>
      <c r="Q72" s="20">
        <f t="shared" si="54"/>
        <v>384.79084614161474</v>
      </c>
      <c r="R72" s="59">
        <f t="shared" si="55"/>
        <v>650.72100649168124</v>
      </c>
      <c r="S72" s="59">
        <f ca="1">AVERAGE(OFFSET($R$3,0,0,'Données projet'!$E$9+1,1))-AVERAGE(OFFSET($H$3,0,0,'Données projet'!$E$9+1,1))</f>
        <v>219.4022220248072</v>
      </c>
      <c r="T72" s="59">
        <f t="shared" si="88"/>
        <v>199.30065726913725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26.757641836916292</v>
      </c>
      <c r="AA72" s="21">
        <f>EXP(-LN(2)/25)*AA71+(1-EXP(-LN(2)/25))/(LN(2)/25)*Calculateur!V72*Calculateur!X72*VLOOKUP('Données projet'!$B$9,Paramètres!$A$1:$I$89,3,0)*0.475*44/12</f>
        <v>5.2843178374674586</v>
      </c>
      <c r="AB72" s="21">
        <f>EXP(-LN(2)/2)*AB71+(1-EXP(-LN(2)/2))/(LN(2)/2)*V72*Y72*VLOOKUP('Données projet'!$B$9,Paramètres!$A$1:$I$89,3,0)*0.475*44/12</f>
        <v>8.764813261210283E-2</v>
      </c>
      <c r="AC72" s="22">
        <f t="shared" si="57"/>
        <v>32.12960780699585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6.8</v>
      </c>
      <c r="AI72" s="13">
        <f>IF('Données projet'!$A$62&gt;35,AI71+AH72-AQ71,IF(A72&lt;'Données projet'!$A$62,$AF$205^A72,IF(A72='Données projet'!$A$62,'Données projet'!$B$62,AI71+AH72-AQ71)))</f>
        <v>235.19999999999996</v>
      </c>
      <c r="AJ72" s="13">
        <f>AI72*VLOOKUP('Données projet'!$B$10,Paramètres!$A$1:$I$89,3,0)*VLOOKUP('Données projet'!$B$10,Paramètres!$A$1:$I$89,5,0)</f>
        <v>212.80895999999996</v>
      </c>
      <c r="AK72" s="13">
        <f t="shared" si="89"/>
        <v>52.548938637485847</v>
      </c>
      <c r="AL72" s="20">
        <f t="shared" si="58"/>
        <v>462.16500679362099</v>
      </c>
      <c r="AM72" s="59">
        <f t="shared" si="59"/>
        <v>728.0951671436876</v>
      </c>
      <c r="AN72" s="59">
        <f ca="1">AVERAGE(OFFSET($AM$3,0,0,'Données projet'!$E$10+1,1))-AVERAGE(OFFSET($H$3,0,0,'Données projet'!$E$10+1,1))</f>
        <v>406.64650428071837</v>
      </c>
      <c r="AO72" s="59">
        <f t="shared" si="90"/>
        <v>250.47702091764884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29.16323531707247</v>
      </c>
      <c r="AV72" s="21">
        <f>EXP(-LN(2)/25)*AV71+(1-EXP(-LN(2)/25))/(LN(2)/25)*Calculateur!AQ72*Calculateur!AS72*VLOOKUP('Données projet'!$B$10,Paramètres!$A$1:$I$89,3,0)*0.475*44/12</f>
        <v>1.8465282915573695</v>
      </c>
      <c r="AW72" s="21">
        <f>EXP(-LN(2)/2)*AW71+(1-EXP(-LN(2)/2))/(LN(2)/2)*AQ72*AT72*VLOOKUP('Données projet'!$B$10,Paramètres!$A$1:$I$89,3,0)*0.475*44/12</f>
        <v>0.32671574522050723</v>
      </c>
      <c r="AX72" s="21">
        <f t="shared" si="60"/>
        <v>31.336479353850347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6.8</v>
      </c>
      <c r="BD72" s="12">
        <f>IF('Données projet'!$A$88&gt;35,BD71+BC72-BL71,IF(A72&lt;'Données projet'!$A$88,$BA$205^A72,IF(A72='Données projet'!$A$88,'Données projet'!$B$88,BD71+BC72-BL71)))</f>
        <v>306.19999999999993</v>
      </c>
      <c r="BE72" s="13">
        <f>BD72*VLOOKUP('Données projet'!$B$11,Paramètres!$A$1:$I$89,3,0)*VLOOKUP('Données projet'!$B$11,Paramètres!$A$1:$I$89,5,0)</f>
        <v>291.37991999999991</v>
      </c>
      <c r="BF72" s="13">
        <f t="shared" si="91"/>
        <v>69.366308788027794</v>
      </c>
      <c r="BG72" s="20">
        <f t="shared" si="61"/>
        <v>628.29968180581488</v>
      </c>
      <c r="BH72" s="59">
        <f t="shared" si="62"/>
        <v>894.22984215588144</v>
      </c>
      <c r="BI72" s="59">
        <f ca="1">AVERAGE(OFFSET($BH$3,0,0,'Données projet'!$E$11+1,1))-AVERAGE(OFFSET($H$3,0,0,'Données projet'!$E$11+1,1))</f>
        <v>387.78453964980849</v>
      </c>
      <c r="BJ72" s="59">
        <f t="shared" si="92"/>
        <v>395.13533152274488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38.220650416172205</v>
      </c>
      <c r="BQ72" s="21">
        <f>EXP(-LN(2)/25)*BQ71+(1-EXP(-LN(2)/25))/(LN(2)/25)*Calculateur!BL72*Calculateur!BN72*VLOOKUP('Données projet'!$B$11,Paramètres!$A$1:$I$89,3,0)*0.475*44/12</f>
        <v>2.4062788769474741</v>
      </c>
      <c r="BR72" s="21">
        <f>EXP(-LN(2)/2)*BR71+(1-EXP(-LN(2)/2))/(LN(2)/2)*BL72*BO72*VLOOKUP('Données projet'!$B$11,Paramètres!$A$1:$I$89,3,0)*0.475*44/12</f>
        <v>0.37637685290104833</v>
      </c>
      <c r="BS72" s="22">
        <f t="shared" si="63"/>
        <v>41.003306146020726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">
      <c r="A73" s="10">
        <f t="shared" si="85"/>
        <v>70</v>
      </c>
      <c r="B73" s="73">
        <f>'Scénario référence'!$B$16*5+'Scénario référence'!$B$17*0+'Scénario référence'!$B$18*5</f>
        <v>5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">
        <f t="shared" si="86"/>
        <v>0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18.333333333333332</v>
      </c>
      <c r="H73" s="67">
        <f t="shared" si="56"/>
        <v>183.33333333333334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295</v>
      </c>
      <c r="O73" s="13">
        <f>N73*VLOOKUP('Données projet'!$B$9,Paramètres!$A$1:$I$89,3,0)*VLOOKUP('Données projet'!$B$9,Paramètres!$A$1:$I$89,5,0)</f>
        <v>176.41000000000003</v>
      </c>
      <c r="P73" s="13">
        <f t="shared" si="87"/>
        <v>44.522543239204609</v>
      </c>
      <c r="Q73" s="20">
        <f t="shared" si="54"/>
        <v>384.79084614161474</v>
      </c>
      <c r="R73" s="59">
        <f t="shared" si="55"/>
        <v>651.19639027862422</v>
      </c>
      <c r="S73" s="59">
        <f ca="1">AVERAGE(OFFSET($R$3,0,0,'Données projet'!$E$9+1,1))-AVERAGE(OFFSET($H$3,0,0,'Données projet'!$E$9+1,1))</f>
        <v>219.4022220248072</v>
      </c>
      <c r="T73" s="59">
        <f t="shared" si="88"/>
        <v>199.30065726913725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26.232940801044364</v>
      </c>
      <c r="AA73" s="21">
        <f>EXP(-LN(2)/25)*AA72+(1-EXP(-LN(2)/25))/(LN(2)/25)*Calculateur!V73*Calculateur!X73*VLOOKUP('Données projet'!$B$9,Paramètres!$A$1:$I$89,3,0)*0.475*44/12</f>
        <v>5.1398178883117138</v>
      </c>
      <c r="AB73" s="21">
        <f>EXP(-LN(2)/2)*AB72+(1-EXP(-LN(2)/2))/(LN(2)/2)*V73*Y73*VLOOKUP('Données projet'!$B$9,Paramètres!$A$1:$I$89,3,0)*0.475*44/12</f>
        <v>6.1976588928355697E-2</v>
      </c>
      <c r="AC73" s="22">
        <f t="shared" si="57"/>
        <v>31.434735278284435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>
        <f>VLOOKUP(A73,'Données projet'!$A$61:$I$81,2,0)</f>
        <v>242</v>
      </c>
      <c r="AG73" s="12">
        <f>VLOOKUP(A73,'Données projet'!$A$61:$I$81,9,0)</f>
        <v>6.8</v>
      </c>
      <c r="AH73" s="12">
        <f t="array" ref="AH73">INDEX(AG:AG,MIN(IF(ISNUMBER(AG73:AG269),ROW(AG73:AG269),"")))</f>
        <v>6.8</v>
      </c>
      <c r="AI73" s="13">
        <f>IF('Données projet'!$A$62&gt;35,AI72+AH73-AQ72,IF(A73&lt;'Données projet'!$A$62,$AF$205^A73,IF(A73='Données projet'!$A$62,'Données projet'!$B$62,AI72+AH73-AQ72)))</f>
        <v>241.99999999999997</v>
      </c>
      <c r="AJ73" s="13">
        <f>AI73*VLOOKUP('Données projet'!$B$10,Paramètres!$A$1:$I$89,3,0)*VLOOKUP('Données projet'!$B$10,Paramètres!$A$1:$I$89,5,0)</f>
        <v>218.96159999999998</v>
      </c>
      <c r="AK73" s="13">
        <f t="shared" si="89"/>
        <v>53.88913250370743</v>
      </c>
      <c r="AL73" s="20">
        <f t="shared" si="58"/>
        <v>475.21502577729035</v>
      </c>
      <c r="AM73" s="59">
        <f t="shared" si="59"/>
        <v>741.62056991429984</v>
      </c>
      <c r="AN73" s="59">
        <f ca="1">AVERAGE(OFFSET($AM$3,0,0,'Données projet'!$E$10+1,1))-AVERAGE(OFFSET($H$3,0,0,'Données projet'!$E$10+1,1))</f>
        <v>406.64650428071837</v>
      </c>
      <c r="AO73" s="59">
        <f t="shared" si="90"/>
        <v>250.47702091764884</v>
      </c>
      <c r="AP73" s="15">
        <f>IF(ISNA(VLOOKUP(A73,'Données projet'!$A$61:$I$81,3,0)),0,VLOOKUP(A73,'Données projet'!$A$61:$I$81,3,0))</f>
        <v>10</v>
      </c>
      <c r="AQ73" s="15">
        <f>IF(ISNA(VLOOKUP(A73,'Données projet'!$A$61:$I$81,4,0)),0,VLOOKUP(A73,'Données projet'!$A$61:$I$81,4,0))</f>
        <v>21</v>
      </c>
      <c r="AR73" s="16">
        <f>IF(ISNA(VLOOKUP(A73,'Données projet'!$A$61:$I$81,5,0)),0%,VLOOKUP(A73,'Données projet'!$A$61:$I$81,5,0)*VLOOKUP('Données projet'!$B$10,Paramètres!$A$1:$I$89,7,0))</f>
        <v>0.34400000000000003</v>
      </c>
      <c r="AS73" s="16">
        <f>IF(ISNA(VLOOKUP(A73,'Données projet'!$A$61:$I$81,6,0)),0%,VLOOKUP(A73,'Données projet'!$A$61:$I$81,6,0)*VLOOKUP('Données projet'!$B$10,Paramètres!$A$1:$I$89,7,0))</f>
        <v>1.72E-2</v>
      </c>
      <c r="AT73" s="16">
        <f>IF(ISNA(VLOOKUP(A73,'Données projet'!$A$61:$I$81,7,0)),0%,VLOOKUP(A73,'Données projet'!$A$61:$I$81,7,0))</f>
        <v>0.06</v>
      </c>
      <c r="AU73" s="21">
        <f>EXP(-LN(2)/35)*AU72+(1-EXP(-LN(2)/35))/(LN(2)/35)*AQ73*AR73*VLOOKUP('Données projet'!$B$10,Paramètres!$A$1:$I$89,3,0)*0.475*44/12</f>
        <v>35.817020686397626</v>
      </c>
      <c r="AV73" s="21">
        <f>EXP(-LN(2)/25)*AV72+(1-EXP(-LN(2)/25))/(LN(2)/25)*Calculateur!AQ73*Calculateur!AS73*VLOOKUP('Données projet'!$B$10,Paramètres!$A$1:$I$89,3,0)*0.475*44/12</f>
        <v>2.1558953010636888</v>
      </c>
      <c r="AW73" s="21">
        <f>EXP(-LN(2)/2)*AW72+(1-EXP(-LN(2)/2))/(LN(2)/2)*AQ73*AT73*VLOOKUP('Données projet'!$B$10,Paramètres!$A$1:$I$89,3,0)*0.475*44/12</f>
        <v>1.3066888909078804</v>
      </c>
      <c r="AX73" s="21">
        <f t="shared" si="60"/>
        <v>39.279604878369192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>
        <f>VLOOKUP(A73,'Données projet'!$A$87:$I$107,2,0)</f>
        <v>313</v>
      </c>
      <c r="BB73" s="12">
        <f>VLOOKUP(A73,'Données projet'!$A$87:$I$107,9,0)</f>
        <v>6.8</v>
      </c>
      <c r="BC73" s="12">
        <f t="array" ref="BC73">INDEX(BB:BB,MIN(IF(ISNUMBER(BB73:BB269),ROW(BB73:BB269),"")))</f>
        <v>6.8</v>
      </c>
      <c r="BD73" s="12">
        <f>IF('Données projet'!$A$88&gt;35,BD72+BC73-BL72,IF(A73&lt;'Données projet'!$A$88,$BA$205^A73,IF(A73='Données projet'!$A$88,'Données projet'!$B$88,BD72+BC73-BL72)))</f>
        <v>312.99999999999994</v>
      </c>
      <c r="BE73" s="13">
        <f>BD73*VLOOKUP('Données projet'!$B$11,Paramètres!$A$1:$I$89,3,0)*VLOOKUP('Données projet'!$B$11,Paramètres!$A$1:$I$89,5,0)</f>
        <v>297.85079999999994</v>
      </c>
      <c r="BF73" s="13">
        <f t="shared" si="91"/>
        <v>70.725720244769349</v>
      </c>
      <c r="BG73" s="20">
        <f t="shared" si="61"/>
        <v>641.93743942630658</v>
      </c>
      <c r="BH73" s="59">
        <f t="shared" si="62"/>
        <v>908.34298356331601</v>
      </c>
      <c r="BI73" s="59">
        <f ca="1">AVERAGE(OFFSET($BH$3,0,0,'Données projet'!$E$11+1,1))-AVERAGE(OFFSET($H$3,0,0,'Données projet'!$E$11+1,1))</f>
        <v>387.78453964980849</v>
      </c>
      <c r="BJ73" s="59">
        <f t="shared" si="92"/>
        <v>395.13533152274488</v>
      </c>
      <c r="BK73" s="15">
        <f>IF(ISNA(VLOOKUP(A73,'Données projet'!$A$87:$I$107,3,0)),0,VLOOKUP(A73,'Données projet'!$A$87:$I$107,3,0))</f>
        <v>12</v>
      </c>
      <c r="BL73" s="15">
        <f>IF(ISNA(VLOOKUP(A73,'Données projet'!$A$87:$I$107,4,0)),0,VLOOKUP(A73,'Données projet'!$A$87:$I$107,4,0))</f>
        <v>22</v>
      </c>
      <c r="BM73" s="16">
        <f>IF(ISNA(VLOOKUP(A73,'Données projet'!$A$87:$I$107,5,0)),0%,VLOOKUP(A73,'Données projet'!$A$87:$I$107,5,0)*VLOOKUP('Données projet'!$B$11,Paramètres!$A$1:$I$89,7,0))</f>
        <v>0.34400000000000003</v>
      </c>
      <c r="BN73" s="16">
        <f>IF(ISNA(VLOOKUP(A73,'Données projet'!$A$87:$I$107,6,0)),0%,VLOOKUP(A73,'Données projet'!$A$87:$I$107,6,0)*VLOOKUP('Données projet'!$B$11,Paramètres!$A$1:$I$89,7,0))</f>
        <v>1.72E-2</v>
      </c>
      <c r="BO73" s="16">
        <f>IF(ISNA(VLOOKUP(A73,'Données projet'!$A$87:$I$107,7,0)),0%,VLOOKUP(A73,'Données projet'!$A$87:$I$107,7,0))</f>
        <v>0.06</v>
      </c>
      <c r="BP73" s="21">
        <f>EXP(-LN(2)/35)*BP72+(1-EXP(-LN(2)/35))/(LN(2)/35)*BL73*BM73*VLOOKUP('Données projet'!$B$11,Paramètres!$A$1:$I$89,3,0)*0.475*44/12</f>
        <v>45.432442534227711</v>
      </c>
      <c r="BQ73" s="21">
        <f>EXP(-LN(2)/25)*BQ72+(1-EXP(-LN(2)/25))/(LN(2)/25)*Calculateur!BL73*Calculateur!BN73*VLOOKUP('Données projet'!$B$11,Paramètres!$A$1:$I$89,3,0)*0.475*44/12</f>
        <v>2.7369755137300951</v>
      </c>
      <c r="BR73" s="21">
        <f>EXP(-LN(2)/2)*BR72+(1-EXP(-LN(2)/2))/(LN(2)/2)*BL73*BO73*VLOOKUP('Données projet'!$B$11,Paramètres!$A$1:$I$89,3,0)*0.475*44/12</f>
        <v>1.4513141047267861</v>
      </c>
      <c r="BS73" s="22">
        <f t="shared" si="63"/>
        <v>49.620732152684589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">
      <c r="A74" s="10">
        <f t="shared" si="85"/>
        <v>71</v>
      </c>
      <c r="B74" s="73">
        <f>'Scénario référence'!$B$16*5+'Scénario référence'!$B$17*0+'Scénario référence'!$B$18*5</f>
        <v>5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">
        <f t="shared" si="86"/>
        <v>0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18.333333333333332</v>
      </c>
      <c r="H74" s="67">
        <f t="shared" si="56"/>
        <v>183.33333333333334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295</v>
      </c>
      <c r="O74" s="13">
        <f>N74*VLOOKUP('Données projet'!$B$9,Paramètres!$A$1:$I$89,3,0)*VLOOKUP('Données projet'!$B$9,Paramètres!$A$1:$I$89,5,0)</f>
        <v>176.41000000000003</v>
      </c>
      <c r="P74" s="13">
        <f t="shared" si="87"/>
        <v>44.522543239204609</v>
      </c>
      <c r="Q74" s="20">
        <f t="shared" si="54"/>
        <v>384.79084614161474</v>
      </c>
      <c r="R74" s="59">
        <f t="shared" si="55"/>
        <v>651.66352721966268</v>
      </c>
      <c r="S74" s="59">
        <f ca="1">AVERAGE(OFFSET($R$3,0,0,'Données projet'!$E$9+1,1))-AVERAGE(OFFSET($H$3,0,0,'Données projet'!$E$9+1,1))</f>
        <v>219.4022220248072</v>
      </c>
      <c r="T74" s="59">
        <f t="shared" si="88"/>
        <v>199.30065726913725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25.718528832449852</v>
      </c>
      <c r="AA74" s="21">
        <f>EXP(-LN(2)/25)*AA73+(1-EXP(-LN(2)/25))/(LN(2)/25)*Calculateur!V74*Calculateur!X74*VLOOKUP('Données projet'!$B$9,Paramètres!$A$1:$I$89,3,0)*0.475*44/12</f>
        <v>4.9992692978645543</v>
      </c>
      <c r="AB74" s="21">
        <f>EXP(-LN(2)/2)*AB73+(1-EXP(-LN(2)/2))/(LN(2)/2)*V74*Y74*VLOOKUP('Données projet'!$B$9,Paramètres!$A$1:$I$89,3,0)*0.475*44/12</f>
        <v>4.3824066306051422E-2</v>
      </c>
      <c r="AC74" s="22">
        <f t="shared" si="57"/>
        <v>30.761622196620458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6.2</v>
      </c>
      <c r="AI74" s="13">
        <f>IF('Données projet'!$A$62&gt;35,AI73+AH74-AQ73,IF(A74&lt;'Données projet'!$A$62,$AF$205^A74,IF(A74='Données projet'!$A$62,'Données projet'!$B$62,AI73+AH74-AQ73)))</f>
        <v>227.19999999999996</v>
      </c>
      <c r="AJ74" s="13">
        <f>AI74*VLOOKUP('Données projet'!$B$10,Paramètres!$A$1:$I$89,3,0)*VLOOKUP('Données projet'!$B$10,Paramètres!$A$1:$I$89,5,0)</f>
        <v>205.57055999999997</v>
      </c>
      <c r="AK74" s="13">
        <f t="shared" si="89"/>
        <v>50.966443946767392</v>
      </c>
      <c r="AL74" s="20">
        <f t="shared" si="58"/>
        <v>446.80194854061978</v>
      </c>
      <c r="AM74" s="59">
        <f t="shared" si="59"/>
        <v>713.67462961866772</v>
      </c>
      <c r="AN74" s="59">
        <f ca="1">AVERAGE(OFFSET($AM$3,0,0,'Données projet'!$E$10+1,1))-AVERAGE(OFFSET($H$3,0,0,'Données projet'!$E$10+1,1))</f>
        <v>406.64650428071837</v>
      </c>
      <c r="AO74" s="59">
        <f t="shared" si="90"/>
        <v>250.47702091764884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35.114670756962852</v>
      </c>
      <c r="AV74" s="21">
        <f>EXP(-LN(2)/25)*AV73+(1-EXP(-LN(2)/25))/(LN(2)/25)*Calculateur!AQ74*Calculateur!AS74*VLOOKUP('Données projet'!$B$10,Paramètres!$A$1:$I$89,3,0)*0.475*44/12</f>
        <v>2.0969422306824956</v>
      </c>
      <c r="AW74" s="21">
        <f>EXP(-LN(2)/2)*AW73+(1-EXP(-LN(2)/2))/(LN(2)/2)*AQ74*AT74*VLOOKUP('Données projet'!$B$10,Paramètres!$A$1:$I$89,3,0)*0.475*44/12</f>
        <v>0.92396857566209112</v>
      </c>
      <c r="AX74" s="21">
        <f t="shared" si="60"/>
        <v>38.13558156330744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290.99999999999994</v>
      </c>
      <c r="BE74" s="13">
        <f>BD74*VLOOKUP('Données projet'!$B$11,Paramètres!$A$1:$I$89,3,0)*VLOOKUP('Données projet'!$B$11,Paramètres!$A$1:$I$89,5,0)</f>
        <v>276.91559999999993</v>
      </c>
      <c r="BF74" s="13">
        <f t="shared" si="91"/>
        <v>66.314766879144742</v>
      </c>
      <c r="BG74" s="20">
        <f t="shared" si="61"/>
        <v>597.79288898117682</v>
      </c>
      <c r="BH74" s="59">
        <f t="shared" si="62"/>
        <v>864.66557005922482</v>
      </c>
      <c r="BI74" s="59">
        <f ca="1">AVERAGE(OFFSET($BH$3,0,0,'Données projet'!$E$11+1,1))-AVERAGE(OFFSET($H$3,0,0,'Données projet'!$E$11+1,1))</f>
        <v>387.78453964980849</v>
      </c>
      <c r="BJ74" s="59">
        <f t="shared" si="92"/>
        <v>395.13533152274488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44.541540047185215</v>
      </c>
      <c r="BQ74" s="21">
        <f>EXP(-LN(2)/25)*BQ73+(1-EXP(-LN(2)/25))/(LN(2)/25)*Calculateur!BL74*Calculateur!BN74*VLOOKUP('Données projet'!$B$11,Paramètres!$A$1:$I$89,3,0)*0.475*44/12</f>
        <v>2.6621327743758587</v>
      </c>
      <c r="BR74" s="21">
        <f>EXP(-LN(2)/2)*BR73+(1-EXP(-LN(2)/2))/(LN(2)/2)*BL74*BO74*VLOOKUP('Données projet'!$B$11,Paramètres!$A$1:$I$89,3,0)*0.475*44/12</f>
        <v>1.0262340450839937</v>
      </c>
      <c r="BS74" s="22">
        <f t="shared" si="63"/>
        <v>48.229906866645067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">
      <c r="A75" s="10">
        <f t="shared" si="85"/>
        <v>72</v>
      </c>
      <c r="B75" s="73">
        <f>'Scénario référence'!$B$16*5+'Scénario référence'!$B$17*0+'Scénario référence'!$B$18*5</f>
        <v>5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">
        <f t="shared" si="86"/>
        <v>0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18.333333333333332</v>
      </c>
      <c r="H75" s="67">
        <f t="shared" si="56"/>
        <v>183.33333333333334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295</v>
      </c>
      <c r="O75" s="13">
        <f>N75*VLOOKUP('Données projet'!$B$9,Paramètres!$A$1:$I$89,3,0)*VLOOKUP('Données projet'!$B$9,Paramètres!$A$1:$I$89,5,0)</f>
        <v>176.41000000000003</v>
      </c>
      <c r="P75" s="13">
        <f t="shared" si="87"/>
        <v>44.522543239204609</v>
      </c>
      <c r="Q75" s="20">
        <f t="shared" si="54"/>
        <v>384.79084614161474</v>
      </c>
      <c r="R75" s="59">
        <f t="shared" si="55"/>
        <v>652.12256037913585</v>
      </c>
      <c r="S75" s="59">
        <f ca="1">AVERAGE(OFFSET($R$3,0,0,'Données projet'!$E$9+1,1))-AVERAGE(OFFSET($H$3,0,0,'Données projet'!$E$9+1,1))</f>
        <v>219.4022220248072</v>
      </c>
      <c r="T75" s="59">
        <f t="shared" si="88"/>
        <v>199.30065726913725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25.21420416879916</v>
      </c>
      <c r="AA75" s="21">
        <f>EXP(-LN(2)/25)*AA74+(1-EXP(-LN(2)/25))/(LN(2)/25)*Calculateur!V75*Calculateur!X75*VLOOKUP('Données projet'!$B$9,Paramètres!$A$1:$I$89,3,0)*0.475*44/12</f>
        <v>4.8625640160143018</v>
      </c>
      <c r="AB75" s="21">
        <f>EXP(-LN(2)/2)*AB74+(1-EXP(-LN(2)/2))/(LN(2)/2)*V75*Y75*VLOOKUP('Données projet'!$B$9,Paramètres!$A$1:$I$89,3,0)*0.475*44/12</f>
        <v>3.0988294464177855E-2</v>
      </c>
      <c r="AC75" s="22">
        <f t="shared" si="57"/>
        <v>30.107756479277636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6.2</v>
      </c>
      <c r="AI75" s="13">
        <f>IF('Données projet'!$A$62&gt;35,AI74+AH75-AQ74,IF(A75&lt;'Données projet'!$A$62,$AF$205^A75,IF(A75='Données projet'!$A$62,'Données projet'!$B$62,AI74+AH75-AQ74)))</f>
        <v>233.39999999999995</v>
      </c>
      <c r="AJ75" s="13">
        <f>AI75*VLOOKUP('Données projet'!$B$10,Paramètres!$A$1:$I$89,3,0)*VLOOKUP('Données projet'!$B$10,Paramètres!$A$1:$I$89,5,0)</f>
        <v>211.18031999999994</v>
      </c>
      <c r="AK75" s="13">
        <f t="shared" si="89"/>
        <v>52.193431117443019</v>
      </c>
      <c r="AL75" s="20">
        <f t="shared" si="58"/>
        <v>458.70928319621316</v>
      </c>
      <c r="AM75" s="59">
        <f t="shared" si="59"/>
        <v>726.04099743373422</v>
      </c>
      <c r="AN75" s="59">
        <f ca="1">AVERAGE(OFFSET($AM$3,0,0,'Données projet'!$E$10+1,1))-AVERAGE(OFFSET($H$3,0,0,'Données projet'!$E$10+1,1))</f>
        <v>406.64650428071837</v>
      </c>
      <c r="AO75" s="59">
        <f t="shared" si="90"/>
        <v>250.47702091764884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34.426093481253133</v>
      </c>
      <c r="AV75" s="21">
        <f>EXP(-LN(2)/25)*AV74+(1-EXP(-LN(2)/25))/(LN(2)/25)*Calculateur!AQ75*Calculateur!AS75*VLOOKUP('Données projet'!$B$10,Paramètres!$A$1:$I$89,3,0)*0.475*44/12</f>
        <v>2.0396012351110837</v>
      </c>
      <c r="AW75" s="21">
        <f>EXP(-LN(2)/2)*AW74+(1-EXP(-LN(2)/2))/(LN(2)/2)*AQ75*AT75*VLOOKUP('Données projet'!$B$10,Paramètres!$A$1:$I$89,3,0)*0.475*44/12</f>
        <v>0.65334444545394033</v>
      </c>
      <c r="AX75" s="21">
        <f t="shared" si="60"/>
        <v>37.119039161818158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290.99999999999994</v>
      </c>
      <c r="BE75" s="13">
        <f>BD75*VLOOKUP('Données projet'!$B$11,Paramètres!$A$1:$I$89,3,0)*VLOOKUP('Données projet'!$B$11,Paramètres!$A$1:$I$89,5,0)</f>
        <v>276.91559999999993</v>
      </c>
      <c r="BF75" s="13">
        <f t="shared" si="91"/>
        <v>66.314766879144742</v>
      </c>
      <c r="BG75" s="20">
        <f t="shared" si="61"/>
        <v>597.79288898117682</v>
      </c>
      <c r="BH75" s="59">
        <f t="shared" si="62"/>
        <v>865.12460321869798</v>
      </c>
      <c r="BI75" s="59">
        <f ca="1">AVERAGE(OFFSET($BH$3,0,0,'Données projet'!$E$11+1,1))-AVERAGE(OFFSET($H$3,0,0,'Données projet'!$E$11+1,1))</f>
        <v>387.78453964980849</v>
      </c>
      <c r="BJ75" s="59">
        <f t="shared" si="92"/>
        <v>395.13533152274488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43.668107614516757</v>
      </c>
      <c r="BQ75" s="21">
        <f>EXP(-LN(2)/25)*BQ74+(1-EXP(-LN(2)/25))/(LN(2)/25)*Calculateur!BL75*Calculateur!BN75*VLOOKUP('Données projet'!$B$11,Paramètres!$A$1:$I$89,3,0)*0.475*44/12</f>
        <v>2.5893366136650728</v>
      </c>
      <c r="BR75" s="21">
        <f>EXP(-LN(2)/2)*BR74+(1-EXP(-LN(2)/2))/(LN(2)/2)*BL75*BO75*VLOOKUP('Données projet'!$B$11,Paramètres!$A$1:$I$89,3,0)*0.475*44/12</f>
        <v>0.72565705236339317</v>
      </c>
      <c r="BS75" s="22">
        <f t="shared" si="63"/>
        <v>46.983101280545227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">
      <c r="A76" s="10">
        <f t="shared" si="85"/>
        <v>73</v>
      </c>
      <c r="B76" s="73">
        <f>'Scénario référence'!$B$16*5+'Scénario référence'!$B$17*0+'Scénario référence'!$B$18*5</f>
        <v>5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">
        <f t="shared" si="86"/>
        <v>0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18.333333333333332</v>
      </c>
      <c r="H76" s="67">
        <f t="shared" si="56"/>
        <v>183.33333333333334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295</v>
      </c>
      <c r="O76" s="13">
        <f>N76*VLOOKUP('Données projet'!$B$9,Paramètres!$A$1:$I$89,3,0)*VLOOKUP('Données projet'!$B$9,Paramètres!$A$1:$I$89,5,0)</f>
        <v>176.41000000000003</v>
      </c>
      <c r="P76" s="13">
        <f t="shared" si="87"/>
        <v>44.522543239204609</v>
      </c>
      <c r="Q76" s="20">
        <f t="shared" si="54"/>
        <v>384.79084614161474</v>
      </c>
      <c r="R76" s="59">
        <f t="shared" si="55"/>
        <v>652.57363033953652</v>
      </c>
      <c r="S76" s="59">
        <f ca="1">AVERAGE(OFFSET($R$3,0,0,'Données projet'!$E$9+1,1))-AVERAGE(OFFSET($H$3,0,0,'Données projet'!$E$9+1,1))</f>
        <v>219.4022220248072</v>
      </c>
      <c r="T76" s="59">
        <f t="shared" si="88"/>
        <v>199.30065726913725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24.719769004194987</v>
      </c>
      <c r="AA76" s="21">
        <f>EXP(-LN(2)/25)*AA75+(1-EXP(-LN(2)/25))/(LN(2)/25)*Calculateur!V76*Calculateur!X76*VLOOKUP('Données projet'!$B$9,Paramètres!$A$1:$I$89,3,0)*0.475*44/12</f>
        <v>4.7295969472852626</v>
      </c>
      <c r="AB76" s="21">
        <f>EXP(-LN(2)/2)*AB75+(1-EXP(-LN(2)/2))/(LN(2)/2)*V76*Y76*VLOOKUP('Données projet'!$B$9,Paramètres!$A$1:$I$89,3,0)*0.475*44/12</f>
        <v>2.1912033153025715E-2</v>
      </c>
      <c r="AC76" s="22">
        <f t="shared" si="57"/>
        <v>29.471277984633275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6.2</v>
      </c>
      <c r="AI76" s="13">
        <f>IF('Données projet'!$A$62&gt;35,AI75+AH76-AQ75,IF(A76&lt;'Données projet'!$A$62,$AF$205^A76,IF(A76='Données projet'!$A$62,'Données projet'!$B$62,AI75+AH76-AQ75)))</f>
        <v>239.59999999999994</v>
      </c>
      <c r="AJ76" s="13">
        <f>AI76*VLOOKUP('Données projet'!$B$10,Paramètres!$A$1:$I$89,3,0)*VLOOKUP('Données projet'!$B$10,Paramètres!$A$1:$I$89,5,0)</f>
        <v>216.79007999999996</v>
      </c>
      <c r="AK76" s="13">
        <f t="shared" si="89"/>
        <v>53.416629794462551</v>
      </c>
      <c r="AL76" s="20">
        <f t="shared" si="58"/>
        <v>470.61001955868886</v>
      </c>
      <c r="AM76" s="59">
        <f t="shared" si="59"/>
        <v>738.39280375661065</v>
      </c>
      <c r="AN76" s="59">
        <f ca="1">AVERAGE(OFFSET($AM$3,0,0,'Données projet'!$E$10+1,1))-AVERAGE(OFFSET($H$3,0,0,'Données projet'!$E$10+1,1))</f>
        <v>406.64650428071837</v>
      </c>
      <c r="AO76" s="59">
        <f t="shared" si="90"/>
        <v>250.47702091764884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33.751018785929418</v>
      </c>
      <c r="AV76" s="21">
        <f>EXP(-LN(2)/25)*AV75+(1-EXP(-LN(2)/25))/(LN(2)/25)*Calculateur!AQ76*Calculateur!AS76*VLOOKUP('Données projet'!$B$10,Paramètres!$A$1:$I$89,3,0)*0.475*44/12</f>
        <v>1.9838282320790037</v>
      </c>
      <c r="AW76" s="21">
        <f>EXP(-LN(2)/2)*AW75+(1-EXP(-LN(2)/2))/(LN(2)/2)*AQ76*AT76*VLOOKUP('Données projet'!$B$10,Paramètres!$A$1:$I$89,3,0)*0.475*44/12</f>
        <v>0.46198428783104567</v>
      </c>
      <c r="AX76" s="21">
        <f t="shared" si="60"/>
        <v>36.196831305839467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290.99999999999994</v>
      </c>
      <c r="BE76" s="13">
        <f>BD76*VLOOKUP('Données projet'!$B$11,Paramètres!$A$1:$I$89,3,0)*VLOOKUP('Données projet'!$B$11,Paramètres!$A$1:$I$89,5,0)</f>
        <v>276.91559999999993</v>
      </c>
      <c r="BF76" s="13">
        <f t="shared" si="91"/>
        <v>66.314766879144742</v>
      </c>
      <c r="BG76" s="20">
        <f t="shared" si="61"/>
        <v>597.79288898117682</v>
      </c>
      <c r="BH76" s="59">
        <f t="shared" si="62"/>
        <v>865.57567317909866</v>
      </c>
      <c r="BI76" s="59">
        <f ca="1">AVERAGE(OFFSET($BH$3,0,0,'Données projet'!$E$11+1,1))-AVERAGE(OFFSET($H$3,0,0,'Données projet'!$E$11+1,1))</f>
        <v>387.78453964980849</v>
      </c>
      <c r="BJ76" s="59">
        <f t="shared" si="92"/>
        <v>395.13533152274488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42.811802659111748</v>
      </c>
      <c r="BQ76" s="21">
        <f>EXP(-LN(2)/25)*BQ75+(1-EXP(-LN(2)/25))/(LN(2)/25)*Calculateur!BL76*Calculateur!BN76*VLOOKUP('Données projet'!$B$11,Paramètres!$A$1:$I$89,3,0)*0.475*44/12</f>
        <v>2.5185310677971069</v>
      </c>
      <c r="BR76" s="21">
        <f>EXP(-LN(2)/2)*BR75+(1-EXP(-LN(2)/2))/(LN(2)/2)*BL76*BO76*VLOOKUP('Données projet'!$B$11,Paramètres!$A$1:$I$89,3,0)*0.475*44/12</f>
        <v>0.51311702254199698</v>
      </c>
      <c r="BS76" s="22">
        <f t="shared" si="63"/>
        <v>45.843450749450852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">
      <c r="A77" s="10">
        <f t="shared" si="85"/>
        <v>74</v>
      </c>
      <c r="B77" s="73">
        <f>'Scénario référence'!$B$16*5+'Scénario référence'!$B$17*0+'Scénario référence'!$B$18*5</f>
        <v>5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">
        <f t="shared" si="86"/>
        <v>0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18.333333333333332</v>
      </c>
      <c r="H77" s="67">
        <f t="shared" si="56"/>
        <v>183.33333333333334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295</v>
      </c>
      <c r="O77" s="13">
        <f>N77*VLOOKUP('Données projet'!$B$9,Paramètres!$A$1:$I$89,3,0)*VLOOKUP('Données projet'!$B$9,Paramètres!$A$1:$I$89,5,0)</f>
        <v>176.41000000000003</v>
      </c>
      <c r="P77" s="13">
        <f t="shared" si="87"/>
        <v>44.522543239204609</v>
      </c>
      <c r="Q77" s="20">
        <f t="shared" si="54"/>
        <v>384.79084614161474</v>
      </c>
      <c r="R77" s="59">
        <f t="shared" si="55"/>
        <v>653.01687524456565</v>
      </c>
      <c r="S77" s="59">
        <f ca="1">AVERAGE(OFFSET($R$3,0,0,'Données projet'!$E$9+1,1))-AVERAGE(OFFSET($H$3,0,0,'Données projet'!$E$9+1,1))</f>
        <v>219.4022220248072</v>
      </c>
      <c r="T77" s="59">
        <f t="shared" si="88"/>
        <v>199.30065726913725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24.235029411593029</v>
      </c>
      <c r="AA77" s="21">
        <f>EXP(-LN(2)/25)*AA76+(1-EXP(-LN(2)/25))/(LN(2)/25)*Calculateur!V77*Calculateur!X77*VLOOKUP('Données projet'!$B$9,Paramètres!$A$1:$I$89,3,0)*0.475*44/12</f>
        <v>4.600265870043053</v>
      </c>
      <c r="AB77" s="21">
        <f>EXP(-LN(2)/2)*AB76+(1-EXP(-LN(2)/2))/(LN(2)/2)*V77*Y77*VLOOKUP('Données projet'!$B$9,Paramètres!$A$1:$I$89,3,0)*0.475*44/12</f>
        <v>1.5494147232088929E-2</v>
      </c>
      <c r="AC77" s="22">
        <f t="shared" si="57"/>
        <v>28.850789428868172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6.2</v>
      </c>
      <c r="AI77" s="13">
        <f>IF('Données projet'!$A$62&gt;35,AI76+AH77-AQ76,IF(A77&lt;'Données projet'!$A$62,$AF$205^A77,IF(A77='Données projet'!$A$62,'Données projet'!$B$62,AI76+AH77-AQ76)))</f>
        <v>245.79999999999993</v>
      </c>
      <c r="AJ77" s="13">
        <f>AI77*VLOOKUP('Données projet'!$B$10,Paramètres!$A$1:$I$89,3,0)*VLOOKUP('Données projet'!$B$10,Paramètres!$A$1:$I$89,5,0)</f>
        <v>222.3998399999999</v>
      </c>
      <c r="AK77" s="13">
        <f t="shared" si="89"/>
        <v>54.636149281681448</v>
      </c>
      <c r="AL77" s="20">
        <f t="shared" si="58"/>
        <v>482.50434799892832</v>
      </c>
      <c r="AM77" s="59">
        <f t="shared" si="59"/>
        <v>750.73037710187918</v>
      </c>
      <c r="AN77" s="59">
        <f ca="1">AVERAGE(OFFSET($AM$3,0,0,'Données projet'!$E$10+1,1))-AVERAGE(OFFSET($H$3,0,0,'Données projet'!$E$10+1,1))</f>
        <v>406.64650428071837</v>
      </c>
      <c r="AO77" s="59">
        <f t="shared" si="90"/>
        <v>250.47702091764884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33.08918189362609</v>
      </c>
      <c r="AV77" s="21">
        <f>EXP(-LN(2)/25)*AV76+(1-EXP(-LN(2)/25))/(LN(2)/25)*Calculateur!AQ77*Calculateur!AS77*VLOOKUP('Données projet'!$B$10,Paramètres!$A$1:$I$89,3,0)*0.475*44/12</f>
        <v>1.9295803447478108</v>
      </c>
      <c r="AW77" s="21">
        <f>EXP(-LN(2)/2)*AW76+(1-EXP(-LN(2)/2))/(LN(2)/2)*AQ77*AT77*VLOOKUP('Données projet'!$B$10,Paramètres!$A$1:$I$89,3,0)*0.475*44/12</f>
        <v>0.32667222272697022</v>
      </c>
      <c r="AX77" s="21">
        <f t="shared" si="60"/>
        <v>35.345434461100872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290.99999999999994</v>
      </c>
      <c r="BE77" s="13">
        <f>BD77*VLOOKUP('Données projet'!$B$11,Paramètres!$A$1:$I$89,3,0)*VLOOKUP('Données projet'!$B$11,Paramètres!$A$1:$I$89,5,0)</f>
        <v>276.91559999999993</v>
      </c>
      <c r="BF77" s="13">
        <f t="shared" si="91"/>
        <v>66.314766879144742</v>
      </c>
      <c r="BG77" s="20">
        <f t="shared" si="61"/>
        <v>597.79288898117682</v>
      </c>
      <c r="BH77" s="59">
        <f t="shared" si="62"/>
        <v>866.01891808412768</v>
      </c>
      <c r="BI77" s="59">
        <f ca="1">AVERAGE(OFFSET($BH$3,0,0,'Données projet'!$E$11+1,1))-AVERAGE(OFFSET($H$3,0,0,'Données projet'!$E$11+1,1))</f>
        <v>387.78453964980849</v>
      </c>
      <c r="BJ77" s="59">
        <f t="shared" si="92"/>
        <v>395.13533152274488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41.97228932158778</v>
      </c>
      <c r="BQ77" s="21">
        <f>EXP(-LN(2)/25)*BQ76+(1-EXP(-LN(2)/25))/(LN(2)/25)*Calculateur!BL77*Calculateur!BN77*VLOOKUP('Données projet'!$B$11,Paramètres!$A$1:$I$89,3,0)*0.475*44/12</f>
        <v>2.4496617033044021</v>
      </c>
      <c r="BR77" s="21">
        <f>EXP(-LN(2)/2)*BR76+(1-EXP(-LN(2)/2))/(LN(2)/2)*BL77*BO77*VLOOKUP('Données projet'!$B$11,Paramètres!$A$1:$I$89,3,0)*0.475*44/12</f>
        <v>0.36282852618169664</v>
      </c>
      <c r="BS77" s="22">
        <f t="shared" si="63"/>
        <v>44.784779551073875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">
      <c r="A78" s="10">
        <f t="shared" si="85"/>
        <v>75</v>
      </c>
      <c r="B78" s="73">
        <f>'Scénario référence'!$B$16*5+'Scénario référence'!$B$17*0+'Scénario référence'!$B$18*5</f>
        <v>5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">
        <f t="shared" si="86"/>
        <v>0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18.333333333333332</v>
      </c>
      <c r="H78" s="67">
        <f t="shared" si="56"/>
        <v>183.33333333333334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295</v>
      </c>
      <c r="O78" s="13">
        <f>N78*VLOOKUP('Données projet'!$B$9,Paramètres!$A$1:$I$89,3,0)*VLOOKUP('Données projet'!$B$9,Paramètres!$A$1:$I$89,5,0)</f>
        <v>176.41000000000003</v>
      </c>
      <c r="P78" s="13">
        <f t="shared" si="87"/>
        <v>44.522543239204609</v>
      </c>
      <c r="Q78" s="20">
        <f t="shared" si="54"/>
        <v>384.79084614161474</v>
      </c>
      <c r="R78" s="59">
        <f t="shared" si="55"/>
        <v>653.45243084143954</v>
      </c>
      <c r="S78" s="59">
        <f ca="1">AVERAGE(OFFSET($R$3,0,0,'Données projet'!$E$9+1,1))-AVERAGE(OFFSET($H$3,0,0,'Données projet'!$E$9+1,1))</f>
        <v>219.4022220248072</v>
      </c>
      <c r="T78" s="59">
        <f t="shared" si="88"/>
        <v>199.30065726913725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23.759795266740038</v>
      </c>
      <c r="AA78" s="21">
        <f>EXP(-LN(2)/25)*AA77+(1-EXP(-LN(2)/25))/(LN(2)/25)*Calculateur!V78*Calculateur!X78*VLOOKUP('Données projet'!$B$9,Paramètres!$A$1:$I$89,3,0)*0.475*44/12</f>
        <v>4.4744713579092572</v>
      </c>
      <c r="AB78" s="21">
        <f>EXP(-LN(2)/2)*AB77+(1-EXP(-LN(2)/2))/(LN(2)/2)*V78*Y78*VLOOKUP('Données projet'!$B$9,Paramètres!$A$1:$I$89,3,0)*0.475*44/12</f>
        <v>1.0956016576512859E-2</v>
      </c>
      <c r="AC78" s="22">
        <f t="shared" si="57"/>
        <v>28.245222641225809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>
        <f>VLOOKUP(A78,'Données projet'!$A$61:$I$81,2,0)</f>
        <v>252</v>
      </c>
      <c r="AG78" s="12">
        <f>VLOOKUP(A78,'Données projet'!$A$61:$I$81,9,0)</f>
        <v>6.2</v>
      </c>
      <c r="AH78" s="12">
        <f t="array" ref="AH78">INDEX(AG:AG,MIN(IF(ISNUMBER(AG78:AG274),ROW(AG78:AG274),"")))</f>
        <v>6.2</v>
      </c>
      <c r="AI78" s="13">
        <f>IF('Données projet'!$A$62&gt;35,AI77+AH78-AQ77,IF(A78&lt;'Données projet'!$A$62,$AF$205^A78,IF(A78='Données projet'!$A$62,'Données projet'!$B$62,AI77+AH78-AQ77)))</f>
        <v>251.99999999999991</v>
      </c>
      <c r="AJ78" s="13">
        <f>AI78*VLOOKUP('Données projet'!$B$10,Paramètres!$A$1:$I$89,3,0)*VLOOKUP('Données projet'!$B$10,Paramètres!$A$1:$I$89,5,0)</f>
        <v>228.00959999999992</v>
      </c>
      <c r="AK78" s="13">
        <f t="shared" si="89"/>
        <v>55.852093054619829</v>
      </c>
      <c r="AL78" s="20">
        <f t="shared" si="58"/>
        <v>494.3924487367961</v>
      </c>
      <c r="AM78" s="59">
        <f t="shared" si="59"/>
        <v>763.0540334366209</v>
      </c>
      <c r="AN78" s="59">
        <f ca="1">AVERAGE(OFFSET($AM$3,0,0,'Données projet'!$E$10+1,1))-AVERAGE(OFFSET($H$3,0,0,'Données projet'!$E$10+1,1))</f>
        <v>406.64650428071837</v>
      </c>
      <c r="AO78" s="59">
        <f t="shared" si="90"/>
        <v>250.47702091764884</v>
      </c>
      <c r="AP78" s="15">
        <f>IF(ISNA(VLOOKUP(A78,'Données projet'!$A$61:$I$81,3,0)),0,VLOOKUP(A78,'Données projet'!$A$61:$I$81,3,0))</f>
        <v>11</v>
      </c>
      <c r="AQ78" s="15">
        <f>IF(ISNA(VLOOKUP(A78,'Données projet'!$A$61:$I$81,4,0)),0,VLOOKUP(A78,'Données projet'!$A$61:$I$81,4,0))</f>
        <v>21</v>
      </c>
      <c r="AR78" s="16">
        <f>IF(ISNA(VLOOKUP(A78,'Données projet'!$A$61:$I$81,5,0)),0%,VLOOKUP(A78,'Données projet'!$A$61:$I$81,5,0)*VLOOKUP('Données projet'!$B$10,Paramètres!$A$1:$I$89,7,0))</f>
        <v>0.34400000000000003</v>
      </c>
      <c r="AS78" s="16">
        <f>IF(ISNA(VLOOKUP(A78,'Données projet'!$A$61:$I$81,6,0)),0%,VLOOKUP(A78,'Données projet'!$A$61:$I$81,6,0)*VLOOKUP('Données projet'!$B$10,Paramètres!$A$1:$I$89,7,0))</f>
        <v>1.72E-2</v>
      </c>
      <c r="AT78" s="16">
        <f>IF(ISNA(VLOOKUP(A78,'Données projet'!$A$61:$I$81,7,0)),0%,VLOOKUP(A78,'Données projet'!$A$61:$I$81,7,0))</f>
        <v>0.06</v>
      </c>
      <c r="AU78" s="21">
        <f>EXP(-LN(2)/35)*AU77+(1-EXP(-LN(2)/35))/(LN(2)/35)*AQ78*AR78*VLOOKUP('Données projet'!$B$10,Paramètres!$A$1:$I$89,3,0)*0.475*44/12</f>
        <v>39.665981845176006</v>
      </c>
      <c r="AV78" s="21">
        <f>EXP(-LN(2)/25)*AV77+(1-EXP(-LN(2)/25))/(LN(2)/25)*Calculateur!AQ78*Calculateur!AS78*VLOOKUP('Données projet'!$B$10,Paramètres!$A$1:$I$89,3,0)*0.475*44/12</f>
        <v>2.2366762914921199</v>
      </c>
      <c r="AW78" s="21">
        <f>EXP(-LN(2)/2)*AW77+(1-EXP(-LN(2)/2))/(LN(2)/2)*AQ78*AT78*VLOOKUP('Données projet'!$B$10,Paramètres!$A$1:$I$89,3,0)*0.475*44/12</f>
        <v>1.3066581158575663</v>
      </c>
      <c r="AX78" s="21">
        <f t="shared" si="60"/>
        <v>43.209316252525689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290.99999999999994</v>
      </c>
      <c r="BE78" s="13">
        <f>BD78*VLOOKUP('Données projet'!$B$11,Paramètres!$A$1:$I$89,3,0)*VLOOKUP('Données projet'!$B$11,Paramètres!$A$1:$I$89,5,0)</f>
        <v>276.91559999999993</v>
      </c>
      <c r="BF78" s="13">
        <f t="shared" si="91"/>
        <v>66.314766879144742</v>
      </c>
      <c r="BG78" s="20">
        <f t="shared" si="61"/>
        <v>597.79288898117682</v>
      </c>
      <c r="BH78" s="59">
        <f t="shared" si="62"/>
        <v>866.45447368100167</v>
      </c>
      <c r="BI78" s="59">
        <f ca="1">AVERAGE(OFFSET($BH$3,0,0,'Données projet'!$E$11+1,1))-AVERAGE(OFFSET($H$3,0,0,'Données projet'!$E$11+1,1))</f>
        <v>387.78453964980849</v>
      </c>
      <c r="BJ78" s="59">
        <f t="shared" si="92"/>
        <v>395.13533152274488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41.149238328560081</v>
      </c>
      <c r="BQ78" s="21">
        <f>EXP(-LN(2)/25)*BQ77+(1-EXP(-LN(2)/25))/(LN(2)/25)*Calculateur!BL78*Calculateur!BN78*VLOOKUP('Données projet'!$B$11,Paramètres!$A$1:$I$89,3,0)*0.475*44/12</f>
        <v>2.3826755752054329</v>
      </c>
      <c r="BR78" s="21">
        <f>EXP(-LN(2)/2)*BR77+(1-EXP(-LN(2)/2))/(LN(2)/2)*BL78*BO78*VLOOKUP('Données projet'!$B$11,Paramètres!$A$1:$I$89,3,0)*0.475*44/12</f>
        <v>0.25655851127099849</v>
      </c>
      <c r="BS78" s="22">
        <f t="shared" si="63"/>
        <v>43.788472415036509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">
      <c r="A79" s="10">
        <f t="shared" si="85"/>
        <v>76</v>
      </c>
      <c r="B79" s="73">
        <f>'Scénario référence'!$B$16*5+'Scénario référence'!$B$17*0+'Scénario référence'!$B$18*5</f>
        <v>5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">
        <f t="shared" si="86"/>
        <v>0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18.333333333333332</v>
      </c>
      <c r="H79" s="67">
        <f t="shared" si="56"/>
        <v>183.33333333333334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295</v>
      </c>
      <c r="O79" s="13">
        <f>N79*VLOOKUP('Données projet'!$B$9,Paramètres!$A$1:$I$89,3,0)*VLOOKUP('Données projet'!$B$9,Paramètres!$A$1:$I$89,5,0)</f>
        <v>176.41000000000003</v>
      </c>
      <c r="P79" s="13">
        <f t="shared" si="87"/>
        <v>44.522543239204609</v>
      </c>
      <c r="Q79" s="20">
        <f t="shared" si="54"/>
        <v>384.79084614161474</v>
      </c>
      <c r="R79" s="59">
        <f t="shared" si="55"/>
        <v>653.88043052246417</v>
      </c>
      <c r="S79" s="59">
        <f ca="1">AVERAGE(OFFSET($R$3,0,0,'Données projet'!$E$9+1,1))-AVERAGE(OFFSET($H$3,0,0,'Données projet'!$E$9+1,1))</f>
        <v>219.4022220248072</v>
      </c>
      <c r="T79" s="59">
        <f t="shared" si="88"/>
        <v>199.30065726913725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23.293880173603409</v>
      </c>
      <c r="AA79" s="21">
        <f>EXP(-LN(2)/25)*AA78+(1-EXP(-LN(2)/25))/(LN(2)/25)*Calculateur!V79*Calculateur!X79*VLOOKUP('Données projet'!$B$9,Paramètres!$A$1:$I$89,3,0)*0.475*44/12</f>
        <v>4.3521167033250068</v>
      </c>
      <c r="AB79" s="21">
        <f>EXP(-LN(2)/2)*AB78+(1-EXP(-LN(2)/2))/(LN(2)/2)*V79*Y79*VLOOKUP('Données projet'!$B$9,Paramètres!$A$1:$I$89,3,0)*0.475*44/12</f>
        <v>7.7470736160444665E-3</v>
      </c>
      <c r="AC79" s="22">
        <f t="shared" si="57"/>
        <v>27.65374395054446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6</v>
      </c>
      <c r="AI79" s="13">
        <f>IF('Données projet'!$A$62&gt;35,AI78+AH79-AQ78,IF(A79&lt;'Données projet'!$A$62,$AF$205^A79,IF(A79='Données projet'!$A$62,'Données projet'!$B$62,AI78+AH79-AQ78)))</f>
        <v>236.99999999999989</v>
      </c>
      <c r="AJ79" s="13">
        <f>AI79*VLOOKUP('Données projet'!$B$10,Paramètres!$A$1:$I$89,3,0)*VLOOKUP('Données projet'!$B$10,Paramètres!$A$1:$I$89,5,0)</f>
        <v>214.43759999999989</v>
      </c>
      <c r="AK79" s="13">
        <f t="shared" si="89"/>
        <v>52.904129603372375</v>
      </c>
      <c r="AL79" s="20">
        <f t="shared" si="58"/>
        <v>465.62017905920658</v>
      </c>
      <c r="AM79" s="59">
        <f t="shared" si="59"/>
        <v>734.70976344005601</v>
      </c>
      <c r="AN79" s="59">
        <f ca="1">AVERAGE(OFFSET($AM$3,0,0,'Données projet'!$E$10+1,1))-AVERAGE(OFFSET($H$3,0,0,'Données projet'!$E$10+1,1))</f>
        <v>406.64650428071837</v>
      </c>
      <c r="AO79" s="59">
        <f t="shared" si="90"/>
        <v>250.47702091764884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38.888156135052085</v>
      </c>
      <c r="AV79" s="21">
        <f>EXP(-LN(2)/25)*AV78+(1-EXP(-LN(2)/25))/(LN(2)/25)*Calculateur!AQ79*Calculateur!AS79*VLOOKUP('Données projet'!$B$10,Paramètres!$A$1:$I$89,3,0)*0.475*44/12</f>
        <v>2.1755142606795737</v>
      </c>
      <c r="AW79" s="21">
        <f>EXP(-LN(2)/2)*AW78+(1-EXP(-LN(2)/2))/(LN(2)/2)*AQ79*AT79*VLOOKUP('Données projet'!$B$10,Paramètres!$A$1:$I$89,3,0)*0.475*44/12</f>
        <v>0.92394681441532267</v>
      </c>
      <c r="AX79" s="21">
        <f t="shared" si="60"/>
        <v>41.987617210146986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290.99999999999994</v>
      </c>
      <c r="BE79" s="13">
        <f>BD79*VLOOKUP('Données projet'!$B$11,Paramètres!$A$1:$I$89,3,0)*VLOOKUP('Données projet'!$B$11,Paramètres!$A$1:$I$89,5,0)</f>
        <v>276.91559999999993</v>
      </c>
      <c r="BF79" s="13">
        <f t="shared" si="91"/>
        <v>66.314766879144742</v>
      </c>
      <c r="BG79" s="20">
        <f t="shared" si="61"/>
        <v>597.79288898117682</v>
      </c>
      <c r="BH79" s="59">
        <f t="shared" si="62"/>
        <v>866.8824733620263</v>
      </c>
      <c r="BI79" s="59">
        <f ca="1">AVERAGE(OFFSET($BH$3,0,0,'Données projet'!$E$11+1,1))-AVERAGE(OFFSET($H$3,0,0,'Données projet'!$E$11+1,1))</f>
        <v>387.78453964980849</v>
      </c>
      <c r="BJ79" s="59">
        <f t="shared" si="92"/>
        <v>395.13533152274488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40.342326863494122</v>
      </c>
      <c r="BQ79" s="21">
        <f>EXP(-LN(2)/25)*BQ78+(1-EXP(-LN(2)/25))/(LN(2)/25)*Calculateur!BL79*Calculateur!BN79*VLOOKUP('Données projet'!$B$11,Paramètres!$A$1:$I$89,3,0)*0.475*44/12</f>
        <v>2.3175211863019776</v>
      </c>
      <c r="BR79" s="21">
        <f>EXP(-LN(2)/2)*BR78+(1-EXP(-LN(2)/2))/(LN(2)/2)*BL79*BO79*VLOOKUP('Données projet'!$B$11,Paramètres!$A$1:$I$89,3,0)*0.475*44/12</f>
        <v>0.18141426309084832</v>
      </c>
      <c r="BS79" s="22">
        <f t="shared" si="63"/>
        <v>42.841262312886947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">
      <c r="A80" s="10">
        <f t="shared" si="85"/>
        <v>77</v>
      </c>
      <c r="B80" s="73">
        <f>'Scénario référence'!$B$16*5+'Scénario référence'!$B$17*0+'Scénario référence'!$B$18*5</f>
        <v>5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">
        <f t="shared" si="86"/>
        <v>0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18.333333333333332</v>
      </c>
      <c r="H80" s="67">
        <f t="shared" si="56"/>
        <v>183.33333333333334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295</v>
      </c>
      <c r="O80" s="13">
        <f>N80*VLOOKUP('Données projet'!$B$9,Paramètres!$A$1:$I$89,3,0)*VLOOKUP('Données projet'!$B$9,Paramètres!$A$1:$I$89,5,0)</f>
        <v>176.41000000000003</v>
      </c>
      <c r="P80" s="13">
        <f t="shared" si="87"/>
        <v>44.522543239204609</v>
      </c>
      <c r="Q80" s="20">
        <f t="shared" si="54"/>
        <v>384.79084614161474</v>
      </c>
      <c r="R80" s="59">
        <f t="shared" si="55"/>
        <v>654.30100536588702</v>
      </c>
      <c r="S80" s="59">
        <f ca="1">AVERAGE(OFFSET($R$3,0,0,'Données projet'!$E$9+1,1))-AVERAGE(OFFSET($H$3,0,0,'Données projet'!$E$9+1,1))</f>
        <v>219.4022220248072</v>
      </c>
      <c r="T80" s="59">
        <f t="shared" si="88"/>
        <v>199.30065726913725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22.83710139126304</v>
      </c>
      <c r="AA80" s="21">
        <f>EXP(-LN(2)/25)*AA79+(1-EXP(-LN(2)/25))/(LN(2)/25)*Calculateur!V80*Calculateur!X80*VLOOKUP('Données projet'!$B$9,Paramètres!$A$1:$I$89,3,0)*0.475*44/12</f>
        <v>4.2331078432047136</v>
      </c>
      <c r="AB80" s="21">
        <f>EXP(-LN(2)/2)*AB79+(1-EXP(-LN(2)/2))/(LN(2)/2)*V80*Y80*VLOOKUP('Données projet'!$B$9,Paramètres!$A$1:$I$89,3,0)*0.475*44/12</f>
        <v>5.4780082882564304E-3</v>
      </c>
      <c r="AC80" s="22">
        <f t="shared" si="57"/>
        <v>27.075687242756011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6</v>
      </c>
      <c r="AI80" s="13">
        <f>IF('Données projet'!$A$62&gt;35,AI79+AH80-AQ79,IF(A80&lt;'Données projet'!$A$62,$AF$205^A80,IF(A80='Données projet'!$A$62,'Données projet'!$B$62,AI79+AH80-AQ79)))</f>
        <v>242.99999999999989</v>
      </c>
      <c r="AJ80" s="13">
        <f>AI80*VLOOKUP('Données projet'!$B$10,Paramètres!$A$1:$I$89,3,0)*VLOOKUP('Données projet'!$B$10,Paramètres!$A$1:$I$89,5,0)</f>
        <v>219.86639999999989</v>
      </c>
      <c r="AK80" s="13">
        <f t="shared" si="89"/>
        <v>54.085847394182416</v>
      </c>
      <c r="AL80" s="20">
        <f t="shared" si="58"/>
        <v>477.13349754486745</v>
      </c>
      <c r="AM80" s="59">
        <f t="shared" si="59"/>
        <v>746.64365676913974</v>
      </c>
      <c r="AN80" s="59">
        <f ca="1">AVERAGE(OFFSET($AM$3,0,0,'Données projet'!$E$10+1,1))-AVERAGE(OFFSET($H$3,0,0,'Données projet'!$E$10+1,1))</f>
        <v>406.64650428071837</v>
      </c>
      <c r="AO80" s="59">
        <f t="shared" si="90"/>
        <v>250.47702091764884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38.125583112676857</v>
      </c>
      <c r="AV80" s="21">
        <f>EXP(-LN(2)/25)*AV79+(1-EXP(-LN(2)/25))/(LN(2)/25)*Calculateur!AQ80*Calculateur!AS80*VLOOKUP('Données projet'!$B$10,Paramètres!$A$1:$I$89,3,0)*0.475*44/12</f>
        <v>2.116024708815968</v>
      </c>
      <c r="AW80" s="21">
        <f>EXP(-LN(2)/2)*AW79+(1-EXP(-LN(2)/2))/(LN(2)/2)*AQ80*AT80*VLOOKUP('Données projet'!$B$10,Paramètres!$A$1:$I$89,3,0)*0.475*44/12</f>
        <v>0.65332905792878326</v>
      </c>
      <c r="AX80" s="21">
        <f t="shared" si="60"/>
        <v>40.894936879421614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290.99999999999994</v>
      </c>
      <c r="BE80" s="13">
        <f>BD80*VLOOKUP('Données projet'!$B$11,Paramètres!$A$1:$I$89,3,0)*VLOOKUP('Données projet'!$B$11,Paramètres!$A$1:$I$89,5,0)</f>
        <v>276.91559999999993</v>
      </c>
      <c r="BF80" s="13">
        <f t="shared" si="91"/>
        <v>66.314766879144742</v>
      </c>
      <c r="BG80" s="20">
        <f t="shared" si="61"/>
        <v>597.79288898117682</v>
      </c>
      <c r="BH80" s="59">
        <f t="shared" si="62"/>
        <v>867.30304820544916</v>
      </c>
      <c r="BI80" s="59">
        <f ca="1">AVERAGE(OFFSET($BH$3,0,0,'Données projet'!$E$11+1,1))-AVERAGE(OFFSET($H$3,0,0,'Données projet'!$E$11+1,1))</f>
        <v>387.78453964980849</v>
      </c>
      <c r="BJ80" s="59">
        <f t="shared" si="92"/>
        <v>395.13533152274488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39.551238440090707</v>
      </c>
      <c r="BQ80" s="21">
        <f>EXP(-LN(2)/25)*BQ79+(1-EXP(-LN(2)/25))/(LN(2)/25)*Calculateur!BL80*Calculateur!BN80*VLOOKUP('Données projet'!$B$11,Paramètres!$A$1:$I$89,3,0)*0.475*44/12</f>
        <v>2.2541484475894076</v>
      </c>
      <c r="BR80" s="21">
        <f>EXP(-LN(2)/2)*BR79+(1-EXP(-LN(2)/2))/(LN(2)/2)*BL80*BO80*VLOOKUP('Données projet'!$B$11,Paramètres!$A$1:$I$89,3,0)*0.475*44/12</f>
        <v>0.12827925563549925</v>
      </c>
      <c r="BS80" s="22">
        <f t="shared" si="63"/>
        <v>41.933666143315612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">
      <c r="A81" s="10">
        <f t="shared" si="85"/>
        <v>78</v>
      </c>
      <c r="B81" s="73">
        <f>'Scénario référence'!$B$16*5+'Scénario référence'!$B$17*0+'Scénario référence'!$B$18*5</f>
        <v>5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">
        <f t="shared" si="86"/>
        <v>0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18.333333333333332</v>
      </c>
      <c r="H81" s="67">
        <f t="shared" si="56"/>
        <v>183.33333333333334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295</v>
      </c>
      <c r="O81" s="13">
        <f>N81*VLOOKUP('Données projet'!$B$9,Paramètres!$A$1:$I$89,3,0)*VLOOKUP('Données projet'!$B$9,Paramètres!$A$1:$I$89,5,0)</f>
        <v>176.41000000000003</v>
      </c>
      <c r="P81" s="13">
        <f t="shared" si="87"/>
        <v>44.522543239204609</v>
      </c>
      <c r="Q81" s="20">
        <f t="shared" si="54"/>
        <v>384.79084614161474</v>
      </c>
      <c r="R81" s="59">
        <f t="shared" si="55"/>
        <v>654.71428417604102</v>
      </c>
      <c r="S81" s="59">
        <f ca="1">AVERAGE(OFFSET($R$3,0,0,'Données projet'!$E$9+1,1))-AVERAGE(OFFSET($H$3,0,0,'Données projet'!$E$9+1,1))</f>
        <v>219.4022220248072</v>
      </c>
      <c r="T81" s="59">
        <f t="shared" si="88"/>
        <v>199.30065726913725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22.389279762236821</v>
      </c>
      <c r="AA81" s="21">
        <f>EXP(-LN(2)/25)*AA80+(1-EXP(-LN(2)/25))/(LN(2)/25)*Calculateur!V81*Calculateur!X81*VLOOKUP('Données projet'!$B$9,Paramètres!$A$1:$I$89,3,0)*0.475*44/12</f>
        <v>4.117353286622814</v>
      </c>
      <c r="AB81" s="21">
        <f>EXP(-LN(2)/2)*AB80+(1-EXP(-LN(2)/2))/(LN(2)/2)*V81*Y81*VLOOKUP('Données projet'!$B$9,Paramètres!$A$1:$I$89,3,0)*0.475*44/12</f>
        <v>3.8735368080222337E-3</v>
      </c>
      <c r="AC81" s="22">
        <f t="shared" si="57"/>
        <v>26.510506585667656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6</v>
      </c>
      <c r="AI81" s="13">
        <f>IF('Données projet'!$A$62&gt;35,AI80+AH81-AQ80,IF(A81&lt;'Données projet'!$A$62,$AF$205^A81,IF(A81='Données projet'!$A$62,'Données projet'!$B$62,AI80+AH81-AQ80)))</f>
        <v>248.99999999999989</v>
      </c>
      <c r="AJ81" s="13">
        <f>AI81*VLOOKUP('Données projet'!$B$10,Paramètres!$A$1:$I$89,3,0)*VLOOKUP('Données projet'!$B$10,Paramètres!$A$1:$I$89,5,0)</f>
        <v>225.29519999999991</v>
      </c>
      <c r="AK81" s="13">
        <f t="shared" si="89"/>
        <v>55.264173352293078</v>
      </c>
      <c r="AL81" s="20">
        <f t="shared" si="58"/>
        <v>488.64090858857691</v>
      </c>
      <c r="AM81" s="59">
        <f t="shared" si="59"/>
        <v>758.56434662300308</v>
      </c>
      <c r="AN81" s="59">
        <f ca="1">AVERAGE(OFFSET($AM$3,0,0,'Données projet'!$E$10+1,1))-AVERAGE(OFFSET($H$3,0,0,'Données projet'!$E$10+1,1))</f>
        <v>406.64650428071837</v>
      </c>
      <c r="AO81" s="59">
        <f t="shared" si="90"/>
        <v>250.47702091764884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37.377963682146792</v>
      </c>
      <c r="AV81" s="21">
        <f>EXP(-LN(2)/25)*AV80+(1-EXP(-LN(2)/25))/(LN(2)/25)*Calculateur!AQ81*Calculateur!AS81*VLOOKUP('Données projet'!$B$10,Paramètres!$A$1:$I$89,3,0)*0.475*44/12</f>
        <v>2.0581619018764923</v>
      </c>
      <c r="AW81" s="21">
        <f>EXP(-LN(2)/2)*AW80+(1-EXP(-LN(2)/2))/(LN(2)/2)*AQ81*AT81*VLOOKUP('Données projet'!$B$10,Paramètres!$A$1:$I$89,3,0)*0.475*44/12</f>
        <v>0.46197340720766139</v>
      </c>
      <c r="AX81" s="21">
        <f t="shared" si="60"/>
        <v>39.898098991230945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290.99999999999994</v>
      </c>
      <c r="BE81" s="13">
        <f>BD81*VLOOKUP('Données projet'!$B$11,Paramètres!$A$1:$I$89,3,0)*VLOOKUP('Données projet'!$B$11,Paramètres!$A$1:$I$89,5,0)</f>
        <v>276.91559999999993</v>
      </c>
      <c r="BF81" s="13">
        <f t="shared" si="91"/>
        <v>66.314766879144742</v>
      </c>
      <c r="BG81" s="20">
        <f t="shared" si="61"/>
        <v>597.79288898117682</v>
      </c>
      <c r="BH81" s="59">
        <f t="shared" si="62"/>
        <v>867.71632701560304</v>
      </c>
      <c r="BI81" s="59">
        <f ca="1">AVERAGE(OFFSET($BH$3,0,0,'Données projet'!$E$11+1,1))-AVERAGE(OFFSET($H$3,0,0,'Données projet'!$E$11+1,1))</f>
        <v>387.78453964980849</v>
      </c>
      <c r="BJ81" s="59">
        <f t="shared" si="92"/>
        <v>395.13533152274488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38.775662778153944</v>
      </c>
      <c r="BQ81" s="21">
        <f>EXP(-LN(2)/25)*BQ80+(1-EXP(-LN(2)/25))/(LN(2)/25)*Calculateur!BL81*Calculateur!BN81*VLOOKUP('Données projet'!$B$11,Paramètres!$A$1:$I$89,3,0)*0.475*44/12</f>
        <v>2.1925086397495601</v>
      </c>
      <c r="BR81" s="21">
        <f>EXP(-LN(2)/2)*BR80+(1-EXP(-LN(2)/2))/(LN(2)/2)*BL81*BO81*VLOOKUP('Données projet'!$B$11,Paramètres!$A$1:$I$89,3,0)*0.475*44/12</f>
        <v>9.0707131545424161E-2</v>
      </c>
      <c r="BS81" s="22">
        <f t="shared" si="63"/>
        <v>41.058878549448927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">
      <c r="A82" s="10">
        <f t="shared" si="85"/>
        <v>79</v>
      </c>
      <c r="B82" s="73">
        <f>'Scénario référence'!$B$16*5+'Scénario référence'!$B$17*0+'Scénario référence'!$B$18*5</f>
        <v>5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">
        <f t="shared" si="86"/>
        <v>0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18.333333333333332</v>
      </c>
      <c r="H82" s="67">
        <f t="shared" si="56"/>
        <v>183.33333333333334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295</v>
      </c>
      <c r="O82" s="13">
        <f>N82*VLOOKUP('Données projet'!$B$9,Paramètres!$A$1:$I$89,3,0)*VLOOKUP('Données projet'!$B$9,Paramètres!$A$1:$I$89,5,0)</f>
        <v>176.41000000000003</v>
      </c>
      <c r="P82" s="13">
        <f t="shared" si="87"/>
        <v>44.522543239204609</v>
      </c>
      <c r="Q82" s="20">
        <f t="shared" si="54"/>
        <v>384.79084614161474</v>
      </c>
      <c r="R82" s="59">
        <f t="shared" si="55"/>
        <v>655.12039352279169</v>
      </c>
      <c r="S82" s="59">
        <f ca="1">AVERAGE(OFFSET($R$3,0,0,'Données projet'!$E$9+1,1))-AVERAGE(OFFSET($H$3,0,0,'Données projet'!$E$9+1,1))</f>
        <v>219.4022220248072</v>
      </c>
      <c r="T82" s="59">
        <f t="shared" si="88"/>
        <v>199.30065726913725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21.950239642211582</v>
      </c>
      <c r="AA82" s="21">
        <f>EXP(-LN(2)/25)*AA81+(1-EXP(-LN(2)/25))/(LN(2)/25)*Calculateur!V82*Calculateur!X82*VLOOKUP('Données projet'!$B$9,Paramètres!$A$1:$I$89,3,0)*0.475*44/12</f>
        <v>4.0047640444779145</v>
      </c>
      <c r="AB82" s="21">
        <f>EXP(-LN(2)/2)*AB81+(1-EXP(-LN(2)/2))/(LN(2)/2)*V82*Y82*VLOOKUP('Données projet'!$B$9,Paramètres!$A$1:$I$89,3,0)*0.475*44/12</f>
        <v>2.7390041441282156E-3</v>
      </c>
      <c r="AC82" s="22">
        <f t="shared" si="57"/>
        <v>25.957742690833623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6</v>
      </c>
      <c r="AI82" s="13">
        <f>IF('Données projet'!$A$62&gt;35,AI81+AH82-AQ81,IF(A82&lt;'Données projet'!$A$62,$AF$205^A82,IF(A82='Données projet'!$A$62,'Données projet'!$B$62,AI81+AH82-AQ81)))</f>
        <v>254.99999999999989</v>
      </c>
      <c r="AJ82" s="13">
        <f>AI82*VLOOKUP('Données projet'!$B$10,Paramètres!$A$1:$I$89,3,0)*VLOOKUP('Données projet'!$B$10,Paramètres!$A$1:$I$89,5,0)</f>
        <v>230.72399999999988</v>
      </c>
      <c r="AK82" s="13">
        <f t="shared" si="89"/>
        <v>56.439198612082045</v>
      </c>
      <c r="AL82" s="20">
        <f t="shared" si="58"/>
        <v>500.14257091604264</v>
      </c>
      <c r="AM82" s="59">
        <f t="shared" si="59"/>
        <v>770.47211829721959</v>
      </c>
      <c r="AN82" s="59">
        <f ca="1">AVERAGE(OFFSET($AM$3,0,0,'Données projet'!$E$10+1,1))-AVERAGE(OFFSET($H$3,0,0,'Données projet'!$E$10+1,1))</f>
        <v>406.64650428071837</v>
      </c>
      <c r="AO82" s="59">
        <f t="shared" si="90"/>
        <v>250.47702091764884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36.645004612646595</v>
      </c>
      <c r="AV82" s="21">
        <f>EXP(-LN(2)/25)*AV81+(1-EXP(-LN(2)/25))/(LN(2)/25)*Calculateur!AQ82*Calculateur!AS82*VLOOKUP('Données projet'!$B$10,Paramètres!$A$1:$I$89,3,0)*0.475*44/12</f>
        <v>2.001881356435649</v>
      </c>
      <c r="AW82" s="21">
        <f>EXP(-LN(2)/2)*AW81+(1-EXP(-LN(2)/2))/(LN(2)/2)*AQ82*AT82*VLOOKUP('Données projet'!$B$10,Paramètres!$A$1:$I$89,3,0)*0.475*44/12</f>
        <v>0.32666452896439169</v>
      </c>
      <c r="AX82" s="21">
        <f t="shared" si="60"/>
        <v>38.973550498046635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290.99999999999994</v>
      </c>
      <c r="BE82" s="13">
        <f>BD82*VLOOKUP('Données projet'!$B$11,Paramètres!$A$1:$I$89,3,0)*VLOOKUP('Données projet'!$B$11,Paramètres!$A$1:$I$89,5,0)</f>
        <v>276.91559999999993</v>
      </c>
      <c r="BF82" s="13">
        <f t="shared" si="91"/>
        <v>66.314766879144742</v>
      </c>
      <c r="BG82" s="20">
        <f t="shared" si="61"/>
        <v>597.79288898117682</v>
      </c>
      <c r="BH82" s="59">
        <f t="shared" si="62"/>
        <v>868.12243636235371</v>
      </c>
      <c r="BI82" s="59">
        <f ca="1">AVERAGE(OFFSET($BH$3,0,0,'Données projet'!$E$11+1,1))-AVERAGE(OFFSET($H$3,0,0,'Données projet'!$E$11+1,1))</f>
        <v>387.78453964980849</v>
      </c>
      <c r="BJ82" s="59">
        <f t="shared" si="92"/>
        <v>395.13533152274488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38.015295681893313</v>
      </c>
      <c r="BQ82" s="21">
        <f>EXP(-LN(2)/25)*BQ81+(1-EXP(-LN(2)/25))/(LN(2)/25)*Calculateur!BL82*Calculateur!BN82*VLOOKUP('Données projet'!$B$11,Paramètres!$A$1:$I$89,3,0)*0.475*44/12</f>
        <v>2.1325543756965901</v>
      </c>
      <c r="BR82" s="21">
        <f>EXP(-LN(2)/2)*BR81+(1-EXP(-LN(2)/2))/(LN(2)/2)*BL82*BO82*VLOOKUP('Données projet'!$B$11,Paramètres!$A$1:$I$89,3,0)*0.475*44/12</f>
        <v>6.4139627817749623E-2</v>
      </c>
      <c r="BS82" s="22">
        <f t="shared" si="63"/>
        <v>40.211989685407659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">
      <c r="A83" s="10">
        <f t="shared" si="85"/>
        <v>80</v>
      </c>
      <c r="B83" s="73">
        <f>'Scénario référence'!$B$16*5+'Scénario référence'!$B$17*0+'Scénario référence'!$B$18*5</f>
        <v>5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">
        <f t="shared" si="86"/>
        <v>0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18.333333333333332</v>
      </c>
      <c r="H83" s="67">
        <f t="shared" si="56"/>
        <v>183.33333333333334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295</v>
      </c>
      <c r="O83" s="13">
        <f>N83*VLOOKUP('Données projet'!$B$9,Paramètres!$A$1:$I$89,3,0)*VLOOKUP('Données projet'!$B$9,Paramètres!$A$1:$I$89,5,0)</f>
        <v>176.41000000000003</v>
      </c>
      <c r="P83" s="13">
        <f t="shared" si="87"/>
        <v>44.522543239204609</v>
      </c>
      <c r="Q83" s="20">
        <f t="shared" si="54"/>
        <v>384.79084614161474</v>
      </c>
      <c r="R83" s="59">
        <f t="shared" si="55"/>
        <v>655.51945778030085</v>
      </c>
      <c r="S83" s="59">
        <f ca="1">AVERAGE(OFFSET($R$3,0,0,'Données projet'!$E$9+1,1))-AVERAGE(OFFSET($H$3,0,0,'Données projet'!$E$9+1,1))</f>
        <v>219.4022220248072</v>
      </c>
      <c r="T83" s="59">
        <f t="shared" si="88"/>
        <v>199.30065726913725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21.519808831152005</v>
      </c>
      <c r="AA83" s="21">
        <f>EXP(-LN(2)/25)*AA82+(1-EXP(-LN(2)/25))/(LN(2)/25)*Calculateur!V83*Calculateur!X83*VLOOKUP('Données projet'!$B$9,Paramètres!$A$1:$I$89,3,0)*0.475*44/12</f>
        <v>3.8952535610802776</v>
      </c>
      <c r="AB83" s="21">
        <f>EXP(-LN(2)/2)*AB82+(1-EXP(-LN(2)/2))/(LN(2)/2)*V83*Y83*VLOOKUP('Données projet'!$B$9,Paramètres!$A$1:$I$89,3,0)*0.475*44/12</f>
        <v>1.9367684040111173E-3</v>
      </c>
      <c r="AC83" s="22">
        <f t="shared" si="57"/>
        <v>25.416999160636294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>
        <f>VLOOKUP(A83,'Données projet'!$A$61:$I$81,2,0)</f>
        <v>261</v>
      </c>
      <c r="AG83" s="12">
        <f>VLOOKUP(A83,'Données projet'!$A$61:$I$81,9,0)</f>
        <v>6</v>
      </c>
      <c r="AH83" s="12">
        <f t="array" ref="AH83">INDEX(AG:AG,MIN(IF(ISNUMBER(AG83:AG279),ROW(AG83:AG279),"")))</f>
        <v>6</v>
      </c>
      <c r="AI83" s="13">
        <f>IF('Données projet'!$A$62&gt;35,AI82+AH83-AQ82,IF(A83&lt;'Données projet'!$A$62,$AF$205^A83,IF(A83='Données projet'!$A$62,'Données projet'!$B$62,AI82+AH83-AQ82)))</f>
        <v>260.99999999999989</v>
      </c>
      <c r="AJ83" s="13">
        <f>AI83*VLOOKUP('Données projet'!$B$10,Paramètres!$A$1:$I$89,3,0)*VLOOKUP('Données projet'!$B$10,Paramètres!$A$1:$I$89,5,0)</f>
        <v>236.15279999999987</v>
      </c>
      <c r="AK83" s="13">
        <f t="shared" si="89"/>
        <v>57.61100977459931</v>
      </c>
      <c r="AL83" s="20">
        <f t="shared" si="58"/>
        <v>511.63863535742689</v>
      </c>
      <c r="AM83" s="59">
        <f t="shared" si="59"/>
        <v>782.36724699611295</v>
      </c>
      <c r="AN83" s="59">
        <f ca="1">AVERAGE(OFFSET($AM$3,0,0,'Données projet'!$E$10+1,1))-AVERAGE(OFFSET($H$3,0,0,'Données projet'!$E$10+1,1))</f>
        <v>406.64650428071837</v>
      </c>
      <c r="AO83" s="59">
        <f t="shared" si="90"/>
        <v>250.47702091764884</v>
      </c>
      <c r="AP83" s="15">
        <f>IF(ISNA(VLOOKUP(A83,'Données projet'!$A$61:$I$81,3,0)),0,VLOOKUP(A83,'Données projet'!$A$61:$I$81,3,0))</f>
        <v>12</v>
      </c>
      <c r="AQ83" s="15">
        <f>IF(ISNA(VLOOKUP(A83,'Données projet'!$A$61:$I$81,4,0)),0,VLOOKUP(A83,'Données projet'!$A$61:$I$81,4,0))</f>
        <v>21</v>
      </c>
      <c r="AR83" s="16">
        <f>IF(ISNA(VLOOKUP(A83,'Données projet'!$A$61:$I$81,5,0)),0%,VLOOKUP(A83,'Données projet'!$A$61:$I$81,5,0)*VLOOKUP('Données projet'!$B$10,Paramètres!$A$1:$I$89,7,0))</f>
        <v>0.34400000000000003</v>
      </c>
      <c r="AS83" s="16">
        <f>IF(ISNA(VLOOKUP(A83,'Données projet'!$A$61:$I$81,6,0)),0%,VLOOKUP(A83,'Données projet'!$A$61:$I$81,6,0)*VLOOKUP('Données projet'!$B$10,Paramètres!$A$1:$I$89,7,0))</f>
        <v>1.72E-2</v>
      </c>
      <c r="AT83" s="16">
        <f>IF(ISNA(VLOOKUP(A83,'Données projet'!$A$61:$I$81,7,0)),0%,VLOOKUP(A83,'Données projet'!$A$61:$I$81,7,0))</f>
        <v>0.06</v>
      </c>
      <c r="AU83" s="21">
        <f>EXP(-LN(2)/35)*AU82+(1-EXP(-LN(2)/35))/(LN(2)/35)*AQ83*AR83*VLOOKUP('Données projet'!$B$10,Paramètres!$A$1:$I$89,3,0)*0.475*44/12</f>
        <v>43.152077049514219</v>
      </c>
      <c r="AV83" s="21">
        <f>EXP(-LN(2)/25)*AV82+(1-EXP(-LN(2)/25))/(LN(2)/25)*Calculateur!AQ83*Calculateur!AS83*VLOOKUP('Données projet'!$B$10,Paramètres!$A$1:$I$89,3,0)*0.475*44/12</f>
        <v>2.3070002282132092</v>
      </c>
      <c r="AW83" s="21">
        <f>EXP(-LN(2)/2)*AW82+(1-EXP(-LN(2)/2))/(LN(2)/2)*AQ83*AT83*VLOOKUP('Données projet'!$B$10,Paramètres!$A$1:$I$89,3,0)*0.475*44/12</f>
        <v>1.3066526755458741</v>
      </c>
      <c r="AX83" s="21">
        <f t="shared" si="60"/>
        <v>46.765729953273308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290.99999999999994</v>
      </c>
      <c r="BE83" s="13">
        <f>BD83*VLOOKUP('Données projet'!$B$11,Paramètres!$A$1:$I$89,3,0)*VLOOKUP('Données projet'!$B$11,Paramètres!$A$1:$I$89,5,0)</f>
        <v>276.91559999999993</v>
      </c>
      <c r="BF83" s="13">
        <f t="shared" si="91"/>
        <v>66.314766879144742</v>
      </c>
      <c r="BG83" s="20">
        <f t="shared" si="61"/>
        <v>597.79288898117682</v>
      </c>
      <c r="BH83" s="59">
        <f t="shared" si="62"/>
        <v>868.52150061986299</v>
      </c>
      <c r="BI83" s="59">
        <f ca="1">AVERAGE(OFFSET($BH$3,0,0,'Données projet'!$E$11+1,1))-AVERAGE(OFFSET($H$3,0,0,'Données projet'!$E$11+1,1))</f>
        <v>387.78453964980849</v>
      </c>
      <c r="BJ83" s="59">
        <f t="shared" si="92"/>
        <v>395.13533152274488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37.269838920612223</v>
      </c>
      <c r="BQ83" s="21">
        <f>EXP(-LN(2)/25)*BQ82+(1-EXP(-LN(2)/25))/(LN(2)/25)*Calculateur!BL83*Calculateur!BN83*VLOOKUP('Données projet'!$B$11,Paramètres!$A$1:$I$89,3,0)*0.475*44/12</f>
        <v>2.0742395641470064</v>
      </c>
      <c r="BR83" s="21">
        <f>EXP(-LN(2)/2)*BR82+(1-EXP(-LN(2)/2))/(LN(2)/2)*BL83*BO83*VLOOKUP('Données projet'!$B$11,Paramètres!$A$1:$I$89,3,0)*0.475*44/12</f>
        <v>4.535356577271208E-2</v>
      </c>
      <c r="BS83" s="22">
        <f t="shared" si="63"/>
        <v>39.389432050531944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">
      <c r="A84" s="10">
        <f t="shared" si="85"/>
        <v>81</v>
      </c>
      <c r="B84" s="73">
        <f>'Scénario référence'!$B$16*5+'Scénario référence'!$B$17*0+'Scénario référence'!$B$18*5</f>
        <v>5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">
        <f t="shared" si="86"/>
        <v>0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18.333333333333332</v>
      </c>
      <c r="H84" s="67">
        <f t="shared" si="56"/>
        <v>183.33333333333334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295</v>
      </c>
      <c r="O84" s="13">
        <f>N84*VLOOKUP('Données projet'!$B$9,Paramètres!$A$1:$I$89,3,0)*VLOOKUP('Données projet'!$B$9,Paramètres!$A$1:$I$89,5,0)</f>
        <v>176.41000000000003</v>
      </c>
      <c r="P84" s="13">
        <f t="shared" si="87"/>
        <v>44.522543239204609</v>
      </c>
      <c r="Q84" s="20">
        <f t="shared" si="54"/>
        <v>384.79084614161474</v>
      </c>
      <c r="R84" s="59">
        <f t="shared" si="55"/>
        <v>655.91159916511617</v>
      </c>
      <c r="S84" s="59">
        <f ca="1">AVERAGE(OFFSET($R$3,0,0,'Données projet'!$E$9+1,1))-AVERAGE(OFFSET($H$3,0,0,'Données projet'!$E$9+1,1))</f>
        <v>219.4022220248072</v>
      </c>
      <c r="T84" s="59">
        <f t="shared" si="88"/>
        <v>199.30065726913725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21.097818505760436</v>
      </c>
      <c r="AA84" s="21">
        <f>EXP(-LN(2)/25)*AA83+(1-EXP(-LN(2)/25))/(LN(2)/25)*Calculateur!V84*Calculateur!X84*VLOOKUP('Données projet'!$B$9,Paramètres!$A$1:$I$89,3,0)*0.475*44/12</f>
        <v>3.7887376476100556</v>
      </c>
      <c r="AB84" s="21">
        <f>EXP(-LN(2)/2)*AB83+(1-EXP(-LN(2)/2))/(LN(2)/2)*V84*Y84*VLOOKUP('Données projet'!$B$9,Paramètres!$A$1:$I$89,3,0)*0.475*44/12</f>
        <v>1.369502072064108E-3</v>
      </c>
      <c r="AC84" s="22">
        <f t="shared" si="57"/>
        <v>24.887925655442555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5.8</v>
      </c>
      <c r="AI84" s="13">
        <f>IF('Données projet'!$A$62&gt;35,AI83+AH84-AQ83,IF(A84&lt;'Données projet'!$A$62,$AF$205^A84,IF(A84='Données projet'!$A$62,'Données projet'!$B$62,AI83+AH84-AQ83)))</f>
        <v>245.7999999999999</v>
      </c>
      <c r="AJ84" s="13">
        <f>AI84*VLOOKUP('Données projet'!$B$10,Paramètres!$A$1:$I$89,3,0)*VLOOKUP('Données projet'!$B$10,Paramètres!$A$1:$I$89,5,0)</f>
        <v>222.3998399999999</v>
      </c>
      <c r="AK84" s="13">
        <f t="shared" si="89"/>
        <v>54.636149281681448</v>
      </c>
      <c r="AL84" s="20">
        <f t="shared" si="58"/>
        <v>482.50434799892832</v>
      </c>
      <c r="AM84" s="59">
        <f t="shared" si="59"/>
        <v>753.62510102242982</v>
      </c>
      <c r="AN84" s="59">
        <f ca="1">AVERAGE(OFFSET($AM$3,0,0,'Données projet'!$E$10+1,1))-AVERAGE(OFFSET($H$3,0,0,'Données projet'!$E$10+1,1))</f>
        <v>406.64650428071837</v>
      </c>
      <c r="AO84" s="59">
        <f t="shared" si="90"/>
        <v>250.47702091764884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42.305891138741345</v>
      </c>
      <c r="AV84" s="21">
        <f>EXP(-LN(2)/25)*AV83+(1-EXP(-LN(2)/25))/(LN(2)/25)*Calculateur!AQ84*Calculateur!AS84*VLOOKUP('Données projet'!$B$10,Paramètres!$A$1:$I$89,3,0)*0.475*44/12</f>
        <v>2.2439151856528499</v>
      </c>
      <c r="AW84" s="21">
        <f>EXP(-LN(2)/2)*AW83+(1-EXP(-LN(2)/2))/(LN(2)/2)*AQ84*AT84*VLOOKUP('Données projet'!$B$10,Paramètres!$A$1:$I$89,3,0)*0.475*44/12</f>
        <v>0.92394296753403327</v>
      </c>
      <c r="AX84" s="21">
        <f t="shared" si="60"/>
        <v>45.473749291928229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290.99999999999994</v>
      </c>
      <c r="BE84" s="13">
        <f>BD84*VLOOKUP('Données projet'!$B$11,Paramètres!$A$1:$I$89,3,0)*VLOOKUP('Données projet'!$B$11,Paramètres!$A$1:$I$89,5,0)</f>
        <v>276.91559999999993</v>
      </c>
      <c r="BF84" s="13">
        <f t="shared" si="91"/>
        <v>66.314766879144742</v>
      </c>
      <c r="BG84" s="20">
        <f t="shared" si="61"/>
        <v>597.79288898117682</v>
      </c>
      <c r="BH84" s="59">
        <f t="shared" si="62"/>
        <v>868.9136420046782</v>
      </c>
      <c r="BI84" s="59">
        <f ca="1">AVERAGE(OFFSET($BH$3,0,0,'Données projet'!$E$11+1,1))-AVERAGE(OFFSET($H$3,0,0,'Données projet'!$E$11+1,1))</f>
        <v>387.78453964980849</v>
      </c>
      <c r="BJ84" s="59">
        <f t="shared" si="92"/>
        <v>395.13533152274488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36.539000111736122</v>
      </c>
      <c r="BQ84" s="21">
        <f>EXP(-LN(2)/25)*BQ83+(1-EXP(-LN(2)/25))/(LN(2)/25)*Calculateur!BL84*Calculateur!BN84*VLOOKUP('Données projet'!$B$11,Paramètres!$A$1:$I$89,3,0)*0.475*44/12</f>
        <v>2.0175193741858886</v>
      </c>
      <c r="BR84" s="21">
        <f>EXP(-LN(2)/2)*BR83+(1-EXP(-LN(2)/2))/(LN(2)/2)*BL84*BO84*VLOOKUP('Données projet'!$B$11,Paramètres!$A$1:$I$89,3,0)*0.475*44/12</f>
        <v>3.2069813908874811E-2</v>
      </c>
      <c r="BS84" s="22">
        <f t="shared" si="63"/>
        <v>38.588589299830886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">
      <c r="A85" s="10">
        <f t="shared" si="85"/>
        <v>82</v>
      </c>
      <c r="B85" s="73">
        <f>'Scénario référence'!$B$16*5+'Scénario référence'!$B$17*0+'Scénario référence'!$B$18*5</f>
        <v>5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">
        <f t="shared" si="86"/>
        <v>0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18.333333333333332</v>
      </c>
      <c r="H85" s="67">
        <f t="shared" si="56"/>
        <v>183.33333333333334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295</v>
      </c>
      <c r="O85" s="13">
        <f>N85*VLOOKUP('Données projet'!$B$9,Paramètres!$A$1:$I$89,3,0)*VLOOKUP('Données projet'!$B$9,Paramètres!$A$1:$I$89,5,0)</f>
        <v>176.41000000000003</v>
      </c>
      <c r="P85" s="13">
        <f t="shared" si="87"/>
        <v>44.522543239204609</v>
      </c>
      <c r="Q85" s="20">
        <f t="shared" si="54"/>
        <v>384.79084614161474</v>
      </c>
      <c r="R85" s="59">
        <f t="shared" si="55"/>
        <v>656.29693777360171</v>
      </c>
      <c r="S85" s="59">
        <f ca="1">AVERAGE(OFFSET($R$3,0,0,'Données projet'!$E$9+1,1))-AVERAGE(OFFSET($H$3,0,0,'Données projet'!$E$9+1,1))</f>
        <v>219.4022220248072</v>
      </c>
      <c r="T85" s="59">
        <f t="shared" si="88"/>
        <v>199.30065726913725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20.684103153261113</v>
      </c>
      <c r="AA85" s="21">
        <f>EXP(-LN(2)/25)*AA84+(1-EXP(-LN(2)/25))/(LN(2)/25)*Calculateur!V85*Calculateur!X85*VLOOKUP('Données projet'!$B$9,Paramètres!$A$1:$I$89,3,0)*0.475*44/12</f>
        <v>3.6851344173951048</v>
      </c>
      <c r="AB85" s="21">
        <f>EXP(-LN(2)/2)*AB84+(1-EXP(-LN(2)/2))/(LN(2)/2)*V85*Y85*VLOOKUP('Données projet'!$B$9,Paramètres!$A$1:$I$89,3,0)*0.475*44/12</f>
        <v>9.6838420200555874E-4</v>
      </c>
      <c r="AC85" s="22">
        <f t="shared" si="57"/>
        <v>24.370205954858221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5.8</v>
      </c>
      <c r="AI85" s="13">
        <f>IF('Données projet'!$A$62&gt;35,AI84+AH85-AQ84,IF(A85&lt;'Données projet'!$A$62,$AF$205^A85,IF(A85='Données projet'!$A$62,'Données projet'!$B$62,AI84+AH85-AQ84)))</f>
        <v>251.59999999999991</v>
      </c>
      <c r="AJ85" s="13">
        <f>AI85*VLOOKUP('Données projet'!$B$10,Paramètres!$A$1:$I$89,3,0)*VLOOKUP('Données projet'!$B$10,Paramètres!$A$1:$I$89,5,0)</f>
        <v>227.64767999999992</v>
      </c>
      <c r="AK85" s="13">
        <f t="shared" si="89"/>
        <v>55.773751036838313</v>
      </c>
      <c r="AL85" s="20">
        <f t="shared" si="58"/>
        <v>493.62565905582659</v>
      </c>
      <c r="AM85" s="59">
        <f t="shared" si="59"/>
        <v>765.13175068781356</v>
      </c>
      <c r="AN85" s="59">
        <f ca="1">AVERAGE(OFFSET($AM$3,0,0,'Données projet'!$E$10+1,1))-AVERAGE(OFFSET($H$3,0,0,'Données projet'!$E$10+1,1))</f>
        <v>406.64650428071837</v>
      </c>
      <c r="AO85" s="59">
        <f t="shared" si="90"/>
        <v>250.47702091764884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41.476298417556286</v>
      </c>
      <c r="AV85" s="21">
        <f>EXP(-LN(2)/25)*AV84+(1-EXP(-LN(2)/25))/(LN(2)/25)*Calculateur!AQ85*Calculateur!AS85*VLOOKUP('Données projet'!$B$10,Paramètres!$A$1:$I$89,3,0)*0.475*44/12</f>
        <v>2.1825552068988014</v>
      </c>
      <c r="AW85" s="21">
        <f>EXP(-LN(2)/2)*AW84+(1-EXP(-LN(2)/2))/(LN(2)/2)*AQ85*AT85*VLOOKUP('Données projet'!$B$10,Paramètres!$A$1:$I$89,3,0)*0.475*44/12</f>
        <v>0.65332633777293714</v>
      </c>
      <c r="AX85" s="21">
        <f t="shared" si="60"/>
        <v>44.312179962228029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290.99999999999994</v>
      </c>
      <c r="BE85" s="13">
        <f>BD85*VLOOKUP('Données projet'!$B$11,Paramètres!$A$1:$I$89,3,0)*VLOOKUP('Données projet'!$B$11,Paramètres!$A$1:$I$89,5,0)</f>
        <v>276.91559999999993</v>
      </c>
      <c r="BF85" s="13">
        <f t="shared" si="91"/>
        <v>66.314766879144742</v>
      </c>
      <c r="BG85" s="20">
        <f t="shared" si="61"/>
        <v>597.79288898117682</v>
      </c>
      <c r="BH85" s="59">
        <f t="shared" si="62"/>
        <v>869.29898061316385</v>
      </c>
      <c r="BI85" s="59">
        <f ca="1">AVERAGE(OFFSET($BH$3,0,0,'Données projet'!$E$11+1,1))-AVERAGE(OFFSET($H$3,0,0,'Données projet'!$E$11+1,1))</f>
        <v>387.78453964980849</v>
      </c>
      <c r="BJ85" s="59">
        <f t="shared" si="92"/>
        <v>395.13533152274488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35.822492606134425</v>
      </c>
      <c r="BQ85" s="21">
        <f>EXP(-LN(2)/25)*BQ84+(1-EXP(-LN(2)/25))/(LN(2)/25)*Calculateur!BL85*Calculateur!BN85*VLOOKUP('Données projet'!$B$11,Paramètres!$A$1:$I$89,3,0)*0.475*44/12</f>
        <v>1.9623502008020426</v>
      </c>
      <c r="BR85" s="21">
        <f>EXP(-LN(2)/2)*BR84+(1-EXP(-LN(2)/2))/(LN(2)/2)*BL85*BO85*VLOOKUP('Données projet'!$B$11,Paramètres!$A$1:$I$89,3,0)*0.475*44/12</f>
        <v>2.267678288635604E-2</v>
      </c>
      <c r="BS85" s="22">
        <f t="shared" si="63"/>
        <v>37.807519589822824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">
      <c r="A86" s="10">
        <f t="shared" si="85"/>
        <v>83</v>
      </c>
      <c r="B86" s="73">
        <f>'Scénario référence'!$B$16*5+'Scénario référence'!$B$17*0+'Scénario référence'!$B$18*5</f>
        <v>5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">
        <f t="shared" si="86"/>
        <v>0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18.333333333333332</v>
      </c>
      <c r="H86" s="67">
        <f t="shared" si="56"/>
        <v>183.33333333333334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295</v>
      </c>
      <c r="O86" s="13">
        <f>N86*VLOOKUP('Données projet'!$B$9,Paramètres!$A$1:$I$89,3,0)*VLOOKUP('Données projet'!$B$9,Paramètres!$A$1:$I$89,5,0)</f>
        <v>176.41000000000003</v>
      </c>
      <c r="P86" s="13">
        <f t="shared" si="87"/>
        <v>44.522543239204609</v>
      </c>
      <c r="Q86" s="20">
        <f t="shared" si="54"/>
        <v>384.79084614161474</v>
      </c>
      <c r="R86" s="59">
        <f t="shared" si="55"/>
        <v>656.67559161871827</v>
      </c>
      <c r="S86" s="59">
        <f ca="1">AVERAGE(OFFSET($R$3,0,0,'Données projet'!$E$9+1,1))-AVERAGE(OFFSET($H$3,0,0,'Données projet'!$E$9+1,1))</f>
        <v>219.4022220248072</v>
      </c>
      <c r="T86" s="59">
        <f t="shared" si="88"/>
        <v>199.30065726913725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20.278500506482853</v>
      </c>
      <c r="AA86" s="21">
        <f>EXP(-LN(2)/25)*AA85+(1-EXP(-LN(2)/25))/(LN(2)/25)*Calculateur!V86*Calculateur!X86*VLOOKUP('Données projet'!$B$9,Paramètres!$A$1:$I$89,3,0)*0.475*44/12</f>
        <v>3.584364222958639</v>
      </c>
      <c r="AB86" s="21">
        <f>EXP(-LN(2)/2)*AB85+(1-EXP(-LN(2)/2))/(LN(2)/2)*V86*Y86*VLOOKUP('Données projet'!$B$9,Paramètres!$A$1:$I$89,3,0)*0.475*44/12</f>
        <v>6.8475103603205412E-4</v>
      </c>
      <c r="AC86" s="22">
        <f t="shared" si="57"/>
        <v>23.863549480477523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5.8</v>
      </c>
      <c r="AI86" s="13">
        <f>IF('Données projet'!$A$62&gt;35,AI85+AH86-AQ85,IF(A86&lt;'Données projet'!$A$62,$AF$205^A86,IF(A86='Données projet'!$A$62,'Données projet'!$B$62,AI85+AH86-AQ85)))</f>
        <v>257.39999999999992</v>
      </c>
      <c r="AJ86" s="13">
        <f>AI86*VLOOKUP('Données projet'!$B$10,Paramètres!$A$1:$I$89,3,0)*VLOOKUP('Données projet'!$B$10,Paramètres!$A$1:$I$89,5,0)</f>
        <v>232.89551999999992</v>
      </c>
      <c r="AK86" s="13">
        <f t="shared" si="89"/>
        <v>56.908304063818662</v>
      </c>
      <c r="AL86" s="20">
        <f t="shared" si="58"/>
        <v>504.74166024448397</v>
      </c>
      <c r="AM86" s="59">
        <f t="shared" si="59"/>
        <v>776.62640572158739</v>
      </c>
      <c r="AN86" s="59">
        <f ca="1">AVERAGE(OFFSET($AM$3,0,0,'Données projet'!$E$10+1,1))-AVERAGE(OFFSET($H$3,0,0,'Données projet'!$E$10+1,1))</f>
        <v>406.64650428071837</v>
      </c>
      <c r="AO86" s="59">
        <f t="shared" si="90"/>
        <v>250.47702091764884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40.662973503632067</v>
      </c>
      <c r="AV86" s="21">
        <f>EXP(-LN(2)/25)*AV85+(1-EXP(-LN(2)/25))/(LN(2)/25)*Calculateur!AQ86*Calculateur!AS86*VLOOKUP('Données projet'!$B$10,Paramètres!$A$1:$I$89,3,0)*0.475*44/12</f>
        <v>2.1228731199905635</v>
      </c>
      <c r="AW86" s="21">
        <f>EXP(-LN(2)/2)*AW85+(1-EXP(-LN(2)/2))/(LN(2)/2)*AQ86*AT86*VLOOKUP('Données projet'!$B$10,Paramètres!$A$1:$I$89,3,0)*0.475*44/12</f>
        <v>0.46197148376701674</v>
      </c>
      <c r="AX86" s="21">
        <f t="shared" si="60"/>
        <v>43.247818107389648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290.99999999999994</v>
      </c>
      <c r="BE86" s="13">
        <f>BD86*VLOOKUP('Données projet'!$B$11,Paramètres!$A$1:$I$89,3,0)*VLOOKUP('Données projet'!$B$11,Paramètres!$A$1:$I$89,5,0)</f>
        <v>276.91559999999993</v>
      </c>
      <c r="BF86" s="13">
        <f t="shared" si="91"/>
        <v>66.314766879144742</v>
      </c>
      <c r="BG86" s="20">
        <f t="shared" si="61"/>
        <v>597.79288898117682</v>
      </c>
      <c r="BH86" s="59">
        <f t="shared" si="62"/>
        <v>869.67763445828029</v>
      </c>
      <c r="BI86" s="59">
        <f ca="1">AVERAGE(OFFSET($BH$3,0,0,'Données projet'!$E$11+1,1))-AVERAGE(OFFSET($H$3,0,0,'Données projet'!$E$11+1,1))</f>
        <v>387.78453964980849</v>
      </c>
      <c r="BJ86" s="59">
        <f t="shared" si="92"/>
        <v>395.13533152274488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35.120035375691153</v>
      </c>
      <c r="BQ86" s="21">
        <f>EXP(-LN(2)/25)*BQ85+(1-EXP(-LN(2)/25))/(LN(2)/25)*Calculateur!BL86*Calculateur!BN86*VLOOKUP('Données projet'!$B$11,Paramètres!$A$1:$I$89,3,0)*0.475*44/12</f>
        <v>1.9086896313655988</v>
      </c>
      <c r="BR86" s="21">
        <f>EXP(-LN(2)/2)*BR85+(1-EXP(-LN(2)/2))/(LN(2)/2)*BL86*BO86*VLOOKUP('Données projet'!$B$11,Paramètres!$A$1:$I$89,3,0)*0.475*44/12</f>
        <v>1.6034906954437406E-2</v>
      </c>
      <c r="BS86" s="22">
        <f t="shared" si="63"/>
        <v>37.044759914011188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">
      <c r="A87" s="10">
        <f t="shared" si="85"/>
        <v>84</v>
      </c>
      <c r="B87" s="73">
        <f>'Scénario référence'!$B$16*5+'Scénario référence'!$B$17*0+'Scénario référence'!$B$18*5</f>
        <v>5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">
        <f t="shared" si="86"/>
        <v>0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18.333333333333332</v>
      </c>
      <c r="H87" s="67">
        <f t="shared" si="56"/>
        <v>183.33333333333334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295</v>
      </c>
      <c r="O87" s="13">
        <f>N87*VLOOKUP('Données projet'!$B$9,Paramètres!$A$1:$I$89,3,0)*VLOOKUP('Données projet'!$B$9,Paramètres!$A$1:$I$89,5,0)</f>
        <v>176.41000000000003</v>
      </c>
      <c r="P87" s="13">
        <f t="shared" si="87"/>
        <v>44.522543239204609</v>
      </c>
      <c r="Q87" s="20">
        <f t="shared" si="54"/>
        <v>384.79084614161474</v>
      </c>
      <c r="R87" s="59">
        <f t="shared" si="55"/>
        <v>657.04767666616499</v>
      </c>
      <c r="S87" s="59">
        <f ca="1">AVERAGE(OFFSET($R$3,0,0,'Données projet'!$E$9+1,1))-AVERAGE(OFFSET($H$3,0,0,'Données projet'!$E$9+1,1))</f>
        <v>219.4022220248072</v>
      </c>
      <c r="T87" s="59">
        <f t="shared" si="88"/>
        <v>199.30065726913725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19.88085148021473</v>
      </c>
      <c r="AA87" s="21">
        <f>EXP(-LN(2)/25)*AA86+(1-EXP(-LN(2)/25))/(LN(2)/25)*Calculateur!V87*Calculateur!X87*VLOOKUP('Données projet'!$B$9,Paramètres!$A$1:$I$89,3,0)*0.475*44/12</f>
        <v>3.4863495947883125</v>
      </c>
      <c r="AB87" s="21">
        <f>EXP(-LN(2)/2)*AB86+(1-EXP(-LN(2)/2))/(LN(2)/2)*V87*Y87*VLOOKUP('Données projet'!$B$9,Paramètres!$A$1:$I$89,3,0)*0.475*44/12</f>
        <v>4.8419210100277942E-4</v>
      </c>
      <c r="AC87" s="22">
        <f t="shared" si="57"/>
        <v>23.367685267104044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5.8</v>
      </c>
      <c r="AI87" s="13">
        <f>IF('Données projet'!$A$62&gt;35,AI86+AH87-AQ86,IF(A87&lt;'Données projet'!$A$62,$AF$205^A87,IF(A87='Données projet'!$A$62,'Données projet'!$B$62,AI86+AH87-AQ86)))</f>
        <v>263.19999999999993</v>
      </c>
      <c r="AJ87" s="13">
        <f>AI87*VLOOKUP('Données projet'!$B$10,Paramètres!$A$1:$I$89,3,0)*VLOOKUP('Données projet'!$B$10,Paramètres!$A$1:$I$89,5,0)</f>
        <v>238.14335999999992</v>
      </c>
      <c r="AK87" s="13">
        <f t="shared" si="89"/>
        <v>58.039884968630489</v>
      </c>
      <c r="AL87" s="20">
        <f t="shared" si="58"/>
        <v>515.85248498703129</v>
      </c>
      <c r="AM87" s="59">
        <f t="shared" si="59"/>
        <v>788.1093155115816</v>
      </c>
      <c r="AN87" s="59">
        <f ca="1">AVERAGE(OFFSET($AM$3,0,0,'Données projet'!$E$10+1,1))-AVERAGE(OFFSET($H$3,0,0,'Données projet'!$E$10+1,1))</f>
        <v>406.64650428071837</v>
      </c>
      <c r="AO87" s="59">
        <f t="shared" si="90"/>
        <v>250.47702091764884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39.86559739519069</v>
      </c>
      <c r="AV87" s="21">
        <f>EXP(-LN(2)/25)*AV86+(1-EXP(-LN(2)/25))/(LN(2)/25)*Calculateur!AQ87*Calculateur!AS87*VLOOKUP('Données projet'!$B$10,Paramètres!$A$1:$I$89,3,0)*0.475*44/12</f>
        <v>2.0648230428873759</v>
      </c>
      <c r="AW87" s="21">
        <f>EXP(-LN(2)/2)*AW86+(1-EXP(-LN(2)/2))/(LN(2)/2)*AQ87*AT87*VLOOKUP('Données projet'!$B$10,Paramètres!$A$1:$I$89,3,0)*0.475*44/12</f>
        <v>0.32666316888646862</v>
      </c>
      <c r="AX87" s="21">
        <f t="shared" si="60"/>
        <v>42.257083606964535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290.99999999999994</v>
      </c>
      <c r="BE87" s="13">
        <f>BD87*VLOOKUP('Données projet'!$B$11,Paramètres!$A$1:$I$89,3,0)*VLOOKUP('Données projet'!$B$11,Paramètres!$A$1:$I$89,5,0)</f>
        <v>276.91559999999993</v>
      </c>
      <c r="BF87" s="13">
        <f t="shared" si="91"/>
        <v>66.314766879144742</v>
      </c>
      <c r="BG87" s="20">
        <f t="shared" si="61"/>
        <v>597.79288898117682</v>
      </c>
      <c r="BH87" s="59">
        <f t="shared" si="62"/>
        <v>870.04971950572713</v>
      </c>
      <c r="BI87" s="59">
        <f ca="1">AVERAGE(OFFSET($BH$3,0,0,'Données projet'!$E$11+1,1))-AVERAGE(OFFSET($H$3,0,0,'Données projet'!$E$11+1,1))</f>
        <v>387.78453964980849</v>
      </c>
      <c r="BJ87" s="59">
        <f t="shared" si="92"/>
        <v>395.13533152274488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34.431352903080267</v>
      </c>
      <c r="BQ87" s="21">
        <f>EXP(-LN(2)/25)*BQ86+(1-EXP(-LN(2)/25))/(LN(2)/25)*Calculateur!BL87*Calculateur!BN87*VLOOKUP('Données projet'!$B$11,Paramètres!$A$1:$I$89,3,0)*0.475*44/12</f>
        <v>1.8564964130222812</v>
      </c>
      <c r="BR87" s="21">
        <f>EXP(-LN(2)/2)*BR86+(1-EXP(-LN(2)/2))/(LN(2)/2)*BL87*BO87*VLOOKUP('Données projet'!$B$11,Paramètres!$A$1:$I$89,3,0)*0.475*44/12</f>
        <v>1.133839144317802E-2</v>
      </c>
      <c r="BS87" s="22">
        <f t="shared" si="63"/>
        <v>36.299187707545727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">
      <c r="A88" s="10">
        <f t="shared" si="85"/>
        <v>85</v>
      </c>
      <c r="B88" s="73">
        <f>'Scénario référence'!$B$16*5+'Scénario référence'!$B$17*0+'Scénario référence'!$B$18*5</f>
        <v>5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">
        <f t="shared" si="86"/>
        <v>0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18.333333333333332</v>
      </c>
      <c r="H88" s="67">
        <f t="shared" si="56"/>
        <v>183.33333333333334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295</v>
      </c>
      <c r="O88" s="13">
        <f>N88*VLOOKUP('Données projet'!$B$9,Paramètres!$A$1:$I$89,3,0)*VLOOKUP('Données projet'!$B$9,Paramètres!$A$1:$I$89,5,0)</f>
        <v>176.41000000000003</v>
      </c>
      <c r="P88" s="13">
        <f t="shared" si="87"/>
        <v>44.522543239204609</v>
      </c>
      <c r="Q88" s="20">
        <f t="shared" si="54"/>
        <v>384.79084614161474</v>
      </c>
      <c r="R88" s="59">
        <f t="shared" si="55"/>
        <v>657.41330686989625</v>
      </c>
      <c r="S88" s="59">
        <f ca="1">AVERAGE(OFFSET($R$3,0,0,'Données projet'!$E$9+1,1))-AVERAGE(OFFSET($H$3,0,0,'Données projet'!$E$9+1,1))</f>
        <v>219.4022220248072</v>
      </c>
      <c r="T88" s="59">
        <f t="shared" si="88"/>
        <v>199.30065726913725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19.491000108809768</v>
      </c>
      <c r="AA88" s="21">
        <f>EXP(-LN(2)/25)*AA87+(1-EXP(-LN(2)/25))/(LN(2)/25)*Calculateur!V88*Calculateur!X88*VLOOKUP('Données projet'!$B$9,Paramètres!$A$1:$I$89,3,0)*0.475*44/12</f>
        <v>3.391015181779669</v>
      </c>
      <c r="AB88" s="21">
        <f>EXP(-LN(2)/2)*AB87+(1-EXP(-LN(2)/2))/(LN(2)/2)*V88*Y88*VLOOKUP('Données projet'!$B$9,Paramètres!$A$1:$I$89,3,0)*0.475*44/12</f>
        <v>3.4237551801602711E-4</v>
      </c>
      <c r="AC88" s="22">
        <f t="shared" si="57"/>
        <v>22.882357666107453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>
        <f>VLOOKUP(A88,'Données projet'!$A$61:$I$81,2,0)</f>
        <v>269</v>
      </c>
      <c r="AG88" s="12">
        <f>VLOOKUP(A88,'Données projet'!$A$61:$I$81,9,0)</f>
        <v>5.8</v>
      </c>
      <c r="AH88" s="12">
        <f t="array" ref="AH88">INDEX(AG:AG,MIN(IF(ISNUMBER(AG88:AG284),ROW(AG88:AG284),"")))</f>
        <v>5.8</v>
      </c>
      <c r="AI88" s="13">
        <f>IF('Données projet'!$A$62&gt;35,AI87+AH88-AQ87,IF(A88&lt;'Données projet'!$A$62,$AF$205^A88,IF(A88='Données projet'!$A$62,'Données projet'!$B$62,AI87+AH88-AQ87)))</f>
        <v>268.99999999999994</v>
      </c>
      <c r="AJ88" s="13">
        <f>AI88*VLOOKUP('Données projet'!$B$10,Paramètres!$A$1:$I$89,3,0)*VLOOKUP('Données projet'!$B$10,Paramètres!$A$1:$I$89,5,0)</f>
        <v>243.39119999999994</v>
      </c>
      <c r="AK88" s="13">
        <f t="shared" si="89"/>
        <v>59.168566788241527</v>
      </c>
      <c r="AL88" s="20">
        <f t="shared" si="58"/>
        <v>526.95826048952051</v>
      </c>
      <c r="AM88" s="59">
        <f t="shared" si="59"/>
        <v>799.58072121780197</v>
      </c>
      <c r="AN88" s="59">
        <f ca="1">AVERAGE(OFFSET($AM$3,0,0,'Données projet'!$E$10+1,1))-AVERAGE(OFFSET($H$3,0,0,'Données projet'!$E$10+1,1))</f>
        <v>406.64650428071837</v>
      </c>
      <c r="AO88" s="59">
        <f t="shared" si="90"/>
        <v>250.47702091764884</v>
      </c>
      <c r="AP88" s="15">
        <f>IF(ISNA(VLOOKUP(A88,'Données projet'!$A$61:$I$81,3,0)),0,VLOOKUP(A88,'Données projet'!$A$61:$I$81,3,0))</f>
        <v>13</v>
      </c>
      <c r="AQ88" s="15">
        <f>IF(ISNA(VLOOKUP(A88,'Données projet'!$A$61:$I$81,4,0)),0,VLOOKUP(A88,'Données projet'!$A$61:$I$81,4,0))</f>
        <v>21</v>
      </c>
      <c r="AR88" s="16">
        <f>IF(ISNA(VLOOKUP(A88,'Données projet'!$A$61:$I$81,5,0)),0%,VLOOKUP(A88,'Données projet'!$A$61:$I$81,5,0)*VLOOKUP('Données projet'!$B$10,Paramètres!$A$1:$I$89,7,0))</f>
        <v>0.34400000000000003</v>
      </c>
      <c r="AS88" s="16">
        <f>IF(ISNA(VLOOKUP(A88,'Données projet'!$A$61:$I$81,6,0)),0%,VLOOKUP(A88,'Données projet'!$A$61:$I$81,6,0)*VLOOKUP('Données projet'!$B$10,Paramètres!$A$1:$I$89,7,0))</f>
        <v>1.72E-2</v>
      </c>
      <c r="AT88" s="16">
        <f>IF(ISNA(VLOOKUP(A88,'Données projet'!$A$61:$I$81,7,0)),0%,VLOOKUP(A88,'Données projet'!$A$61:$I$81,7,0))</f>
        <v>0.06</v>
      </c>
      <c r="AU88" s="21">
        <f>EXP(-LN(2)/35)*AU87+(1-EXP(-LN(2)/35))/(LN(2)/35)*AQ88*AR88*VLOOKUP('Données projet'!$B$10,Paramètres!$A$1:$I$89,3,0)*0.475*44/12</f>
        <v>46.309515971960252</v>
      </c>
      <c r="AV88" s="21">
        <f>EXP(-LN(2)/25)*AV87+(1-EXP(-LN(2)/25))/(LN(2)/25)*Calculateur!AQ88*Calculateur!AS88*VLOOKUP('Données projet'!$B$10,Paramètres!$A$1:$I$89,3,0)*0.475*44/12</f>
        <v>2.368220770938954</v>
      </c>
      <c r="AW88" s="21">
        <f>EXP(-LN(2)/2)*AW87+(1-EXP(-LN(2)/2))/(LN(2)/2)*AQ88*AT88*VLOOKUP('Données projet'!$B$10,Paramètres!$A$1:$I$89,3,0)*0.475*44/12</f>
        <v>1.3066517138255518</v>
      </c>
      <c r="AX88" s="21">
        <f t="shared" si="60"/>
        <v>49.984388456724758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290.99999999999994</v>
      </c>
      <c r="BE88" s="13">
        <f>BD88*VLOOKUP('Données projet'!$B$11,Paramètres!$A$1:$I$89,3,0)*VLOOKUP('Données projet'!$B$11,Paramètres!$A$1:$I$89,5,0)</f>
        <v>276.91559999999993</v>
      </c>
      <c r="BF88" s="13">
        <f t="shared" si="91"/>
        <v>66.314766879144742</v>
      </c>
      <c r="BG88" s="20">
        <f t="shared" si="61"/>
        <v>597.79288898117682</v>
      </c>
      <c r="BH88" s="59">
        <f t="shared" si="62"/>
        <v>870.41534970945827</v>
      </c>
      <c r="BI88" s="59">
        <f ca="1">AVERAGE(OFFSET($BH$3,0,0,'Données projet'!$E$11+1,1))-AVERAGE(OFFSET($H$3,0,0,'Données projet'!$E$11+1,1))</f>
        <v>387.78453964980849</v>
      </c>
      <c r="BJ88" s="59">
        <f t="shared" si="92"/>
        <v>395.13533152274488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33.756175073702451</v>
      </c>
      <c r="BQ88" s="21">
        <f>EXP(-LN(2)/25)*BQ87+(1-EXP(-LN(2)/25))/(LN(2)/25)*Calculateur!BL88*Calculateur!BN88*VLOOKUP('Données projet'!$B$11,Paramètres!$A$1:$I$89,3,0)*0.475*44/12</f>
        <v>1.8057304209792837</v>
      </c>
      <c r="BR88" s="21">
        <f>EXP(-LN(2)/2)*BR87+(1-EXP(-LN(2)/2))/(LN(2)/2)*BL88*BO88*VLOOKUP('Données projet'!$B$11,Paramètres!$A$1:$I$89,3,0)*0.475*44/12</f>
        <v>8.0174534772187028E-3</v>
      </c>
      <c r="BS88" s="22">
        <f t="shared" si="63"/>
        <v>35.569922948158947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">
      <c r="A89" s="10">
        <f t="shared" si="85"/>
        <v>86</v>
      </c>
      <c r="B89" s="73">
        <f>'Scénario référence'!$B$16*5+'Scénario référence'!$B$17*0+'Scénario référence'!$B$18*5</f>
        <v>5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">
        <f t="shared" si="86"/>
        <v>0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18.333333333333332</v>
      </c>
      <c r="H89" s="67">
        <f t="shared" si="56"/>
        <v>183.33333333333334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295</v>
      </c>
      <c r="O89" s="13">
        <f>N89*VLOOKUP('Données projet'!$B$9,Paramètres!$A$1:$I$89,3,0)*VLOOKUP('Données projet'!$B$9,Paramètres!$A$1:$I$89,5,0)</f>
        <v>176.41000000000003</v>
      </c>
      <c r="P89" s="13">
        <f t="shared" si="87"/>
        <v>44.522543239204609</v>
      </c>
      <c r="Q89" s="20">
        <f t="shared" si="54"/>
        <v>384.79084614161474</v>
      </c>
      <c r="R89" s="59">
        <f t="shared" si="55"/>
        <v>657.77259420701944</v>
      </c>
      <c r="S89" s="59">
        <f ca="1">AVERAGE(OFFSET($R$3,0,0,'Données projet'!$E$9+1,1))-AVERAGE(OFFSET($H$3,0,0,'Données projet'!$E$9+1,1))</f>
        <v>219.4022220248072</v>
      </c>
      <c r="T89" s="59">
        <f t="shared" si="88"/>
        <v>199.30065726913725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19.1087934850122</v>
      </c>
      <c r="AA89" s="21">
        <f>EXP(-LN(2)/25)*AA88+(1-EXP(-LN(2)/25))/(LN(2)/25)*Calculateur!V89*Calculateur!X89*VLOOKUP('Données projet'!$B$9,Paramètres!$A$1:$I$89,3,0)*0.475*44/12</f>
        <v>3.2982876933081657</v>
      </c>
      <c r="AB89" s="21">
        <f>EXP(-LN(2)/2)*AB88+(1-EXP(-LN(2)/2))/(LN(2)/2)*V89*Y89*VLOOKUP('Données projet'!$B$9,Paramètres!$A$1:$I$89,3,0)*0.475*44/12</f>
        <v>2.4209605050138977E-4</v>
      </c>
      <c r="AC89" s="22">
        <f t="shared" si="57"/>
        <v>22.407323274370867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5.4</v>
      </c>
      <c r="AI89" s="13">
        <f>IF('Données projet'!$A$62&gt;35,AI88+AH89-AQ88,IF(A89&lt;'Données projet'!$A$62,$AF$205^A89,IF(A89='Données projet'!$A$62,'Données projet'!$B$62,AI88+AH89-AQ88)))</f>
        <v>253.39999999999992</v>
      </c>
      <c r="AJ89" s="13">
        <f>AI89*VLOOKUP('Données projet'!$B$10,Paramètres!$A$1:$I$89,3,0)*VLOOKUP('Données projet'!$B$10,Paramètres!$A$1:$I$89,5,0)</f>
        <v>229.27631999999994</v>
      </c>
      <c r="AK89" s="13">
        <f t="shared" si="89"/>
        <v>56.126176307517476</v>
      </c>
      <c r="AL89" s="20">
        <f t="shared" si="58"/>
        <v>497.07601440225949</v>
      </c>
      <c r="AM89" s="59">
        <f t="shared" si="59"/>
        <v>770.05776246766413</v>
      </c>
      <c r="AN89" s="59">
        <f ca="1">AVERAGE(OFFSET($AM$3,0,0,'Données projet'!$E$10+1,1))-AVERAGE(OFFSET($H$3,0,0,'Données projet'!$E$10+1,1))</f>
        <v>406.64650428071837</v>
      </c>
      <c r="AO89" s="59">
        <f t="shared" si="90"/>
        <v>250.47702091764884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45.401414609765794</v>
      </c>
      <c r="AV89" s="21">
        <f>EXP(-LN(2)/25)*AV88+(1-EXP(-LN(2)/25))/(LN(2)/25)*Calculateur!AQ89*Calculateur!AS89*VLOOKUP('Données projet'!$B$10,Paramètres!$A$1:$I$89,3,0)*0.475*44/12</f>
        <v>2.3034616494183107</v>
      </c>
      <c r="AW89" s="21">
        <f>EXP(-LN(2)/2)*AW88+(1-EXP(-LN(2)/2))/(LN(2)/2)*AQ89*AT89*VLOOKUP('Données projet'!$B$10,Paramètres!$A$1:$I$89,3,0)*0.475*44/12</f>
        <v>0.92394228749507179</v>
      </c>
      <c r="AX89" s="21">
        <f t="shared" si="60"/>
        <v>48.628818546679177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290.99999999999994</v>
      </c>
      <c r="BE89" s="13">
        <f>BD89*VLOOKUP('Données projet'!$B$11,Paramètres!$A$1:$I$89,3,0)*VLOOKUP('Données projet'!$B$11,Paramètres!$A$1:$I$89,5,0)</f>
        <v>276.91559999999993</v>
      </c>
      <c r="BF89" s="13">
        <f t="shared" si="91"/>
        <v>66.314766879144742</v>
      </c>
      <c r="BG89" s="20">
        <f t="shared" si="61"/>
        <v>597.79288898117682</v>
      </c>
      <c r="BH89" s="59">
        <f t="shared" si="62"/>
        <v>870.77463704658157</v>
      </c>
      <c r="BI89" s="59">
        <f ca="1">AVERAGE(OFFSET($BH$3,0,0,'Données projet'!$E$11+1,1))-AVERAGE(OFFSET($H$3,0,0,'Données projet'!$E$11+1,1))</f>
        <v>387.78453964980849</v>
      </c>
      <c r="BJ89" s="59">
        <f t="shared" si="92"/>
        <v>395.13533152274488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33.09423706974092</v>
      </c>
      <c r="BQ89" s="21">
        <f>EXP(-LN(2)/25)*BQ88+(1-EXP(-LN(2)/25))/(LN(2)/25)*Calculateur!BL89*Calculateur!BN89*VLOOKUP('Données projet'!$B$11,Paramètres!$A$1:$I$89,3,0)*0.475*44/12</f>
        <v>1.7563526276583694</v>
      </c>
      <c r="BR89" s="21">
        <f>EXP(-LN(2)/2)*BR88+(1-EXP(-LN(2)/2))/(LN(2)/2)*BL89*BO89*VLOOKUP('Données projet'!$B$11,Paramètres!$A$1:$I$89,3,0)*0.475*44/12</f>
        <v>5.66919572158901E-3</v>
      </c>
      <c r="BS89" s="22">
        <f t="shared" si="63"/>
        <v>34.856258893120874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">
      <c r="A90" s="10">
        <f t="shared" si="85"/>
        <v>87</v>
      </c>
      <c r="B90" s="73">
        <f>'Scénario référence'!$B$16*5+'Scénario référence'!$B$17*0+'Scénario référence'!$B$18*5</f>
        <v>5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">
        <f t="shared" si="86"/>
        <v>0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18.333333333333332</v>
      </c>
      <c r="H90" s="67">
        <f t="shared" si="56"/>
        <v>183.33333333333334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295</v>
      </c>
      <c r="O90" s="13">
        <f>N90*VLOOKUP('Données projet'!$B$9,Paramètres!$A$1:$I$89,3,0)*VLOOKUP('Données projet'!$B$9,Paramètres!$A$1:$I$89,5,0)</f>
        <v>176.41000000000003</v>
      </c>
      <c r="P90" s="13">
        <f t="shared" si="87"/>
        <v>44.522543239204609</v>
      </c>
      <c r="Q90" s="20">
        <f t="shared" si="54"/>
        <v>384.79084614161474</v>
      </c>
      <c r="R90" s="59">
        <f t="shared" si="55"/>
        <v>658.12564871208951</v>
      </c>
      <c r="S90" s="59">
        <f ca="1">AVERAGE(OFFSET($R$3,0,0,'Données projet'!$E$9+1,1))-AVERAGE(OFFSET($H$3,0,0,'Données projet'!$E$9+1,1))</f>
        <v>219.4022220248072</v>
      </c>
      <c r="T90" s="59">
        <f t="shared" si="88"/>
        <v>199.30065726913725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18.73408169998428</v>
      </c>
      <c r="AA90" s="21">
        <f>EXP(-LN(2)/25)*AA89+(1-EXP(-LN(2)/25))/(LN(2)/25)*Calculateur!V90*Calculateur!X90*VLOOKUP('Données projet'!$B$9,Paramètres!$A$1:$I$89,3,0)*0.475*44/12</f>
        <v>3.2080958428852426</v>
      </c>
      <c r="AB90" s="21">
        <f>EXP(-LN(2)/2)*AB89+(1-EXP(-LN(2)/2))/(LN(2)/2)*V90*Y90*VLOOKUP('Données projet'!$B$9,Paramètres!$A$1:$I$89,3,0)*0.475*44/12</f>
        <v>1.7118775900801358E-4</v>
      </c>
      <c r="AC90" s="22">
        <f t="shared" si="57"/>
        <v>21.942348730628531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5.4</v>
      </c>
      <c r="AI90" s="13">
        <f>IF('Données projet'!$A$62&gt;35,AI89+AH90-AQ89,IF(A90&lt;'Données projet'!$A$62,$AF$205^A90,IF(A90='Données projet'!$A$62,'Données projet'!$B$62,AI89+AH90-AQ89)))</f>
        <v>258.7999999999999</v>
      </c>
      <c r="AJ90" s="13">
        <f>AI90*VLOOKUP('Données projet'!$B$10,Paramètres!$A$1:$I$89,3,0)*VLOOKUP('Données projet'!$B$10,Paramètres!$A$1:$I$89,5,0)</f>
        <v>234.16223999999988</v>
      </c>
      <c r="AK90" s="13">
        <f t="shared" si="89"/>
        <v>57.181713578143047</v>
      </c>
      <c r="AL90" s="20">
        <f t="shared" si="58"/>
        <v>507.42405248193222</v>
      </c>
      <c r="AM90" s="59">
        <f t="shared" si="59"/>
        <v>780.75885505240706</v>
      </c>
      <c r="AN90" s="59">
        <f ca="1">AVERAGE(OFFSET($AM$3,0,0,'Données projet'!$E$10+1,1))-AVERAGE(OFFSET($H$3,0,0,'Données projet'!$E$10+1,1))</f>
        <v>406.64650428071837</v>
      </c>
      <c r="AO90" s="59">
        <f t="shared" si="90"/>
        <v>250.47702091764884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44.511120561396829</v>
      </c>
      <c r="AV90" s="21">
        <f>EXP(-LN(2)/25)*AV89+(1-EXP(-LN(2)/25))/(LN(2)/25)*Calculateur!AQ90*Calculateur!AS90*VLOOKUP('Données projet'!$B$10,Paramètres!$A$1:$I$89,3,0)*0.475*44/12</f>
        <v>2.2404733694811836</v>
      </c>
      <c r="AW90" s="21">
        <f>EXP(-LN(2)/2)*AW89+(1-EXP(-LN(2)/2))/(LN(2)/2)*AQ90*AT90*VLOOKUP('Données projet'!$B$10,Paramètres!$A$1:$I$89,3,0)*0.475*44/12</f>
        <v>0.653325856912776</v>
      </c>
      <c r="AX90" s="21">
        <f t="shared" si="60"/>
        <v>47.404919787790789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290.99999999999994</v>
      </c>
      <c r="BE90" s="13">
        <f>BD90*VLOOKUP('Données projet'!$B$11,Paramètres!$A$1:$I$89,3,0)*VLOOKUP('Données projet'!$B$11,Paramètres!$A$1:$I$89,5,0)</f>
        <v>276.91559999999993</v>
      </c>
      <c r="BF90" s="13">
        <f t="shared" si="91"/>
        <v>66.314766879144742</v>
      </c>
      <c r="BG90" s="20">
        <f t="shared" si="61"/>
        <v>597.79288898117682</v>
      </c>
      <c r="BH90" s="59">
        <f t="shared" si="62"/>
        <v>871.12769155165165</v>
      </c>
      <c r="BI90" s="59">
        <f ca="1">AVERAGE(OFFSET($BH$3,0,0,'Données projet'!$E$11+1,1))-AVERAGE(OFFSET($H$3,0,0,'Données projet'!$E$11+1,1))</f>
        <v>387.78453964980849</v>
      </c>
      <c r="BJ90" s="59">
        <f t="shared" si="92"/>
        <v>395.13533152274488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32.445279266294762</v>
      </c>
      <c r="BQ90" s="21">
        <f>EXP(-LN(2)/25)*BQ89+(1-EXP(-LN(2)/25))/(LN(2)/25)*Calculateur!BL90*Calculateur!BN90*VLOOKUP('Données projet'!$B$11,Paramètres!$A$1:$I$89,3,0)*0.475*44/12</f>
        <v>1.7083250726924808</v>
      </c>
      <c r="BR90" s="21">
        <f>EXP(-LN(2)/2)*BR89+(1-EXP(-LN(2)/2))/(LN(2)/2)*BL90*BO90*VLOOKUP('Données projet'!$B$11,Paramètres!$A$1:$I$89,3,0)*0.475*44/12</f>
        <v>4.0087267386093514E-3</v>
      </c>
      <c r="BS90" s="22">
        <f t="shared" si="63"/>
        <v>34.157613065725855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">
      <c r="A91" s="10">
        <f t="shared" si="85"/>
        <v>88</v>
      </c>
      <c r="B91" s="73">
        <f>'Scénario référence'!$B$16*5+'Scénario référence'!$B$17*0+'Scénario référence'!$B$18*5</f>
        <v>5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">
        <f t="shared" si="86"/>
        <v>0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18.333333333333332</v>
      </c>
      <c r="H91" s="67">
        <f t="shared" si="56"/>
        <v>183.33333333333334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295</v>
      </c>
      <c r="O91" s="13">
        <f>N91*VLOOKUP('Données projet'!$B$9,Paramètres!$A$1:$I$89,3,0)*VLOOKUP('Données projet'!$B$9,Paramètres!$A$1:$I$89,5,0)</f>
        <v>176.41000000000003</v>
      </c>
      <c r="P91" s="13">
        <f t="shared" si="87"/>
        <v>44.522543239204609</v>
      </c>
      <c r="Q91" s="20">
        <f t="shared" si="54"/>
        <v>384.79084614161474</v>
      </c>
      <c r="R91" s="59">
        <f t="shared" si="55"/>
        <v>658.47257851080849</v>
      </c>
      <c r="S91" s="59">
        <f ca="1">AVERAGE(OFFSET($R$3,0,0,'Données projet'!$E$9+1,1))-AVERAGE(OFFSET($H$3,0,0,'Données projet'!$E$9+1,1))</f>
        <v>219.4022220248072</v>
      </c>
      <c r="T91" s="59">
        <f t="shared" si="88"/>
        <v>199.30065726913725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18.366717784509135</v>
      </c>
      <c r="AA91" s="21">
        <f>EXP(-LN(2)/25)*AA90+(1-EXP(-LN(2)/25))/(LN(2)/25)*Calculateur!V91*Calculateur!X91*VLOOKUP('Données projet'!$B$9,Paramètres!$A$1:$I$89,3,0)*0.475*44/12</f>
        <v>3.1203702933551174</v>
      </c>
      <c r="AB91" s="21">
        <f>EXP(-LN(2)/2)*AB90+(1-EXP(-LN(2)/2))/(LN(2)/2)*V91*Y91*VLOOKUP('Données projet'!$B$9,Paramètres!$A$1:$I$89,3,0)*0.475*44/12</f>
        <v>1.210480252506949E-4</v>
      </c>
      <c r="AC91" s="22">
        <f t="shared" si="57"/>
        <v>21.4872091258895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5.4</v>
      </c>
      <c r="AI91" s="13">
        <f>IF('Données projet'!$A$62&gt;35,AI90+AH91-AQ90,IF(A91&lt;'Données projet'!$A$62,$AF$205^A91,IF(A91='Données projet'!$A$62,'Données projet'!$B$62,AI90+AH91-AQ90)))</f>
        <v>264.19999999999987</v>
      </c>
      <c r="AJ91" s="13">
        <f>AI91*VLOOKUP('Données projet'!$B$10,Paramètres!$A$1:$I$89,3,0)*VLOOKUP('Données projet'!$B$10,Paramètres!$A$1:$I$89,5,0)</f>
        <v>239.04815999999985</v>
      </c>
      <c r="AK91" s="13">
        <f t="shared" si="89"/>
        <v>58.234690128947292</v>
      </c>
      <c r="AL91" s="20">
        <f t="shared" si="58"/>
        <v>517.76763064124964</v>
      </c>
      <c r="AM91" s="59">
        <f t="shared" si="59"/>
        <v>791.44936301044334</v>
      </c>
      <c r="AN91" s="59">
        <f ca="1">AVERAGE(OFFSET($AM$3,0,0,'Données projet'!$E$10+1,1))-AVERAGE(OFFSET($H$3,0,0,'Données projet'!$E$10+1,1))</f>
        <v>406.64650428071837</v>
      </c>
      <c r="AO91" s="59">
        <f t="shared" si="90"/>
        <v>250.47702091764884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43.638284636290628</v>
      </c>
      <c r="AV91" s="21">
        <f>EXP(-LN(2)/25)*AV90+(1-EXP(-LN(2)/25))/(LN(2)/25)*Calculateur!AQ91*Calculateur!AS91*VLOOKUP('Données projet'!$B$10,Paramètres!$A$1:$I$89,3,0)*0.475*44/12</f>
        <v>2.1792075073713466</v>
      </c>
      <c r="AW91" s="21">
        <f>EXP(-LN(2)/2)*AW90+(1-EXP(-LN(2)/2))/(LN(2)/2)*AQ91*AT91*VLOOKUP('Données projet'!$B$10,Paramètres!$A$1:$I$89,3,0)*0.475*44/12</f>
        <v>0.46197114374753601</v>
      </c>
      <c r="AX91" s="21">
        <f t="shared" si="60"/>
        <v>46.279463287409506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290.99999999999994</v>
      </c>
      <c r="BE91" s="13">
        <f>BD91*VLOOKUP('Données projet'!$B$11,Paramètres!$A$1:$I$89,3,0)*VLOOKUP('Données projet'!$B$11,Paramètres!$A$1:$I$89,5,0)</f>
        <v>276.91559999999993</v>
      </c>
      <c r="BF91" s="13">
        <f t="shared" si="91"/>
        <v>66.314766879144742</v>
      </c>
      <c r="BG91" s="20">
        <f t="shared" si="61"/>
        <v>597.79288898117682</v>
      </c>
      <c r="BH91" s="59">
        <f t="shared" si="62"/>
        <v>871.47462135037051</v>
      </c>
      <c r="BI91" s="59">
        <f ca="1">AVERAGE(OFFSET($BH$3,0,0,'Données projet'!$E$11+1,1))-AVERAGE(OFFSET($H$3,0,0,'Données projet'!$E$11+1,1))</f>
        <v>387.78453964980849</v>
      </c>
      <c r="BJ91" s="59">
        <f t="shared" si="92"/>
        <v>395.13533152274488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31.809047129549008</v>
      </c>
      <c r="BQ91" s="21">
        <f>EXP(-LN(2)/25)*BQ90+(1-EXP(-LN(2)/25))/(LN(2)/25)*Calculateur!BL91*Calculateur!BN91*VLOOKUP('Données projet'!$B$11,Paramètres!$A$1:$I$89,3,0)*0.475*44/12</f>
        <v>1.6616108337427937</v>
      </c>
      <c r="BR91" s="21">
        <f>EXP(-LN(2)/2)*BR90+(1-EXP(-LN(2)/2))/(LN(2)/2)*BL91*BO91*VLOOKUP('Données projet'!$B$11,Paramètres!$A$1:$I$89,3,0)*0.475*44/12</f>
        <v>2.834597860794505E-3</v>
      </c>
      <c r="BS91" s="22">
        <f t="shared" si="63"/>
        <v>33.473492561152597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">
      <c r="A92" s="10">
        <f t="shared" si="85"/>
        <v>89</v>
      </c>
      <c r="B92" s="73">
        <f>'Scénario référence'!$B$16*5+'Scénario référence'!$B$17*0+'Scénario référence'!$B$18*5</f>
        <v>5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">
        <f t="shared" si="86"/>
        <v>0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18.333333333333332</v>
      </c>
      <c r="H92" s="67">
        <f t="shared" si="56"/>
        <v>183.33333333333334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295</v>
      </c>
      <c r="O92" s="13">
        <f>N92*VLOOKUP('Données projet'!$B$9,Paramètres!$A$1:$I$89,3,0)*VLOOKUP('Données projet'!$B$9,Paramètres!$A$1:$I$89,5,0)</f>
        <v>176.41000000000003</v>
      </c>
      <c r="P92" s="13">
        <f t="shared" si="87"/>
        <v>44.522543239204609</v>
      </c>
      <c r="Q92" s="20">
        <f t="shared" si="54"/>
        <v>384.79084614161474</v>
      </c>
      <c r="R92" s="59">
        <f t="shared" si="55"/>
        <v>658.81348985313832</v>
      </c>
      <c r="S92" s="59">
        <f ca="1">AVERAGE(OFFSET($R$3,0,0,'Données projet'!$E$9+1,1))-AVERAGE(OFFSET($H$3,0,0,'Données projet'!$E$9+1,1))</f>
        <v>219.4022220248072</v>
      </c>
      <c r="T92" s="59">
        <f t="shared" si="88"/>
        <v>199.30065726913725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18.006557651346593</v>
      </c>
      <c r="AA92" s="21">
        <f>EXP(-LN(2)/25)*AA91+(1-EXP(-LN(2)/25))/(LN(2)/25)*Calculateur!V92*Calculateur!X92*VLOOKUP('Données projet'!$B$9,Paramètres!$A$1:$I$89,3,0)*0.475*44/12</f>
        <v>3.0350436035901796</v>
      </c>
      <c r="AB92" s="21">
        <f>EXP(-LN(2)/2)*AB91+(1-EXP(-LN(2)/2))/(LN(2)/2)*V92*Y92*VLOOKUP('Données projet'!$B$9,Paramètres!$A$1:$I$89,3,0)*0.475*44/12</f>
        <v>8.5593879504006806E-5</v>
      </c>
      <c r="AC92" s="22">
        <f t="shared" si="57"/>
        <v>21.041686848816276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5.4</v>
      </c>
      <c r="AI92" s="13">
        <f>IF('Données projet'!$A$62&gt;35,AI91+AH92-AQ91,IF(A92&lt;'Données projet'!$A$62,$AF$205^A92,IF(A92='Données projet'!$A$62,'Données projet'!$B$62,AI91+AH92-AQ91)))</f>
        <v>269.59999999999985</v>
      </c>
      <c r="AJ92" s="13">
        <f>AI92*VLOOKUP('Données projet'!$B$10,Paramètres!$A$1:$I$89,3,0)*VLOOKUP('Données projet'!$B$10,Paramètres!$A$1:$I$89,5,0)</f>
        <v>243.93407999999988</v>
      </c>
      <c r="AK92" s="13">
        <f t="shared" si="89"/>
        <v>59.285164329617594</v>
      </c>
      <c r="AL92" s="20">
        <f t="shared" si="58"/>
        <v>528.10685054075043</v>
      </c>
      <c r="AM92" s="59">
        <f t="shared" si="59"/>
        <v>802.12949425227407</v>
      </c>
      <c r="AN92" s="59">
        <f ca="1">AVERAGE(OFFSET($AM$3,0,0,'Données projet'!$E$10+1,1))-AVERAGE(OFFSET($H$3,0,0,'Données projet'!$E$10+1,1))</f>
        <v>406.64650428071837</v>
      </c>
      <c r="AO92" s="59">
        <f t="shared" si="90"/>
        <v>250.47702091764884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42.782564491298416</v>
      </c>
      <c r="AV92" s="21">
        <f>EXP(-LN(2)/25)*AV91+(1-EXP(-LN(2)/25))/(LN(2)/25)*Calculateur!AQ92*Calculateur!AS92*VLOOKUP('Données projet'!$B$10,Paramètres!$A$1:$I$89,3,0)*0.475*44/12</f>
        <v>2.1196169634827351</v>
      </c>
      <c r="AW92" s="21">
        <f>EXP(-LN(2)/2)*AW91+(1-EXP(-LN(2)/2))/(LN(2)/2)*AQ92*AT92*VLOOKUP('Données projet'!$B$10,Paramètres!$A$1:$I$89,3,0)*0.475*44/12</f>
        <v>0.32666292845638806</v>
      </c>
      <c r="AX92" s="21">
        <f t="shared" si="60"/>
        <v>45.228844383237536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290.99999999999994</v>
      </c>
      <c r="BE92" s="13">
        <f>BD92*VLOOKUP('Données projet'!$B$11,Paramètres!$A$1:$I$89,3,0)*VLOOKUP('Données projet'!$B$11,Paramètres!$A$1:$I$89,5,0)</f>
        <v>276.91559999999993</v>
      </c>
      <c r="BF92" s="13">
        <f t="shared" si="91"/>
        <v>66.314766879144742</v>
      </c>
      <c r="BG92" s="20">
        <f t="shared" si="61"/>
        <v>597.79288898117682</v>
      </c>
      <c r="BH92" s="59">
        <f t="shared" si="62"/>
        <v>871.81553269270034</v>
      </c>
      <c r="BI92" s="59">
        <f ca="1">AVERAGE(OFFSET($BH$3,0,0,'Données projet'!$E$11+1,1))-AVERAGE(OFFSET($H$3,0,0,'Données projet'!$E$11+1,1))</f>
        <v>387.78453964980849</v>
      </c>
      <c r="BJ92" s="59">
        <f t="shared" si="92"/>
        <v>395.13533152274488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31.185291116941553</v>
      </c>
      <c r="BQ92" s="21">
        <f>EXP(-LN(2)/25)*BQ91+(1-EXP(-LN(2)/25))/(LN(2)/25)*Calculateur!BL92*Calculateur!BN92*VLOOKUP('Données projet'!$B$11,Paramètres!$A$1:$I$89,3,0)*0.475*44/12</f>
        <v>1.616173998113781</v>
      </c>
      <c r="BR92" s="21">
        <f>EXP(-LN(2)/2)*BR91+(1-EXP(-LN(2)/2))/(LN(2)/2)*BL92*BO92*VLOOKUP('Données projet'!$B$11,Paramètres!$A$1:$I$89,3,0)*0.475*44/12</f>
        <v>2.0043633693046757E-3</v>
      </c>
      <c r="BS92" s="22">
        <f t="shared" si="63"/>
        <v>32.803469478424638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">
      <c r="A93" s="10">
        <f t="shared" si="85"/>
        <v>90</v>
      </c>
      <c r="B93" s="73">
        <f>'Scénario référence'!$B$16*5+'Scénario référence'!$B$17*0+'Scénario référence'!$B$18*5</f>
        <v>5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">
        <f t="shared" si="86"/>
        <v>0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18.333333333333332</v>
      </c>
      <c r="H93" s="67">
        <f t="shared" si="56"/>
        <v>183.33333333333334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295</v>
      </c>
      <c r="O93" s="13">
        <f>N93*VLOOKUP('Données projet'!$B$9,Paramètres!$A$1:$I$89,3,0)*VLOOKUP('Données projet'!$B$9,Paramètres!$A$1:$I$89,5,0)</f>
        <v>176.41000000000003</v>
      </c>
      <c r="P93" s="13">
        <f t="shared" si="87"/>
        <v>44.522543239204609</v>
      </c>
      <c r="Q93" s="20">
        <f t="shared" si="54"/>
        <v>384.79084614161474</v>
      </c>
      <c r="R93" s="59">
        <f t="shared" si="55"/>
        <v>659.14848714584241</v>
      </c>
      <c r="S93" s="59">
        <f ca="1">AVERAGE(OFFSET($R$3,0,0,'Données projet'!$E$9+1,1))-AVERAGE(OFFSET($H$3,0,0,'Données projet'!$E$9+1,1))</f>
        <v>219.4022220248072</v>
      </c>
      <c r="T93" s="59">
        <f t="shared" si="88"/>
        <v>199.30065726913725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17.653460038719381</v>
      </c>
      <c r="AA93" s="21">
        <f>EXP(-LN(2)/25)*AA92+(1-EXP(-LN(2)/25))/(LN(2)/25)*Calculateur!V93*Calculateur!X93*VLOOKUP('Données projet'!$B$9,Paramètres!$A$1:$I$89,3,0)*0.475*44/12</f>
        <v>2.9520501766439997</v>
      </c>
      <c r="AB93" s="21">
        <f>EXP(-LN(2)/2)*AB92+(1-EXP(-LN(2)/2))/(LN(2)/2)*V93*Y93*VLOOKUP('Données projet'!$B$9,Paramètres!$A$1:$I$89,3,0)*0.475*44/12</f>
        <v>6.0524012625347462E-5</v>
      </c>
      <c r="AC93" s="22">
        <f t="shared" si="57"/>
        <v>20.605570739376006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>
        <f>VLOOKUP(A93,'Données projet'!$A$61:$I$81,2,0)</f>
        <v>275</v>
      </c>
      <c r="AG93" s="12">
        <f>VLOOKUP(A93,'Données projet'!$A$61:$I$81,9,0)</f>
        <v>5.4</v>
      </c>
      <c r="AH93" s="12">
        <f t="array" ref="AH93">INDEX(AG:AG,MIN(IF(ISNUMBER(AG93:AG289),ROW(AG93:AG289),"")))</f>
        <v>5.4</v>
      </c>
      <c r="AI93" s="13">
        <f>IF('Données projet'!$A$62&gt;35,AI92+AH93-AQ92,IF(A93&lt;'Données projet'!$A$62,$AF$205^A93,IF(A93='Données projet'!$A$62,'Données projet'!$B$62,AI92+AH93-AQ92)))</f>
        <v>274.99999999999983</v>
      </c>
      <c r="AJ93" s="13">
        <f>AI93*VLOOKUP('Données projet'!$B$10,Paramètres!$A$1:$I$89,3,0)*VLOOKUP('Données projet'!$B$10,Paramètres!$A$1:$I$89,5,0)</f>
        <v>248.81999999999982</v>
      </c>
      <c r="AK93" s="13">
        <f t="shared" si="89"/>
        <v>60.333192077890018</v>
      </c>
      <c r="AL93" s="20">
        <f t="shared" si="58"/>
        <v>538.44180953565808</v>
      </c>
      <c r="AM93" s="59">
        <f t="shared" si="59"/>
        <v>812.79945053988581</v>
      </c>
      <c r="AN93" s="59">
        <f ca="1">AVERAGE(OFFSET($AM$3,0,0,'Données projet'!$E$10+1,1))-AVERAGE(OFFSET($H$3,0,0,'Données projet'!$E$10+1,1))</f>
        <v>406.64650428071837</v>
      </c>
      <c r="AO93" s="59">
        <f t="shared" si="90"/>
        <v>250.47702091764884</v>
      </c>
      <c r="AP93" s="15">
        <f>IF(ISNA(VLOOKUP(A93,'Données projet'!$A$61:$I$81,3,0)),0,VLOOKUP(A93,'Données projet'!$A$61:$I$81,3,0))</f>
        <v>14</v>
      </c>
      <c r="AQ93" s="15">
        <f>IF(ISNA(VLOOKUP(A93,'Données projet'!$A$61:$I$81,4,0)),0,VLOOKUP(A93,'Données projet'!$A$61:$I$81,4,0))</f>
        <v>21</v>
      </c>
      <c r="AR93" s="16">
        <f>IF(ISNA(VLOOKUP(A93,'Données projet'!$A$61:$I$81,5,0)),0%,VLOOKUP(A93,'Données projet'!$A$61:$I$81,5,0)*VLOOKUP('Données projet'!$B$10,Paramètres!$A$1:$I$89,7,0))</f>
        <v>0.34400000000000003</v>
      </c>
      <c r="AS93" s="16">
        <f>IF(ISNA(VLOOKUP(A93,'Données projet'!$A$61:$I$81,6,0)),0%,VLOOKUP(A93,'Données projet'!$A$61:$I$81,6,0)*VLOOKUP('Données projet'!$B$10,Paramètres!$A$1:$I$89,7,0))</f>
        <v>1.72E-2</v>
      </c>
      <c r="AT93" s="16">
        <f>IF(ISNA(VLOOKUP(A93,'Données projet'!$A$61:$I$81,7,0)),0%,VLOOKUP(A93,'Données projet'!$A$61:$I$81,7,0))</f>
        <v>0.06</v>
      </c>
      <c r="AU93" s="21">
        <f>EXP(-LN(2)/35)*AU92+(1-EXP(-LN(2)/35))/(LN(2)/35)*AQ93*AR93*VLOOKUP('Données projet'!$B$10,Paramètres!$A$1:$I$89,3,0)*0.475*44/12</f>
        <v>49.169283122487556</v>
      </c>
      <c r="AV93" s="21">
        <f>EXP(-LN(2)/25)*AV92+(1-EXP(-LN(2)/25))/(LN(2)/25)*Calculateur!AQ93*Calculateur!AS93*VLOOKUP('Données projet'!$B$10,Paramètres!$A$1:$I$89,3,0)*0.475*44/12</f>
        <v>2.421516348894146</v>
      </c>
      <c r="AW93" s="21">
        <f>EXP(-LN(2)/2)*AW92+(1-EXP(-LN(2)/2))/(LN(2)/2)*AQ93*AT93*VLOOKUP('Données projet'!$B$10,Paramètres!$A$1:$I$89,3,0)*0.475*44/12</f>
        <v>1.3066515438158115</v>
      </c>
      <c r="AX93" s="21">
        <f t="shared" si="60"/>
        <v>52.897451015197511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290.99999999999994</v>
      </c>
      <c r="BE93" s="13">
        <f>BD93*VLOOKUP('Données projet'!$B$11,Paramètres!$A$1:$I$89,3,0)*VLOOKUP('Données projet'!$B$11,Paramètres!$A$1:$I$89,5,0)</f>
        <v>276.91559999999993</v>
      </c>
      <c r="BF93" s="13">
        <f t="shared" si="91"/>
        <v>66.314766879144742</v>
      </c>
      <c r="BG93" s="20">
        <f t="shared" si="61"/>
        <v>597.79288898117682</v>
      </c>
      <c r="BH93" s="59">
        <f t="shared" si="62"/>
        <v>872.15052998540455</v>
      </c>
      <c r="BI93" s="59">
        <f ca="1">AVERAGE(OFFSET($BH$3,0,0,'Données projet'!$E$11+1,1))-AVERAGE(OFFSET($H$3,0,0,'Données projet'!$E$11+1,1))</f>
        <v>387.78453964980849</v>
      </c>
      <c r="BJ93" s="59">
        <f t="shared" si="92"/>
        <v>395.13533152274488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30.573766579287728</v>
      </c>
      <c r="BQ93" s="21">
        <f>EXP(-LN(2)/25)*BQ92+(1-EXP(-LN(2)/25))/(LN(2)/25)*Calculateur!BL93*Calculateur!BN93*VLOOKUP('Données projet'!$B$11,Paramètres!$A$1:$I$89,3,0)*0.475*44/12</f>
        <v>1.571979635144463</v>
      </c>
      <c r="BR93" s="21">
        <f>EXP(-LN(2)/2)*BR92+(1-EXP(-LN(2)/2))/(LN(2)/2)*BL93*BO93*VLOOKUP('Données projet'!$B$11,Paramètres!$A$1:$I$89,3,0)*0.475*44/12</f>
        <v>1.4172989303972525E-3</v>
      </c>
      <c r="BS93" s="22">
        <f t="shared" si="63"/>
        <v>32.147163513362592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">
      <c r="A94" s="10">
        <f t="shared" si="85"/>
        <v>91</v>
      </c>
      <c r="B94" s="73">
        <f>'Scénario référence'!$B$16*5+'Scénario référence'!$B$17*0+'Scénario référence'!$B$18*5</f>
        <v>5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">
        <f t="shared" si="86"/>
        <v>0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18.333333333333332</v>
      </c>
      <c r="H94" s="67">
        <f t="shared" si="56"/>
        <v>183.33333333333334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295</v>
      </c>
      <c r="O94" s="13">
        <f>N94*VLOOKUP('Données projet'!$B$9,Paramètres!$A$1:$I$89,3,0)*VLOOKUP('Données projet'!$B$9,Paramètres!$A$1:$I$89,5,0)</f>
        <v>176.41000000000003</v>
      </c>
      <c r="P94" s="13">
        <f t="shared" si="87"/>
        <v>44.522543239204609</v>
      </c>
      <c r="Q94" s="20">
        <f t="shared" si="54"/>
        <v>384.79084614161474</v>
      </c>
      <c r="R94" s="59">
        <f t="shared" si="55"/>
        <v>659.47767298445979</v>
      </c>
      <c r="S94" s="59">
        <f ca="1">AVERAGE(OFFSET($R$3,0,0,'Données projet'!$E$9+1,1))-AVERAGE(OFFSET($H$3,0,0,'Données projet'!$E$9+1,1))</f>
        <v>219.4022220248072</v>
      </c>
      <c r="T94" s="59">
        <f t="shared" si="88"/>
        <v>199.30065726913725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17.307286454907508</v>
      </c>
      <c r="AA94" s="21">
        <f>EXP(-LN(2)/25)*AA93+(1-EXP(-LN(2)/25))/(LN(2)/25)*Calculateur!V94*Calculateur!X94*VLOOKUP('Données projet'!$B$9,Paramètres!$A$1:$I$89,3,0)*0.475*44/12</f>
        <v>2.8713262093220977</v>
      </c>
      <c r="AB94" s="21">
        <f>EXP(-LN(2)/2)*AB93+(1-EXP(-LN(2)/2))/(LN(2)/2)*V94*Y94*VLOOKUP('Données projet'!$B$9,Paramètres!$A$1:$I$89,3,0)*0.475*44/12</f>
        <v>4.279693975200341E-5</v>
      </c>
      <c r="AC94" s="22">
        <f t="shared" si="57"/>
        <v>20.17865546116936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5</v>
      </c>
      <c r="AI94" s="13">
        <f>IF('Données projet'!$A$62&gt;35,AI93+AH94-AQ93,IF(A94&lt;'Données projet'!$A$62,$AF$205^A94,IF(A94='Données projet'!$A$62,'Données projet'!$B$62,AI93+AH94-AQ93)))</f>
        <v>258.99999999999983</v>
      </c>
      <c r="AJ94" s="13">
        <f>AI94*VLOOKUP('Données projet'!$B$10,Paramètres!$A$1:$I$89,3,0)*VLOOKUP('Données projet'!$B$10,Paramètres!$A$1:$I$89,5,0)</f>
        <v>234.34319999999983</v>
      </c>
      <c r="AK94" s="13">
        <f t="shared" si="89"/>
        <v>57.220758006491614</v>
      </c>
      <c r="AL94" s="20">
        <f t="shared" si="58"/>
        <v>507.80722686130588</v>
      </c>
      <c r="AM94" s="59">
        <f t="shared" si="59"/>
        <v>782.49405370415093</v>
      </c>
      <c r="AN94" s="59">
        <f ca="1">AVERAGE(OFFSET($AM$3,0,0,'Données projet'!$E$10+1,1))-AVERAGE(OFFSET($H$3,0,0,'Données projet'!$E$10+1,1))</f>
        <v>406.64650428071837</v>
      </c>
      <c r="AO94" s="59">
        <f t="shared" si="90"/>
        <v>250.47702091764884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48.205103470756981</v>
      </c>
      <c r="AV94" s="21">
        <f>EXP(-LN(2)/25)*AV93+(1-EXP(-LN(2)/25))/(LN(2)/25)*Calculateur!AQ94*Calculateur!AS94*VLOOKUP('Données projet'!$B$10,Paramètres!$A$1:$I$89,3,0)*0.475*44/12</f>
        <v>2.3552998569916253</v>
      </c>
      <c r="AW94" s="21">
        <f>EXP(-LN(2)/2)*AW93+(1-EXP(-LN(2)/2))/(LN(2)/2)*AQ94*AT94*VLOOKUP('Données projet'!$B$10,Paramètres!$A$1:$I$89,3,0)*0.475*44/12</f>
        <v>0.92394216728003165</v>
      </c>
      <c r="AX94" s="21">
        <f t="shared" si="60"/>
        <v>51.484345495028641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290.99999999999994</v>
      </c>
      <c r="BE94" s="13">
        <f>BD94*VLOOKUP('Données projet'!$B$11,Paramètres!$A$1:$I$89,3,0)*VLOOKUP('Données projet'!$B$11,Paramètres!$A$1:$I$89,5,0)</f>
        <v>276.91559999999993</v>
      </c>
      <c r="BF94" s="13">
        <f t="shared" si="91"/>
        <v>66.314766879144742</v>
      </c>
      <c r="BG94" s="20">
        <f t="shared" si="61"/>
        <v>597.79288898117682</v>
      </c>
      <c r="BH94" s="59">
        <f t="shared" si="62"/>
        <v>872.47971582402192</v>
      </c>
      <c r="BI94" s="59">
        <f ca="1">AVERAGE(OFFSET($BH$3,0,0,'Données projet'!$E$11+1,1))-AVERAGE(OFFSET($H$3,0,0,'Données projet'!$E$11+1,1))</f>
        <v>387.78453964980849</v>
      </c>
      <c r="BJ94" s="59">
        <f t="shared" si="92"/>
        <v>395.13533152274488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29.974233664824158</v>
      </c>
      <c r="BQ94" s="21">
        <f>EXP(-LN(2)/25)*BQ93+(1-EXP(-LN(2)/25))/(LN(2)/25)*Calculateur!BL94*Calculateur!BN94*VLOOKUP('Données projet'!$B$11,Paramètres!$A$1:$I$89,3,0)*0.475*44/12</f>
        <v>1.5289937693546214</v>
      </c>
      <c r="BR94" s="21">
        <f>EXP(-LN(2)/2)*BR93+(1-EXP(-LN(2)/2))/(LN(2)/2)*BL94*BO94*VLOOKUP('Données projet'!$B$11,Paramètres!$A$1:$I$89,3,0)*0.475*44/12</f>
        <v>1.0021816846523379E-3</v>
      </c>
      <c r="BS94" s="22">
        <f t="shared" si="63"/>
        <v>31.50422961586343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">
      <c r="A95" s="10">
        <f t="shared" si="85"/>
        <v>92</v>
      </c>
      <c r="B95" s="73">
        <f>'Scénario référence'!$B$16*5+'Scénario référence'!$B$17*0+'Scénario référence'!$B$18*5</f>
        <v>5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">
        <f t="shared" si="86"/>
        <v>0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18.333333333333332</v>
      </c>
      <c r="H95" s="67">
        <f t="shared" si="56"/>
        <v>183.33333333333334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295</v>
      </c>
      <c r="O95" s="13">
        <f>N95*VLOOKUP('Données projet'!$B$9,Paramètres!$A$1:$I$89,3,0)*VLOOKUP('Données projet'!$B$9,Paramètres!$A$1:$I$89,5,0)</f>
        <v>176.41000000000003</v>
      </c>
      <c r="P95" s="13">
        <f t="shared" si="87"/>
        <v>44.522543239204609</v>
      </c>
      <c r="Q95" s="20">
        <f t="shared" si="54"/>
        <v>384.79084614161474</v>
      </c>
      <c r="R95" s="59">
        <f t="shared" si="55"/>
        <v>659.80114818472646</v>
      </c>
      <c r="S95" s="59">
        <f ca="1">AVERAGE(OFFSET($R$3,0,0,'Données projet'!$E$9+1,1))-AVERAGE(OFFSET($H$3,0,0,'Données projet'!$E$9+1,1))</f>
        <v>219.4022220248072</v>
      </c>
      <c r="T95" s="59">
        <f t="shared" si="88"/>
        <v>199.30065726913725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16.967901123929153</v>
      </c>
      <c r="AA95" s="21">
        <f>EXP(-LN(2)/25)*AA94+(1-EXP(-LN(2)/25))/(LN(2)/25)*Calculateur!V95*Calculateur!X95*VLOOKUP('Données projet'!$B$9,Paramètres!$A$1:$I$89,3,0)*0.475*44/12</f>
        <v>2.7928096431317022</v>
      </c>
      <c r="AB95" s="21">
        <f>EXP(-LN(2)/2)*AB94+(1-EXP(-LN(2)/2))/(LN(2)/2)*V95*Y95*VLOOKUP('Données projet'!$B$9,Paramètres!$A$1:$I$89,3,0)*0.475*44/12</f>
        <v>3.0262006312673734E-5</v>
      </c>
      <c r="AC95" s="22">
        <f t="shared" si="57"/>
        <v>19.760741029067166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5</v>
      </c>
      <c r="AI95" s="13">
        <f>IF('Données projet'!$A$62&gt;35,AI94+AH95-AQ94,IF(A95&lt;'Données projet'!$A$62,$AF$205^A95,IF(A95='Données projet'!$A$62,'Données projet'!$B$62,AI94+AH95-AQ94)))</f>
        <v>263.99999999999983</v>
      </c>
      <c r="AJ95" s="13">
        <f>AI95*VLOOKUP('Données projet'!$B$10,Paramètres!$A$1:$I$89,3,0)*VLOOKUP('Données projet'!$B$10,Paramètres!$A$1:$I$89,5,0)</f>
        <v>238.86719999999983</v>
      </c>
      <c r="AK95" s="13">
        <f t="shared" si="89"/>
        <v>58.195735973104156</v>
      </c>
      <c r="AL95" s="20">
        <f t="shared" si="58"/>
        <v>517.38461348648946</v>
      </c>
      <c r="AM95" s="59">
        <f t="shared" si="59"/>
        <v>792.39491552960112</v>
      </c>
      <c r="AN95" s="59">
        <f ca="1">AVERAGE(OFFSET($AM$3,0,0,'Données projet'!$E$10+1,1))-AVERAGE(OFFSET($H$3,0,0,'Données projet'!$E$10+1,1))</f>
        <v>406.64650428071837</v>
      </c>
      <c r="AO95" s="59">
        <f t="shared" si="90"/>
        <v>250.47702091764884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47.25983079390533</v>
      </c>
      <c r="AV95" s="21">
        <f>EXP(-LN(2)/25)*AV94+(1-EXP(-LN(2)/25))/(LN(2)/25)*Calculateur!AQ95*Calculateur!AS95*VLOOKUP('Données projet'!$B$10,Paramètres!$A$1:$I$89,3,0)*0.475*44/12</f>
        <v>2.290894058542353</v>
      </c>
      <c r="AW95" s="21">
        <f>EXP(-LN(2)/2)*AW94+(1-EXP(-LN(2)/2))/(LN(2)/2)*AQ95*AT95*VLOOKUP('Données projet'!$B$10,Paramètres!$A$1:$I$89,3,0)*0.475*44/12</f>
        <v>0.65332577190790586</v>
      </c>
      <c r="AX95" s="21">
        <f t="shared" si="60"/>
        <v>50.204050624355595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290.99999999999994</v>
      </c>
      <c r="BE95" s="13">
        <f>BD95*VLOOKUP('Données projet'!$B$11,Paramètres!$A$1:$I$89,3,0)*VLOOKUP('Données projet'!$B$11,Paramètres!$A$1:$I$89,5,0)</f>
        <v>276.91559999999993</v>
      </c>
      <c r="BF95" s="13">
        <f t="shared" si="91"/>
        <v>66.314766879144742</v>
      </c>
      <c r="BG95" s="20">
        <f t="shared" si="61"/>
        <v>597.79288898117682</v>
      </c>
      <c r="BH95" s="59">
        <f t="shared" si="62"/>
        <v>872.80319102428848</v>
      </c>
      <c r="BI95" s="59">
        <f ca="1">AVERAGE(OFFSET($BH$3,0,0,'Données projet'!$E$11+1,1))-AVERAGE(OFFSET($H$3,0,0,'Données projet'!$E$11+1,1))</f>
        <v>387.78453964980849</v>
      </c>
      <c r="BJ95" s="59">
        <f t="shared" si="92"/>
        <v>395.13533152274488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29.386457225134247</v>
      </c>
      <c r="BQ95" s="21">
        <f>EXP(-LN(2)/25)*BQ94+(1-EXP(-LN(2)/25))/(LN(2)/25)*Calculateur!BL95*Calculateur!BN95*VLOOKUP('Données projet'!$B$11,Paramètres!$A$1:$I$89,3,0)*0.475*44/12</f>
        <v>1.4871833543253314</v>
      </c>
      <c r="BR95" s="21">
        <f>EXP(-LN(2)/2)*BR94+(1-EXP(-LN(2)/2))/(LN(2)/2)*BL95*BO95*VLOOKUP('Données projet'!$B$11,Paramètres!$A$1:$I$89,3,0)*0.475*44/12</f>
        <v>7.0864946519862625E-4</v>
      </c>
      <c r="BS95" s="22">
        <f t="shared" si="63"/>
        <v>30.874349228924778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">
      <c r="A96" s="10">
        <f t="shared" si="85"/>
        <v>93</v>
      </c>
      <c r="B96" s="73">
        <f>'Scénario référence'!$B$16*5+'Scénario référence'!$B$17*0+'Scénario référence'!$B$18*5</f>
        <v>5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">
        <f t="shared" si="86"/>
        <v>0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18.333333333333332</v>
      </c>
      <c r="H96" s="67">
        <f t="shared" si="56"/>
        <v>183.33333333333334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295</v>
      </c>
      <c r="O96" s="13">
        <f>N96*VLOOKUP('Données projet'!$B$9,Paramètres!$A$1:$I$89,3,0)*VLOOKUP('Données projet'!$B$9,Paramètres!$A$1:$I$89,5,0)</f>
        <v>176.41000000000003</v>
      </c>
      <c r="P96" s="13">
        <f t="shared" si="87"/>
        <v>44.522543239204609</v>
      </c>
      <c r="Q96" s="20">
        <f t="shared" si="54"/>
        <v>384.79084614161474</v>
      </c>
      <c r="R96" s="59">
        <f t="shared" si="55"/>
        <v>660.1190118134507</v>
      </c>
      <c r="S96" s="59">
        <f ca="1">AVERAGE(OFFSET($R$3,0,0,'Données projet'!$E$9+1,1))-AVERAGE(OFFSET($H$3,0,0,'Données projet'!$E$9+1,1))</f>
        <v>219.4022220248072</v>
      </c>
      <c r="T96" s="59">
        <f t="shared" si="88"/>
        <v>199.30065726913725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16.63517093228667</v>
      </c>
      <c r="AA96" s="21">
        <f>EXP(-LN(2)/25)*AA95+(1-EXP(-LN(2)/25))/(LN(2)/25)*Calculateur!V96*Calculateur!X96*VLOOKUP('Données projet'!$B$9,Paramètres!$A$1:$I$89,3,0)*0.475*44/12</f>
        <v>2.7164401165727896</v>
      </c>
      <c r="AB96" s="21">
        <f>EXP(-LN(2)/2)*AB95+(1-EXP(-LN(2)/2))/(LN(2)/2)*V96*Y96*VLOOKUP('Données projet'!$B$9,Paramètres!$A$1:$I$89,3,0)*0.475*44/12</f>
        <v>2.1398469876001708E-5</v>
      </c>
      <c r="AC96" s="22">
        <f t="shared" si="57"/>
        <v>19.351632447329337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5</v>
      </c>
      <c r="AI96" s="13">
        <f>IF('Données projet'!$A$62&gt;35,AI95+AH96-AQ95,IF(A96&lt;'Données projet'!$A$62,$AF$205^A96,IF(A96='Données projet'!$A$62,'Données projet'!$B$62,AI95+AH96-AQ95)))</f>
        <v>268.99999999999983</v>
      </c>
      <c r="AJ96" s="13">
        <f>AI96*VLOOKUP('Données projet'!$B$10,Paramètres!$A$1:$I$89,3,0)*VLOOKUP('Données projet'!$B$10,Paramètres!$A$1:$I$89,5,0)</f>
        <v>243.39119999999986</v>
      </c>
      <c r="AK96" s="13">
        <f t="shared" si="89"/>
        <v>59.168566788241527</v>
      </c>
      <c r="AL96" s="20">
        <f t="shared" si="58"/>
        <v>526.95826048952051</v>
      </c>
      <c r="AM96" s="59">
        <f t="shared" si="59"/>
        <v>802.28642616135653</v>
      </c>
      <c r="AN96" s="59">
        <f ca="1">AVERAGE(OFFSET($AM$3,0,0,'Données projet'!$E$10+1,1))-AVERAGE(OFFSET($H$3,0,0,'Données projet'!$E$10+1,1))</f>
        <v>406.64650428071837</v>
      </c>
      <c r="AO96" s="59">
        <f t="shared" si="90"/>
        <v>250.47702091764884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46.333094337687335</v>
      </c>
      <c r="AV96" s="21">
        <f>EXP(-LN(2)/25)*AV95+(1-EXP(-LN(2)/25))/(LN(2)/25)*Calculateur!AQ96*Calculateur!AS96*VLOOKUP('Données projet'!$B$10,Paramètres!$A$1:$I$89,3,0)*0.475*44/12</f>
        <v>2.2282494400386295</v>
      </c>
      <c r="AW96" s="21">
        <f>EXP(-LN(2)/2)*AW95+(1-EXP(-LN(2)/2))/(LN(2)/2)*AQ96*AT96*VLOOKUP('Données projet'!$B$10,Paramètres!$A$1:$I$89,3,0)*0.475*44/12</f>
        <v>0.46197108364001588</v>
      </c>
      <c r="AX96" s="21">
        <f t="shared" si="60"/>
        <v>49.023314861365982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290.99999999999994</v>
      </c>
      <c r="BE96" s="13">
        <f>BD96*VLOOKUP('Données projet'!$B$11,Paramètres!$A$1:$I$89,3,0)*VLOOKUP('Données projet'!$B$11,Paramètres!$A$1:$I$89,5,0)</f>
        <v>276.91559999999993</v>
      </c>
      <c r="BF96" s="13">
        <f t="shared" si="91"/>
        <v>66.314766879144742</v>
      </c>
      <c r="BG96" s="20">
        <f t="shared" si="61"/>
        <v>597.79288898117682</v>
      </c>
      <c r="BH96" s="59">
        <f t="shared" si="62"/>
        <v>873.12105465301283</v>
      </c>
      <c r="BI96" s="59">
        <f ca="1">AVERAGE(OFFSET($BH$3,0,0,'Données projet'!$E$11+1,1))-AVERAGE(OFFSET($H$3,0,0,'Données projet'!$E$11+1,1))</f>
        <v>387.78453964980849</v>
      </c>
      <c r="BJ96" s="59">
        <f t="shared" si="92"/>
        <v>395.13533152274488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28.810206722918426</v>
      </c>
      <c r="BQ96" s="21">
        <f>EXP(-LN(2)/25)*BQ95+(1-EXP(-LN(2)/25))/(LN(2)/25)*Calculateur!BL96*Calculateur!BN96*VLOOKUP('Données projet'!$B$11,Paramètres!$A$1:$I$89,3,0)*0.475*44/12</f>
        <v>1.4465162472937316</v>
      </c>
      <c r="BR96" s="21">
        <f>EXP(-LN(2)/2)*BR95+(1-EXP(-LN(2)/2))/(LN(2)/2)*BL96*BO96*VLOOKUP('Données projet'!$B$11,Paramètres!$A$1:$I$89,3,0)*0.475*44/12</f>
        <v>5.0109084232616893E-4</v>
      </c>
      <c r="BS96" s="22">
        <f t="shared" si="63"/>
        <v>30.257224061054487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">
      <c r="A97" s="10">
        <f t="shared" si="85"/>
        <v>94</v>
      </c>
      <c r="B97" s="73">
        <f>'Scénario référence'!$B$16*5+'Scénario référence'!$B$17*0+'Scénario référence'!$B$18*5</f>
        <v>5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">
        <f t="shared" si="86"/>
        <v>0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18.333333333333332</v>
      </c>
      <c r="H97" s="67">
        <f t="shared" si="56"/>
        <v>183.33333333333334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295</v>
      </c>
      <c r="O97" s="13">
        <f>N97*VLOOKUP('Données projet'!$B$9,Paramètres!$A$1:$I$89,3,0)*VLOOKUP('Données projet'!$B$9,Paramètres!$A$1:$I$89,5,0)</f>
        <v>176.41000000000003</v>
      </c>
      <c r="P97" s="13">
        <f t="shared" si="87"/>
        <v>44.522543239204609</v>
      </c>
      <c r="Q97" s="20">
        <f t="shared" si="54"/>
        <v>384.79084614161474</v>
      </c>
      <c r="R97" s="59">
        <f t="shared" si="55"/>
        <v>660.43136121885323</v>
      </c>
      <c r="S97" s="59">
        <f ca="1">AVERAGE(OFFSET($R$3,0,0,'Données projet'!$E$9+1,1))-AVERAGE(OFFSET($H$3,0,0,'Données projet'!$E$9+1,1))</f>
        <v>219.4022220248072</v>
      </c>
      <c r="T97" s="59">
        <f t="shared" si="88"/>
        <v>199.30065726913725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16.308965376756916</v>
      </c>
      <c r="AA97" s="21">
        <f>EXP(-LN(2)/25)*AA96+(1-EXP(-LN(2)/25))/(LN(2)/25)*Calculateur!V97*Calculateur!X97*VLOOKUP('Données projet'!$B$9,Paramètres!$A$1:$I$89,3,0)*0.475*44/12</f>
        <v>2.6421589187337293</v>
      </c>
      <c r="AB97" s="21">
        <f>EXP(-LN(2)/2)*AB96+(1-EXP(-LN(2)/2))/(LN(2)/2)*V97*Y97*VLOOKUP('Données projet'!$B$9,Paramètres!$A$1:$I$89,3,0)*0.475*44/12</f>
        <v>1.5131003156336869E-5</v>
      </c>
      <c r="AC97" s="22">
        <f t="shared" si="57"/>
        <v>18.9511394264938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5</v>
      </c>
      <c r="AI97" s="13">
        <f>IF('Données projet'!$A$62&gt;35,AI96+AH97-AQ96,IF(A97&lt;'Données projet'!$A$62,$AF$205^A97,IF(A97='Données projet'!$A$62,'Données projet'!$B$62,AI96+AH97-AQ96)))</f>
        <v>273.99999999999983</v>
      </c>
      <c r="AJ97" s="13">
        <f>AI97*VLOOKUP('Données projet'!$B$10,Paramètres!$A$1:$I$89,3,0)*VLOOKUP('Données projet'!$B$10,Paramètres!$A$1:$I$89,5,0)</f>
        <v>247.91519999999986</v>
      </c>
      <c r="AK97" s="13">
        <f t="shared" si="89"/>
        <v>60.139294964297406</v>
      </c>
      <c r="AL97" s="20">
        <f t="shared" si="58"/>
        <v>536.52824539615096</v>
      </c>
      <c r="AM97" s="59">
        <f t="shared" si="59"/>
        <v>812.16876047338951</v>
      </c>
      <c r="AN97" s="59">
        <f ca="1">AVERAGE(OFFSET($AM$3,0,0,'Données projet'!$E$10+1,1))-AVERAGE(OFFSET($H$3,0,0,'Données projet'!$E$10+1,1))</f>
        <v>406.64650428071837</v>
      </c>
      <c r="AO97" s="59">
        <f t="shared" si="90"/>
        <v>250.47702091764884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45.424530618122347</v>
      </c>
      <c r="AV97" s="21">
        <f>EXP(-LN(2)/25)*AV96+(1-EXP(-LN(2)/25))/(LN(2)/25)*Calculateur!AQ97*Calculateur!AS97*VLOOKUP('Données projet'!$B$10,Paramètres!$A$1:$I$89,3,0)*0.475*44/12</f>
        <v>2.1673178419222277</v>
      </c>
      <c r="AW97" s="21">
        <f>EXP(-LN(2)/2)*AW96+(1-EXP(-LN(2)/2))/(LN(2)/2)*AQ97*AT97*VLOOKUP('Données projet'!$B$10,Paramètres!$A$1:$I$89,3,0)*0.475*44/12</f>
        <v>0.32666288595395299</v>
      </c>
      <c r="AX97" s="21">
        <f t="shared" si="60"/>
        <v>47.918511345998525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290.99999999999994</v>
      </c>
      <c r="BE97" s="13">
        <f>BD97*VLOOKUP('Données projet'!$B$11,Paramètres!$A$1:$I$89,3,0)*VLOOKUP('Données projet'!$B$11,Paramètres!$A$1:$I$89,5,0)</f>
        <v>276.91559999999993</v>
      </c>
      <c r="BF97" s="13">
        <f t="shared" si="91"/>
        <v>66.314766879144742</v>
      </c>
      <c r="BG97" s="20">
        <f t="shared" si="61"/>
        <v>597.79288898117682</v>
      </c>
      <c r="BH97" s="59">
        <f t="shared" si="62"/>
        <v>873.43340405841536</v>
      </c>
      <c r="BI97" s="59">
        <f ca="1">AVERAGE(OFFSET($BH$3,0,0,'Données projet'!$E$11+1,1))-AVERAGE(OFFSET($H$3,0,0,'Données projet'!$E$11+1,1))</f>
        <v>387.78453964980849</v>
      </c>
      <c r="BJ97" s="59">
        <f t="shared" si="92"/>
        <v>395.13533152274488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28.245256141572959</v>
      </c>
      <c r="BQ97" s="21">
        <f>EXP(-LN(2)/25)*BQ96+(1-EXP(-LN(2)/25))/(LN(2)/25)*Calculateur!BL97*Calculateur!BN97*VLOOKUP('Données projet'!$B$11,Paramètres!$A$1:$I$89,3,0)*0.475*44/12</f>
        <v>1.4069611844425012</v>
      </c>
      <c r="BR97" s="21">
        <f>EXP(-LN(2)/2)*BR96+(1-EXP(-LN(2)/2))/(LN(2)/2)*BL97*BO97*VLOOKUP('Données projet'!$B$11,Paramètres!$A$1:$I$89,3,0)*0.475*44/12</f>
        <v>3.5432473259931313E-4</v>
      </c>
      <c r="BS97" s="22">
        <f t="shared" si="63"/>
        <v>29.652571650748058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">
      <c r="A98" s="10">
        <f t="shared" si="85"/>
        <v>95</v>
      </c>
      <c r="B98" s="73">
        <f>'Scénario référence'!$B$16*5+'Scénario référence'!$B$17*0+'Scénario référence'!$B$18*5</f>
        <v>5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">
        <f t="shared" si="86"/>
        <v>0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18.333333333333332</v>
      </c>
      <c r="H98" s="67">
        <f t="shared" si="56"/>
        <v>183.33333333333334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295</v>
      </c>
      <c r="O98" s="13">
        <f>N98*VLOOKUP('Données projet'!$B$9,Paramètres!$A$1:$I$89,3,0)*VLOOKUP('Données projet'!$B$9,Paramètres!$A$1:$I$89,5,0)</f>
        <v>176.41000000000003</v>
      </c>
      <c r="P98" s="13">
        <f t="shared" si="87"/>
        <v>44.522543239204609</v>
      </c>
      <c r="Q98" s="20">
        <f t="shared" si="54"/>
        <v>384.79084614161474</v>
      </c>
      <c r="R98" s="59">
        <f t="shared" si="55"/>
        <v>660.73829206038067</v>
      </c>
      <c r="S98" s="59">
        <f ca="1">AVERAGE(OFFSET($R$3,0,0,'Données projet'!$E$9+1,1))-AVERAGE(OFFSET($H$3,0,0,'Données projet'!$E$9+1,1))</f>
        <v>219.4022220248072</v>
      </c>
      <c r="T98" s="59">
        <f t="shared" si="88"/>
        <v>199.30065726913725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15.98915651320536</v>
      </c>
      <c r="AA98" s="21">
        <f>EXP(-LN(2)/25)*AA97+(1-EXP(-LN(2)/25))/(LN(2)/25)*Calculateur!V98*Calculateur!X98*VLOOKUP('Données projet'!$B$9,Paramètres!$A$1:$I$89,3,0)*0.475*44/12</f>
        <v>2.5699089441558569</v>
      </c>
      <c r="AB98" s="21">
        <f>EXP(-LN(2)/2)*AB97+(1-EXP(-LN(2)/2))/(LN(2)/2)*V98*Y98*VLOOKUP('Données projet'!$B$9,Paramètres!$A$1:$I$89,3,0)*0.475*44/12</f>
        <v>1.0699234938000856E-5</v>
      </c>
      <c r="AC98" s="22">
        <f t="shared" si="57"/>
        <v>18.559076156596156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>
        <f>VLOOKUP(A98,'Données projet'!$A$61:$I$81,2,0)</f>
        <v>279</v>
      </c>
      <c r="AG98" s="12">
        <f>VLOOKUP(A98,'Données projet'!$A$61:$I$81,9,0)</f>
        <v>5</v>
      </c>
      <c r="AH98" s="12">
        <f t="array" ref="AH98">INDEX(AG:AG,MIN(IF(ISNUMBER(AG98:AG294),ROW(AG98:AG294),"")))</f>
        <v>5</v>
      </c>
      <c r="AI98" s="13">
        <f>IF('Données projet'!$A$62&gt;35,AI97+AH98-AQ97,IF(A98&lt;'Données projet'!$A$62,$AF$205^A98,IF(A98='Données projet'!$A$62,'Données projet'!$B$62,AI97+AH98-AQ97)))</f>
        <v>278.99999999999983</v>
      </c>
      <c r="AJ98" s="13">
        <f>AI98*VLOOKUP('Données projet'!$B$10,Paramètres!$A$1:$I$89,3,0)*VLOOKUP('Données projet'!$B$10,Paramètres!$A$1:$I$89,5,0)</f>
        <v>252.43919999999983</v>
      </c>
      <c r="AK98" s="13">
        <f t="shared" si="89"/>
        <v>61.107963296116218</v>
      </c>
      <c r="AL98" s="20">
        <f t="shared" si="58"/>
        <v>546.09464274073537</v>
      </c>
      <c r="AM98" s="59">
        <f t="shared" si="59"/>
        <v>822.04208865950136</v>
      </c>
      <c r="AN98" s="59">
        <f ca="1">AVERAGE(OFFSET($AM$3,0,0,'Données projet'!$E$10+1,1))-AVERAGE(OFFSET($H$3,0,0,'Données projet'!$E$10+1,1))</f>
        <v>406.64650428071837</v>
      </c>
      <c r="AO98" s="59">
        <f t="shared" si="90"/>
        <v>250.47702091764884</v>
      </c>
      <c r="AP98" s="15">
        <f>IF(ISNA(VLOOKUP(A98,'Données projet'!$A$61:$I$81,3,0)),0,VLOOKUP(A98,'Données projet'!$A$61:$I$81,3,0))</f>
        <v>15</v>
      </c>
      <c r="AQ98" s="15">
        <f>IF(ISNA(VLOOKUP(A98,'Données projet'!$A$61:$I$81,4,0)),0,VLOOKUP(A98,'Données projet'!$A$61:$I$81,4,0))</f>
        <v>21</v>
      </c>
      <c r="AR98" s="16">
        <f>IF(ISNA(VLOOKUP(A98,'Données projet'!$A$61:$I$81,5,0)),0%,VLOOKUP(A98,'Données projet'!$A$61:$I$81,5,0)*VLOOKUP('Données projet'!$B$10,Paramètres!$A$1:$I$89,7,0))</f>
        <v>0.34400000000000003</v>
      </c>
      <c r="AS98" s="16">
        <f>IF(ISNA(VLOOKUP(A98,'Données projet'!$A$61:$I$81,6,0)),0%,VLOOKUP(A98,'Données projet'!$A$61:$I$81,6,0)*VLOOKUP('Données projet'!$B$10,Paramètres!$A$1:$I$89,7,0))</f>
        <v>1.72E-2</v>
      </c>
      <c r="AT98" s="16">
        <f>IF(ISNA(VLOOKUP(A98,'Données projet'!$A$61:$I$81,7,0)),0%,VLOOKUP(A98,'Données projet'!$A$61:$I$81,7,0))</f>
        <v>0.06</v>
      </c>
      <c r="AU98" s="21">
        <f>EXP(-LN(2)/35)*AU97+(1-EXP(-LN(2)/35))/(LN(2)/35)*AQ98*AR98*VLOOKUP('Données projet'!$B$10,Paramètres!$A$1:$I$89,3,0)*0.475*44/12</f>
        <v>51.759441905004692</v>
      </c>
      <c r="AV98" s="21">
        <f>EXP(-LN(2)/25)*AV97+(1-EXP(-LN(2)/25))/(LN(2)/25)*Calculateur!AQ98*Calculateur!AS98*VLOOKUP('Données projet'!$B$10,Paramètres!$A$1:$I$89,3,0)*0.475*44/12</f>
        <v>2.4679128443042306</v>
      </c>
      <c r="AW98" s="21">
        <f>EXP(-LN(2)/2)*AW97+(1-EXP(-LN(2)/2))/(LN(2)/2)*AQ98*AT98*VLOOKUP('Données projet'!$B$10,Paramètres!$A$1:$I$89,3,0)*0.475*44/12</f>
        <v>1.3066515137620514</v>
      </c>
      <c r="AX98" s="21">
        <f t="shared" si="60"/>
        <v>55.534006263070971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290.99999999999994</v>
      </c>
      <c r="BE98" s="13">
        <f>BD98*VLOOKUP('Données projet'!$B$11,Paramètres!$A$1:$I$89,3,0)*VLOOKUP('Données projet'!$B$11,Paramètres!$A$1:$I$89,5,0)</f>
        <v>276.91559999999993</v>
      </c>
      <c r="BF98" s="13">
        <f t="shared" si="91"/>
        <v>66.314766879144742</v>
      </c>
      <c r="BG98" s="20">
        <f t="shared" si="61"/>
        <v>597.79288898117682</v>
      </c>
      <c r="BH98" s="59">
        <f t="shared" si="62"/>
        <v>873.74033489994281</v>
      </c>
      <c r="BI98" s="59">
        <f ca="1">AVERAGE(OFFSET($BH$3,0,0,'Données projet'!$E$11+1,1))-AVERAGE(OFFSET($H$3,0,0,'Données projet'!$E$11+1,1))</f>
        <v>387.78453964980849</v>
      </c>
      <c r="BJ98" s="59">
        <f t="shared" si="92"/>
        <v>395.13533152274488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27.691383896541847</v>
      </c>
      <c r="BQ98" s="21">
        <f>EXP(-LN(2)/25)*BQ97+(1-EXP(-LN(2)/25))/(LN(2)/25)*Calculateur!BL98*Calculateur!BN98*VLOOKUP('Données projet'!$B$11,Paramètres!$A$1:$I$89,3,0)*0.475*44/12</f>
        <v>1.368487756865048</v>
      </c>
      <c r="BR98" s="21">
        <f>EXP(-LN(2)/2)*BR97+(1-EXP(-LN(2)/2))/(LN(2)/2)*BL98*BO98*VLOOKUP('Données projet'!$B$11,Paramètres!$A$1:$I$89,3,0)*0.475*44/12</f>
        <v>2.5054542116308446E-4</v>
      </c>
      <c r="BS98" s="22">
        <f t="shared" si="63"/>
        <v>29.060122198828058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">
      <c r="A99" s="10">
        <f t="shared" si="85"/>
        <v>96</v>
      </c>
      <c r="B99" s="73">
        <f>'Scénario référence'!$B$16*5+'Scénario référence'!$B$17*0+'Scénario référence'!$B$18*5</f>
        <v>5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">
        <f t="shared" si="86"/>
        <v>0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18.333333333333332</v>
      </c>
      <c r="H99" s="67">
        <f t="shared" si="56"/>
        <v>183.33333333333334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295</v>
      </c>
      <c r="O99" s="13">
        <f>N99*VLOOKUP('Données projet'!$B$9,Paramètres!$A$1:$I$89,3,0)*VLOOKUP('Données projet'!$B$9,Paramètres!$A$1:$I$89,5,0)</f>
        <v>176.41000000000003</v>
      </c>
      <c r="P99" s="13">
        <f t="shared" si="87"/>
        <v>44.522543239204609</v>
      </c>
      <c r="Q99" s="20">
        <f t="shared" ref="Q99:Q130" si="107">(O99+P99)*0.475*44/12</f>
        <v>384.79084614161474</v>
      </c>
      <c r="R99" s="59">
        <f t="shared" si="55"/>
        <v>661.0398983380021</v>
      </c>
      <c r="S99" s="59">
        <f ca="1">AVERAGE(OFFSET($R$3,0,0,'Données projet'!$E$9+1,1))-AVERAGE(OFFSET($H$3,0,0,'Données projet'!$E$9+1,1))</f>
        <v>219.4022220248072</v>
      </c>
      <c r="T99" s="59">
        <f t="shared" si="88"/>
        <v>199.30065726913725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15.675618906403905</v>
      </c>
      <c r="AA99" s="21">
        <f>EXP(-LN(2)/25)*AA98+(1-EXP(-LN(2)/25))/(LN(2)/25)*Calculateur!V99*Calculateur!X99*VLOOKUP('Données projet'!$B$9,Paramètres!$A$1:$I$89,3,0)*0.475*44/12</f>
        <v>2.4996346489322772</v>
      </c>
      <c r="AB99" s="21">
        <f>EXP(-LN(2)/2)*AB98+(1-EXP(-LN(2)/2))/(LN(2)/2)*V99*Y99*VLOOKUP('Données projet'!$B$9,Paramètres!$A$1:$I$89,3,0)*0.475*44/12</f>
        <v>7.5655015781684361E-6</v>
      </c>
      <c r="AC99" s="22">
        <f t="shared" si="57"/>
        <v>18.175261120837764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4.8</v>
      </c>
      <c r="AI99" s="13">
        <f>IF('Données projet'!$A$62&gt;35,AI98+AH99-AQ98,IF(A99&lt;'Données projet'!$A$62,$AF$205^A99,IF(A99='Données projet'!$A$62,'Données projet'!$B$62,AI98+AH99-AQ98)))</f>
        <v>262.79999999999984</v>
      </c>
      <c r="AJ99" s="13">
        <f>AI99*VLOOKUP('Données projet'!$B$10,Paramètres!$A$1:$I$89,3,0)*VLOOKUP('Données projet'!$B$10,Paramètres!$A$1:$I$89,5,0)</f>
        <v>237.78143999999983</v>
      </c>
      <c r="AK99" s="13">
        <f t="shared" si="89"/>
        <v>57.9619387969109</v>
      </c>
      <c r="AL99" s="20">
        <f t="shared" si="58"/>
        <v>515.08638473795281</v>
      </c>
      <c r="AM99" s="59">
        <f t="shared" si="59"/>
        <v>791.33543693434024</v>
      </c>
      <c r="AN99" s="59">
        <f ca="1">AVERAGE(OFFSET($AM$3,0,0,'Données projet'!$E$10+1,1))-AVERAGE(OFFSET($H$3,0,0,'Données projet'!$E$10+1,1))</f>
        <v>406.64650428071837</v>
      </c>
      <c r="AO99" s="59">
        <f t="shared" si="90"/>
        <v>250.47702091764884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50.744470819389818</v>
      </c>
      <c r="AV99" s="21">
        <f>EXP(-LN(2)/25)*AV98+(1-EXP(-LN(2)/25))/(LN(2)/25)*Calculateur!AQ99*Calculateur!AS99*VLOOKUP('Données projet'!$B$10,Paramètres!$A$1:$I$89,3,0)*0.475*44/12</f>
        <v>2.4004276377948353</v>
      </c>
      <c r="AW99" s="21">
        <f>EXP(-LN(2)/2)*AW98+(1-EXP(-LN(2)/2))/(LN(2)/2)*AQ99*AT99*VLOOKUP('Données projet'!$B$10,Paramètres!$A$1:$I$89,3,0)*0.475*44/12</f>
        <v>0.92394214602881397</v>
      </c>
      <c r="AX99" s="21">
        <f t="shared" si="60"/>
        <v>54.068840603213467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290.99999999999994</v>
      </c>
      <c r="BE99" s="13">
        <f>BD99*VLOOKUP('Données projet'!$B$11,Paramètres!$A$1:$I$89,3,0)*VLOOKUP('Données projet'!$B$11,Paramètres!$A$1:$I$89,5,0)</f>
        <v>276.91559999999993</v>
      </c>
      <c r="BF99" s="13">
        <f t="shared" si="91"/>
        <v>66.314766879144742</v>
      </c>
      <c r="BG99" s="20">
        <f t="shared" si="61"/>
        <v>597.79288898117682</v>
      </c>
      <c r="BH99" s="59">
        <f t="shared" si="62"/>
        <v>874.04194117756424</v>
      </c>
      <c r="BI99" s="59">
        <f ca="1">AVERAGE(OFFSET($BH$3,0,0,'Données projet'!$E$11+1,1))-AVERAGE(OFFSET($H$3,0,0,'Données projet'!$E$11+1,1))</f>
        <v>387.78453964980849</v>
      </c>
      <c r="BJ99" s="59">
        <f t="shared" si="92"/>
        <v>395.13533152274488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27.14837274840708</v>
      </c>
      <c r="BQ99" s="21">
        <f>EXP(-LN(2)/25)*BQ98+(1-EXP(-LN(2)/25))/(LN(2)/25)*Calculateur!BL99*Calculateur!BN99*VLOOKUP('Données projet'!$B$11,Paramètres!$A$1:$I$89,3,0)*0.475*44/12</f>
        <v>1.3310663871879298</v>
      </c>
      <c r="BR99" s="21">
        <f>EXP(-LN(2)/2)*BR98+(1-EXP(-LN(2)/2))/(LN(2)/2)*BL99*BO99*VLOOKUP('Données projet'!$B$11,Paramètres!$A$1:$I$89,3,0)*0.475*44/12</f>
        <v>1.7716236629965656E-4</v>
      </c>
      <c r="BS99" s="22">
        <f t="shared" si="63"/>
        <v>28.479616297961311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">
      <c r="A100" s="10">
        <f t="shared" si="85"/>
        <v>97</v>
      </c>
      <c r="B100" s="73">
        <f>'Scénario référence'!$B$16*5+'Scénario référence'!$B$17*0+'Scénario référence'!$B$18*5</f>
        <v>5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">
        <f t="shared" si="86"/>
        <v>0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18.333333333333332</v>
      </c>
      <c r="H100" s="67">
        <f t="shared" si="56"/>
        <v>183.33333333333334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295</v>
      </c>
      <c r="O100" s="13">
        <f>N100*VLOOKUP('Données projet'!$B$9,Paramètres!$A$1:$I$89,3,0)*VLOOKUP('Données projet'!$B$9,Paramètres!$A$1:$I$89,5,0)</f>
        <v>176.41000000000003</v>
      </c>
      <c r="P100" s="13">
        <f t="shared" si="87"/>
        <v>44.522543239204609</v>
      </c>
      <c r="Q100" s="20">
        <f t="shared" si="107"/>
        <v>384.79084614161474</v>
      </c>
      <c r="R100" s="59">
        <f t="shared" si="55"/>
        <v>661.3362724209976</v>
      </c>
      <c r="S100" s="59">
        <f ca="1">AVERAGE(OFFSET($R$3,0,0,'Données projet'!$E$9+1,1))-AVERAGE(OFFSET($H$3,0,0,'Données projet'!$E$9+1,1))</f>
        <v>219.4022220248072</v>
      </c>
      <c r="T100" s="59">
        <f t="shared" si="88"/>
        <v>199.30065726913725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15.368229580832768</v>
      </c>
      <c r="AA100" s="21">
        <f>EXP(-LN(2)/25)*AA99+(1-EXP(-LN(2)/25))/(LN(2)/25)*Calculateur!V100*Calculateur!X100*VLOOKUP('Données projet'!$B$9,Paramètres!$A$1:$I$89,3,0)*0.475*44/12</f>
        <v>2.4312820080071509</v>
      </c>
      <c r="AB100" s="21">
        <f>EXP(-LN(2)/2)*AB99+(1-EXP(-LN(2)/2))/(LN(2)/2)*V100*Y100*VLOOKUP('Données projet'!$B$9,Paramètres!$A$1:$I$89,3,0)*0.475*44/12</f>
        <v>5.3496174690004288E-6</v>
      </c>
      <c r="AC100" s="22">
        <f t="shared" si="57"/>
        <v>17.799516938457387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4.8</v>
      </c>
      <c r="AI100" s="13">
        <f>IF('Données projet'!$A$62&gt;35,AI99+AH100-AQ99,IF(A100&lt;'Données projet'!$A$62,$AF$205^A100,IF(A100='Données projet'!$A$62,'Données projet'!$B$62,AI99+AH100-AQ99)))</f>
        <v>267.59999999999985</v>
      </c>
      <c r="AJ100" s="13">
        <f>AI100*VLOOKUP('Données projet'!$B$10,Paramètres!$A$1:$I$89,3,0)*VLOOKUP('Données projet'!$B$10,Paramètres!$A$1:$I$89,5,0)</f>
        <v>242.12447999999986</v>
      </c>
      <c r="AK100" s="13">
        <f t="shared" si="89"/>
        <v>58.896387987806008</v>
      </c>
      <c r="AL100" s="20">
        <f t="shared" si="58"/>
        <v>524.27801174542856</v>
      </c>
      <c r="AM100" s="59">
        <f t="shared" si="59"/>
        <v>800.82343802481137</v>
      </c>
      <c r="AN100" s="59">
        <f ca="1">AVERAGE(OFFSET($AM$3,0,0,'Données projet'!$E$10+1,1))-AVERAGE(OFFSET($H$3,0,0,'Données projet'!$E$10+1,1))</f>
        <v>406.64650428071837</v>
      </c>
      <c r="AO100" s="59">
        <f t="shared" si="90"/>
        <v>250.47702091764884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49.749402697692616</v>
      </c>
      <c r="AV100" s="21">
        <f>EXP(-LN(2)/25)*AV99+(1-EXP(-LN(2)/25))/(LN(2)/25)*Calculateur!AQ100*Calculateur!AS100*VLOOKUP('Données projet'!$B$10,Paramètres!$A$1:$I$89,3,0)*0.475*44/12</f>
        <v>2.3347878178063324</v>
      </c>
      <c r="AW100" s="21">
        <f>EXP(-LN(2)/2)*AW99+(1-EXP(-LN(2)/2))/(LN(2)/2)*AQ100*AT100*VLOOKUP('Données projet'!$B$10,Paramètres!$A$1:$I$89,3,0)*0.475*44/12</f>
        <v>0.65332575688102579</v>
      </c>
      <c r="AX100" s="21">
        <f t="shared" si="60"/>
        <v>52.73751627237997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290.99999999999994</v>
      </c>
      <c r="BE100" s="13">
        <f>BD100*VLOOKUP('Données projet'!$B$11,Paramètres!$A$1:$I$89,3,0)*VLOOKUP('Données projet'!$B$11,Paramètres!$A$1:$I$89,5,0)</f>
        <v>276.91559999999993</v>
      </c>
      <c r="BF100" s="13">
        <f t="shared" si="91"/>
        <v>66.314766879144742</v>
      </c>
      <c r="BG100" s="20">
        <f t="shared" si="61"/>
        <v>597.79288898117682</v>
      </c>
      <c r="BH100" s="59">
        <f t="shared" si="62"/>
        <v>874.33831526055963</v>
      </c>
      <c r="BI100" s="59">
        <f ca="1">AVERAGE(OFFSET($BH$3,0,0,'Données projet'!$E$11+1,1))-AVERAGE(OFFSET($H$3,0,0,'Données projet'!$E$11+1,1))</f>
        <v>387.78453964980849</v>
      </c>
      <c r="BJ100" s="59">
        <f t="shared" si="92"/>
        <v>395.13533152274488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26.616009717683141</v>
      </c>
      <c r="BQ100" s="21">
        <f>EXP(-LN(2)/25)*BQ99+(1-EXP(-LN(2)/25))/(LN(2)/25)*Calculateur!BL100*Calculateur!BN100*VLOOKUP('Données projet'!$B$11,Paramètres!$A$1:$I$89,3,0)*0.475*44/12</f>
        <v>1.2946683068325366</v>
      </c>
      <c r="BR100" s="21">
        <f>EXP(-LN(2)/2)*BR99+(1-EXP(-LN(2)/2))/(LN(2)/2)*BL100*BO100*VLOOKUP('Données projet'!$B$11,Paramètres!$A$1:$I$89,3,0)*0.475*44/12</f>
        <v>1.2527271058154223E-4</v>
      </c>
      <c r="BS100" s="22">
        <f t="shared" si="63"/>
        <v>27.910803297226259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">
      <c r="A101" s="10">
        <f t="shared" si="85"/>
        <v>98</v>
      </c>
      <c r="B101" s="73">
        <f>'Scénario référence'!$B$16*5+'Scénario référence'!$B$17*0+'Scénario référence'!$B$18*5</f>
        <v>5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">
        <f t="shared" si="86"/>
        <v>0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18.333333333333332</v>
      </c>
      <c r="H101" s="67">
        <f t="shared" si="56"/>
        <v>183.33333333333334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295</v>
      </c>
      <c r="O101" s="13">
        <f>N101*VLOOKUP('Données projet'!$B$9,Paramètres!$A$1:$I$89,3,0)*VLOOKUP('Données projet'!$B$9,Paramètres!$A$1:$I$89,5,0)</f>
        <v>176.41000000000003</v>
      </c>
      <c r="P101" s="13">
        <f t="shared" si="87"/>
        <v>44.522543239204609</v>
      </c>
      <c r="Q101" s="20">
        <f t="shared" si="107"/>
        <v>384.79084614161474</v>
      </c>
      <c r="R101" s="59">
        <f t="shared" si="55"/>
        <v>661.62750507624605</v>
      </c>
      <c r="S101" s="59">
        <f ca="1">AVERAGE(OFFSET($R$3,0,0,'Données projet'!$E$9+1,1))-AVERAGE(OFFSET($H$3,0,0,'Données projet'!$E$9+1,1))</f>
        <v>219.4022220248072</v>
      </c>
      <c r="T101" s="59">
        <f t="shared" si="88"/>
        <v>199.30065726913725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15.066867972447106</v>
      </c>
      <c r="AA101" s="21">
        <f>EXP(-LN(2)/25)*AA100+(1-EXP(-LN(2)/25))/(LN(2)/25)*Calculateur!V101*Calculateur!X101*VLOOKUP('Données projet'!$B$9,Paramètres!$A$1:$I$89,3,0)*0.475*44/12</f>
        <v>2.3647984736426313</v>
      </c>
      <c r="AB101" s="21">
        <f>EXP(-LN(2)/2)*AB100+(1-EXP(-LN(2)/2))/(LN(2)/2)*V101*Y101*VLOOKUP('Données projet'!$B$9,Paramètres!$A$1:$I$89,3,0)*0.475*44/12</f>
        <v>3.7827507890842185E-6</v>
      </c>
      <c r="AC101" s="22">
        <f t="shared" si="57"/>
        <v>17.431670228840524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4.8</v>
      </c>
      <c r="AI101" s="13">
        <f>IF('Données projet'!$A$62&gt;35,AI100+AH101-AQ100,IF(A101&lt;'Données projet'!$A$62,$AF$205^A101,IF(A101='Données projet'!$A$62,'Données projet'!$B$62,AI100+AH101-AQ100)))</f>
        <v>272.39999999999986</v>
      </c>
      <c r="AJ101" s="13">
        <f>AI101*VLOOKUP('Données projet'!$B$10,Paramètres!$A$1:$I$89,3,0)*VLOOKUP('Données projet'!$B$10,Paramètres!$A$1:$I$89,5,0)</f>
        <v>246.46751999999987</v>
      </c>
      <c r="AK101" s="13">
        <f t="shared" si="89"/>
        <v>59.828888074216977</v>
      </c>
      <c r="AL101" s="20">
        <f t="shared" si="58"/>
        <v>533.46624406259423</v>
      </c>
      <c r="AM101" s="59">
        <f t="shared" si="59"/>
        <v>810.3029029972256</v>
      </c>
      <c r="AN101" s="59">
        <f ca="1">AVERAGE(OFFSET($AM$3,0,0,'Données projet'!$E$10+1,1))-AVERAGE(OFFSET($H$3,0,0,'Données projet'!$E$10+1,1))</f>
        <v>406.64650428071837</v>
      </c>
      <c r="AO101" s="59">
        <f t="shared" si="90"/>
        <v>250.47702091764884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48.773847254930274</v>
      </c>
      <c r="AV101" s="21">
        <f>EXP(-LN(2)/25)*AV100+(1-EXP(-LN(2)/25))/(LN(2)/25)*Calculateur!AQ101*Calculateur!AS101*VLOOKUP('Données projet'!$B$10,Paramètres!$A$1:$I$89,3,0)*0.475*44/12</f>
        <v>2.2709429221472632</v>
      </c>
      <c r="AW101" s="21">
        <f>EXP(-LN(2)/2)*AW100+(1-EXP(-LN(2)/2))/(LN(2)/2)*AQ101*AT101*VLOOKUP('Données projet'!$B$10,Paramètres!$A$1:$I$89,3,0)*0.475*44/12</f>
        <v>0.4619710730144071</v>
      </c>
      <c r="AX101" s="21">
        <f t="shared" si="60"/>
        <v>51.506761250091941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290.99999999999994</v>
      </c>
      <c r="BE101" s="13">
        <f>BD101*VLOOKUP('Données projet'!$B$11,Paramètres!$A$1:$I$89,3,0)*VLOOKUP('Données projet'!$B$11,Paramètres!$A$1:$I$89,5,0)</f>
        <v>276.91559999999993</v>
      </c>
      <c r="BF101" s="13">
        <f t="shared" si="91"/>
        <v>66.314766879144742</v>
      </c>
      <c r="BG101" s="20">
        <f t="shared" si="61"/>
        <v>597.79288898117682</v>
      </c>
      <c r="BH101" s="59">
        <f t="shared" si="62"/>
        <v>874.62954791580819</v>
      </c>
      <c r="BI101" s="59">
        <f ca="1">AVERAGE(OFFSET($BH$3,0,0,'Données projet'!$E$11+1,1))-AVERAGE(OFFSET($H$3,0,0,'Données projet'!$E$11+1,1))</f>
        <v>387.78453964980849</v>
      </c>
      <c r="BJ101" s="59">
        <f t="shared" si="92"/>
        <v>395.13533152274488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26.094086001282314</v>
      </c>
      <c r="BQ101" s="21">
        <f>EXP(-LN(2)/25)*BQ100+(1-EXP(-LN(2)/25))/(LN(2)/25)*Calculateur!BL101*Calculateur!BN101*VLOOKUP('Données projet'!$B$11,Paramètres!$A$1:$I$89,3,0)*0.475*44/12</f>
        <v>1.2592655338985537</v>
      </c>
      <c r="BR101" s="21">
        <f>EXP(-LN(2)/2)*BR100+(1-EXP(-LN(2)/2))/(LN(2)/2)*BL101*BO101*VLOOKUP('Données projet'!$B$11,Paramètres!$A$1:$I$89,3,0)*0.475*44/12</f>
        <v>8.8581183149828282E-5</v>
      </c>
      <c r="BS101" s="22">
        <f t="shared" si="63"/>
        <v>27.353440116364016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">
      <c r="A102" s="10">
        <f t="shared" si="85"/>
        <v>99</v>
      </c>
      <c r="B102" s="73">
        <f>'Scénario référence'!$B$16*5+'Scénario référence'!$B$17*0+'Scénario référence'!$B$18*5</f>
        <v>5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">
        <f t="shared" si="86"/>
        <v>0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18.333333333333332</v>
      </c>
      <c r="H102" s="67">
        <f t="shared" si="56"/>
        <v>183.33333333333334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295</v>
      </c>
      <c r="O102" s="13">
        <f>N102*VLOOKUP('Données projet'!$B$9,Paramètres!$A$1:$I$89,3,0)*VLOOKUP('Données projet'!$B$9,Paramètres!$A$1:$I$89,5,0)</f>
        <v>176.41000000000003</v>
      </c>
      <c r="P102" s="13">
        <f t="shared" si="87"/>
        <v>44.522543239204609</v>
      </c>
      <c r="Q102" s="20">
        <f t="shared" si="107"/>
        <v>384.79084614161474</v>
      </c>
      <c r="R102" s="59">
        <f t="shared" si="55"/>
        <v>661.91368549602487</v>
      </c>
      <c r="S102" s="59">
        <f ca="1">AVERAGE(OFFSET($R$3,0,0,'Données projet'!$E$9+1,1))-AVERAGE(OFFSET($H$3,0,0,'Données projet'!$E$9+1,1))</f>
        <v>219.4022220248072</v>
      </c>
      <c r="T102" s="59">
        <f t="shared" si="88"/>
        <v>199.30065726913725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14.771415881389457</v>
      </c>
      <c r="AA102" s="21">
        <f>EXP(-LN(2)/25)*AA101+(1-EXP(-LN(2)/25))/(LN(2)/25)*Calculateur!V102*Calculateur!X102*VLOOKUP('Données projet'!$B$9,Paramètres!$A$1:$I$89,3,0)*0.475*44/12</f>
        <v>2.3001329350215265</v>
      </c>
      <c r="AB102" s="21">
        <f>EXP(-LN(2)/2)*AB101+(1-EXP(-LN(2)/2))/(LN(2)/2)*V102*Y102*VLOOKUP('Données projet'!$B$9,Paramètres!$A$1:$I$89,3,0)*0.475*44/12</f>
        <v>2.6748087345002148E-6</v>
      </c>
      <c r="AC102" s="22">
        <f t="shared" si="57"/>
        <v>17.071551491219715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4.8</v>
      </c>
      <c r="AI102" s="13">
        <f>IF('Données projet'!$A$62&gt;35,AI101+AH102-AQ101,IF(A102&lt;'Données projet'!$A$62,$AF$205^A102,IF(A102='Données projet'!$A$62,'Données projet'!$B$62,AI101+AH102-AQ101)))</f>
        <v>277.19999999999987</v>
      </c>
      <c r="AJ102" s="13">
        <f>AI102*VLOOKUP('Données projet'!$B$10,Paramètres!$A$1:$I$89,3,0)*VLOOKUP('Données projet'!$B$10,Paramètres!$A$1:$I$89,5,0)</f>
        <v>250.8105599999999</v>
      </c>
      <c r="AK102" s="13">
        <f t="shared" si="89"/>
        <v>60.75947736410869</v>
      </c>
      <c r="AL102" s="20">
        <f t="shared" si="58"/>
        <v>542.65114840915578</v>
      </c>
      <c r="AM102" s="59">
        <f t="shared" si="59"/>
        <v>819.77398776356586</v>
      </c>
      <c r="AN102" s="59">
        <f ca="1">AVERAGE(OFFSET($AM$3,0,0,'Données projet'!$E$10+1,1))-AVERAGE(OFFSET($H$3,0,0,'Données projet'!$E$10+1,1))</f>
        <v>406.64650428071837</v>
      </c>
      <c r="AO102" s="59">
        <f t="shared" si="90"/>
        <v>250.47702091764884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47.817421859370434</v>
      </c>
      <c r="AV102" s="21">
        <f>EXP(-LN(2)/25)*AV101+(1-EXP(-LN(2)/25))/(LN(2)/25)*Calculateur!AQ102*Calculateur!AS102*VLOOKUP('Données projet'!$B$10,Paramètres!$A$1:$I$89,3,0)*0.475*44/12</f>
        <v>2.2088438685174485</v>
      </c>
      <c r="AW102" s="21">
        <f>EXP(-LN(2)/2)*AW101+(1-EXP(-LN(2)/2))/(LN(2)/2)*AQ102*AT102*VLOOKUP('Données projet'!$B$10,Paramètres!$A$1:$I$89,3,0)*0.475*44/12</f>
        <v>0.32666287844051295</v>
      </c>
      <c r="AX102" s="21">
        <f t="shared" si="60"/>
        <v>50.352928606328398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290.99999999999994</v>
      </c>
      <c r="BE102" s="13">
        <f>BD102*VLOOKUP('Données projet'!$B$11,Paramètres!$A$1:$I$89,3,0)*VLOOKUP('Données projet'!$B$11,Paramètres!$A$1:$I$89,5,0)</f>
        <v>276.91559999999993</v>
      </c>
      <c r="BF102" s="13">
        <f t="shared" si="91"/>
        <v>66.314766879144742</v>
      </c>
      <c r="BG102" s="20">
        <f t="shared" si="61"/>
        <v>597.79288898117682</v>
      </c>
      <c r="BH102" s="59">
        <f t="shared" si="62"/>
        <v>874.91572833558689</v>
      </c>
      <c r="BI102" s="59">
        <f ca="1">AVERAGE(OFFSET($BH$3,0,0,'Données projet'!$E$11+1,1))-AVERAGE(OFFSET($H$3,0,0,'Données projet'!$E$11+1,1))</f>
        <v>387.78453964980849</v>
      </c>
      <c r="BJ102" s="59">
        <f t="shared" si="92"/>
        <v>395.13533152274488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25.582396890618071</v>
      </c>
      <c r="BQ102" s="21">
        <f>EXP(-LN(2)/25)*BQ101+(1-EXP(-LN(2)/25))/(LN(2)/25)*Calculateur!BL102*Calculateur!BN102*VLOOKUP('Données projet'!$B$11,Paramètres!$A$1:$I$89,3,0)*0.475*44/12</f>
        <v>1.2248308516522013</v>
      </c>
      <c r="BR102" s="21">
        <f>EXP(-LN(2)/2)*BR101+(1-EXP(-LN(2)/2))/(LN(2)/2)*BL102*BO102*VLOOKUP('Données projet'!$B$11,Paramètres!$A$1:$I$89,3,0)*0.475*44/12</f>
        <v>6.2636355290771116E-5</v>
      </c>
      <c r="BS102" s="22">
        <f t="shared" si="63"/>
        <v>26.807290378625563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">
      <c r="A103" s="10">
        <f t="shared" si="85"/>
        <v>100</v>
      </c>
      <c r="B103" s="73">
        <f>'Scénario référence'!$B$16*5+'Scénario référence'!$B$17*0+'Scénario référence'!$B$18*5</f>
        <v>5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">
        <f t="shared" si="86"/>
        <v>0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18.333333333333332</v>
      </c>
      <c r="H103" s="67">
        <f t="shared" si="56"/>
        <v>183.33333333333334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295</v>
      </c>
      <c r="O103" s="13">
        <f>N103*VLOOKUP('Données projet'!$B$9,Paramètres!$A$1:$I$89,3,0)*VLOOKUP('Données projet'!$B$9,Paramètres!$A$1:$I$89,5,0)</f>
        <v>176.41000000000003</v>
      </c>
      <c r="P103" s="13">
        <f t="shared" si="87"/>
        <v>44.522543239204609</v>
      </c>
      <c r="Q103" s="20">
        <f t="shared" si="107"/>
        <v>384.79084614161474</v>
      </c>
      <c r="R103" s="59">
        <f t="shared" si="55"/>
        <v>662.19490132532394</v>
      </c>
      <c r="S103" s="59">
        <f ca="1">AVERAGE(OFFSET($R$3,0,0,'Données projet'!$E$9+1,1))-AVERAGE(OFFSET($H$3,0,0,'Données projet'!$E$9+1,1))</f>
        <v>219.4022220248072</v>
      </c>
      <c r="T103" s="59">
        <f t="shared" si="88"/>
        <v>199.30065726913725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14.481757425629466</v>
      </c>
      <c r="AA103" s="21">
        <f>EXP(-LN(2)/25)*AA102+(1-EXP(-LN(2)/25))/(LN(2)/25)*Calculateur!V103*Calculateur!X103*VLOOKUP('Données projet'!$B$9,Paramètres!$A$1:$I$89,3,0)*0.475*44/12</f>
        <v>2.2372356789546286</v>
      </c>
      <c r="AB103" s="21">
        <f>EXP(-LN(2)/2)*AB102+(1-EXP(-LN(2)/2))/(LN(2)/2)*V103*Y103*VLOOKUP('Données projet'!$B$9,Paramètres!$A$1:$I$89,3,0)*0.475*44/12</f>
        <v>1.8913753945421097E-6</v>
      </c>
      <c r="AC103" s="22">
        <f t="shared" si="57"/>
        <v>16.718994995959488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>
        <f>VLOOKUP(A103,'Données projet'!$A$61:$I$81,2,0)</f>
        <v>282</v>
      </c>
      <c r="AG103" s="12">
        <f>VLOOKUP(A103,'Données projet'!$A$61:$I$81,9,0)</f>
        <v>4.8</v>
      </c>
      <c r="AH103" s="12">
        <f t="array" ref="AH103">INDEX(AG:AG,MIN(IF(ISNUMBER(AG103:AG299),ROW(AG103:AG299),"")))</f>
        <v>4.8</v>
      </c>
      <c r="AI103" s="13">
        <f>IF('Données projet'!$A$62&gt;35,AI102+AH103-AQ102,IF(A103&lt;'Données projet'!$A$62,$AF$205^A103,IF(A103='Données projet'!$A$62,'Données projet'!$B$62,AI102+AH103-AQ102)))</f>
        <v>281.99999999999989</v>
      </c>
      <c r="AJ103" s="13">
        <f>AI103*VLOOKUP('Données projet'!$B$10,Paramètres!$A$1:$I$89,3,0)*VLOOKUP('Données projet'!$B$10,Paramètres!$A$1:$I$89,5,0)</f>
        <v>255.15359999999987</v>
      </c>
      <c r="AK103" s="13">
        <f t="shared" si="89"/>
        <v>61.688192762754376</v>
      </c>
      <c r="AL103" s="20">
        <f t="shared" si="58"/>
        <v>551.83278906179692</v>
      </c>
      <c r="AM103" s="59">
        <f t="shared" si="59"/>
        <v>829.23684424550606</v>
      </c>
      <c r="AN103" s="59">
        <f ca="1">AVERAGE(OFFSET($AM$3,0,0,'Données projet'!$E$10+1,1))-AVERAGE(OFFSET($H$3,0,0,'Données projet'!$E$10+1,1))</f>
        <v>406.64650428071837</v>
      </c>
      <c r="AO103" s="59">
        <f t="shared" si="90"/>
        <v>250.47702091764884</v>
      </c>
      <c r="AP103" s="15">
        <f>IF(ISNA(VLOOKUP(A103,'Données projet'!$A$61:$I$81,3,0)),0,VLOOKUP(A103,'Données projet'!$A$61:$I$81,3,0))</f>
        <v>16</v>
      </c>
      <c r="AQ103" s="15">
        <f>IF(ISNA(VLOOKUP(A103,'Données projet'!$A$61:$I$81,4,0)),0,VLOOKUP(A103,'Données projet'!$A$61:$I$81,4,0))</f>
        <v>21</v>
      </c>
      <c r="AR103" s="16">
        <f>IF(ISNA(VLOOKUP(A103,'Données projet'!$A$61:$I$81,5,0)),0%,VLOOKUP(A103,'Données projet'!$A$61:$I$81,5,0)*VLOOKUP('Données projet'!$B$10,Paramètres!$A$1:$I$89,7,0))</f>
        <v>0.34400000000000003</v>
      </c>
      <c r="AS103" s="16">
        <f>IF(ISNA(VLOOKUP(A103,'Données projet'!$A$61:$I$81,6,0)),0%,VLOOKUP(A103,'Données projet'!$A$61:$I$81,6,0)*VLOOKUP('Données projet'!$B$10,Paramètres!$A$1:$I$89,7,0))</f>
        <v>1.72E-2</v>
      </c>
      <c r="AT103" s="16">
        <f>IF(ISNA(VLOOKUP(A103,'Données projet'!$A$61:$I$81,7,0)),0%,VLOOKUP(A103,'Données projet'!$A$61:$I$81,7,0))</f>
        <v>0.06</v>
      </c>
      <c r="AU103" s="21">
        <f>EXP(-LN(2)/35)*AU102+(1-EXP(-LN(2)/35))/(LN(2)/35)*AQ103*AR103*VLOOKUP('Données projet'!$B$10,Paramètres!$A$1:$I$89,3,0)*0.475*44/12</f>
        <v>54.10541000853145</v>
      </c>
      <c r="AV103" s="21">
        <f>EXP(-LN(2)/25)*AV102+(1-EXP(-LN(2)/25))/(LN(2)/25)*Calculateur!AQ103*Calculateur!AS103*VLOOKUP('Données projet'!$B$10,Paramètres!$A$1:$I$89,3,0)*0.475*44/12</f>
        <v>2.5083033395184464</v>
      </c>
      <c r="AW103" s="21">
        <f>EXP(-LN(2)/2)*AW102+(1-EXP(-LN(2)/2))/(LN(2)/2)*AQ103*AT103*VLOOKUP('Données projet'!$B$10,Paramètres!$A$1:$I$89,3,0)*0.475*44/12</f>
        <v>1.3066515084492469</v>
      </c>
      <c r="AX103" s="21">
        <f t="shared" si="60"/>
        <v>57.920364856499148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290.99999999999994</v>
      </c>
      <c r="BE103" s="13">
        <f>BD103*VLOOKUP('Données projet'!$B$11,Paramètres!$A$1:$I$89,3,0)*VLOOKUP('Données projet'!$B$11,Paramètres!$A$1:$I$89,5,0)</f>
        <v>276.91559999999993</v>
      </c>
      <c r="BF103" s="13">
        <f t="shared" si="91"/>
        <v>66.314766879144742</v>
      </c>
      <c r="BG103" s="20">
        <f t="shared" si="61"/>
        <v>597.79288898117682</v>
      </c>
      <c r="BH103" s="59">
        <f t="shared" si="62"/>
        <v>875.19694416488596</v>
      </c>
      <c r="BI103" s="59">
        <f ca="1">AVERAGE(OFFSET($BH$3,0,0,'Données projet'!$E$11+1,1))-AVERAGE(OFFSET($H$3,0,0,'Données projet'!$E$11+1,1))</f>
        <v>387.78453964980849</v>
      </c>
      <c r="BJ103" s="59">
        <f t="shared" si="92"/>
        <v>395.13533152274488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25.080741691314415</v>
      </c>
      <c r="BQ103" s="21">
        <f>EXP(-LN(2)/25)*BQ102+(1-EXP(-LN(2)/25))/(LN(2)/25)*Calculateur!BL103*Calculateur!BN103*VLOOKUP('Données projet'!$B$11,Paramètres!$A$1:$I$89,3,0)*0.475*44/12</f>
        <v>1.1913377876027167</v>
      </c>
      <c r="BR103" s="21">
        <f>EXP(-LN(2)/2)*BR102+(1-EXP(-LN(2)/2))/(LN(2)/2)*BL103*BO103*VLOOKUP('Données projet'!$B$11,Paramètres!$A$1:$I$89,3,0)*0.475*44/12</f>
        <v>4.4290591574914141E-5</v>
      </c>
      <c r="BS103" s="22">
        <f t="shared" si="63"/>
        <v>26.272123769508706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">
      <c r="A104" s="10">
        <f t="shared" si="85"/>
        <v>101</v>
      </c>
      <c r="B104" s="73">
        <f>'Scénario référence'!$B$16*5+'Scénario référence'!$B$17*0+'Scénario référence'!$B$18*5</f>
        <v>5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">
        <f t="shared" si="86"/>
        <v>0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18.333333333333332</v>
      </c>
      <c r="H104" s="67">
        <f t="shared" si="56"/>
        <v>183.33333333333334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295</v>
      </c>
      <c r="O104" s="13">
        <f>N104*VLOOKUP('Données projet'!$B$9,Paramètres!$A$1:$I$89,3,0)*VLOOKUP('Données projet'!$B$9,Paramètres!$A$1:$I$89,5,0)</f>
        <v>176.41000000000003</v>
      </c>
      <c r="P104" s="13">
        <f t="shared" si="87"/>
        <v>44.522543239204609</v>
      </c>
      <c r="Q104" s="20">
        <f t="shared" si="107"/>
        <v>384.79084614161474</v>
      </c>
      <c r="R104" s="59">
        <f t="shared" si="55"/>
        <v>662.47123868868914</v>
      </c>
      <c r="S104" s="59">
        <f ca="1">AVERAGE(OFFSET($R$3,0,0,'Données projet'!$E$9+1,1))-AVERAGE(OFFSET($H$3,0,0,'Données projet'!$E$9+1,1))</f>
        <v>219.4022220248072</v>
      </c>
      <c r="T104" s="59">
        <f t="shared" si="88"/>
        <v>199.30065726913725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14.197778995512715</v>
      </c>
      <c r="AA104" s="21">
        <f>EXP(-LN(2)/25)*AA103+(1-EXP(-LN(2)/25))/(LN(2)/25)*Calculateur!V104*Calculateur!X104*VLOOKUP('Données projet'!$B$9,Paramètres!$A$1:$I$89,3,0)*0.475*44/12</f>
        <v>2.1760583516625034</v>
      </c>
      <c r="AB104" s="21">
        <f>EXP(-LN(2)/2)*AB103+(1-EXP(-LN(2)/2))/(LN(2)/2)*V104*Y104*VLOOKUP('Données projet'!$B$9,Paramètres!$A$1:$I$89,3,0)*0.475*44/12</f>
        <v>1.3374043672501076E-6</v>
      </c>
      <c r="AC104" s="22">
        <f t="shared" si="57"/>
        <v>16.373838684579585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4.5999999999999996</v>
      </c>
      <c r="AI104" s="13">
        <f>IF('Données projet'!$A$62&gt;35,AI103+AH104-AQ103,IF(A104&lt;'Données projet'!$A$62,$AF$205^A104,IF(A104='Données projet'!$A$62,'Données projet'!$B$62,AI103+AH104-AQ103)))</f>
        <v>265.59999999999991</v>
      </c>
      <c r="AJ104" s="13">
        <f>AI104*VLOOKUP('Données projet'!$B$10,Paramètres!$A$1:$I$89,3,0)*VLOOKUP('Données projet'!$B$10,Paramètres!$A$1:$I$89,5,0)</f>
        <v>240.31487999999993</v>
      </c>
      <c r="AK104" s="13">
        <f t="shared" si="89"/>
        <v>58.50727327751612</v>
      </c>
      <c r="AL104" s="20">
        <f t="shared" si="58"/>
        <v>520.44858362500713</v>
      </c>
      <c r="AM104" s="59">
        <f t="shared" si="59"/>
        <v>798.12897617208159</v>
      </c>
      <c r="AN104" s="59">
        <f ca="1">AVERAGE(OFFSET($AM$3,0,0,'Données projet'!$E$10+1,1))-AVERAGE(OFFSET($H$3,0,0,'Données projet'!$E$10+1,1))</f>
        <v>406.64650428071837</v>
      </c>
      <c r="AO104" s="59">
        <f t="shared" si="90"/>
        <v>250.47702091764884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53.04443591930567</v>
      </c>
      <c r="AV104" s="21">
        <f>EXP(-LN(2)/25)*AV103+(1-EXP(-LN(2)/25))/(LN(2)/25)*Calculateur!AQ104*Calculateur!AS104*VLOOKUP('Données projet'!$B$10,Paramètres!$A$1:$I$89,3,0)*0.475*44/12</f>
        <v>2.4397136527933747</v>
      </c>
      <c r="AW104" s="21">
        <f>EXP(-LN(2)/2)*AW103+(1-EXP(-LN(2)/2))/(LN(2)/2)*AQ104*AT104*VLOOKUP('Données projet'!$B$10,Paramètres!$A$1:$I$89,3,0)*0.475*44/12</f>
        <v>0.92394214227209392</v>
      </c>
      <c r="AX104" s="21">
        <f t="shared" si="60"/>
        <v>56.408091714371139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290.99999999999994</v>
      </c>
      <c r="BE104" s="13">
        <f>BD104*VLOOKUP('Données projet'!$B$11,Paramètres!$A$1:$I$89,3,0)*VLOOKUP('Données projet'!$B$11,Paramètres!$A$1:$I$89,5,0)</f>
        <v>276.91559999999993</v>
      </c>
      <c r="BF104" s="13">
        <f t="shared" si="91"/>
        <v>66.314766879144742</v>
      </c>
      <c r="BG104" s="20">
        <f t="shared" si="61"/>
        <v>597.79288898117682</v>
      </c>
      <c r="BH104" s="59">
        <f t="shared" si="62"/>
        <v>875.47328152825116</v>
      </c>
      <c r="BI104" s="59">
        <f ca="1">AVERAGE(OFFSET($BH$3,0,0,'Données projet'!$E$11+1,1))-AVERAGE(OFFSET($H$3,0,0,'Données projet'!$E$11+1,1))</f>
        <v>387.78453964980849</v>
      </c>
      <c r="BJ104" s="59">
        <f t="shared" si="92"/>
        <v>395.13533152274488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24.588923644489643</v>
      </c>
      <c r="BQ104" s="21">
        <f>EXP(-LN(2)/25)*BQ103+(1-EXP(-LN(2)/25))/(LN(2)/25)*Calculateur!BL104*Calculateur!BN104*VLOOKUP('Données projet'!$B$11,Paramètres!$A$1:$I$89,3,0)*0.475*44/12</f>
        <v>1.158760593150989</v>
      </c>
      <c r="BR104" s="21">
        <f>EXP(-LN(2)/2)*BR103+(1-EXP(-LN(2)/2))/(LN(2)/2)*BL104*BO104*VLOOKUP('Données projet'!$B$11,Paramètres!$A$1:$I$89,3,0)*0.475*44/12</f>
        <v>3.1318177645385558E-5</v>
      </c>
      <c r="BS104" s="22">
        <f t="shared" si="63"/>
        <v>25.747715555818278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">
      <c r="A105" s="10">
        <f t="shared" si="85"/>
        <v>102</v>
      </c>
      <c r="B105" s="73">
        <f>'Scénario référence'!$B$16*5+'Scénario référence'!$B$17*0+'Scénario référence'!$B$18*5</f>
        <v>5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">
        <f t="shared" si="86"/>
        <v>0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18.333333333333332</v>
      </c>
      <c r="H105" s="67">
        <f t="shared" si="56"/>
        <v>183.33333333333334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295</v>
      </c>
      <c r="O105" s="13">
        <f>N105*VLOOKUP('Données projet'!$B$9,Paramètres!$A$1:$I$89,3,0)*VLOOKUP('Données projet'!$B$9,Paramètres!$A$1:$I$89,5,0)</f>
        <v>176.41000000000003</v>
      </c>
      <c r="P105" s="13">
        <f t="shared" si="87"/>
        <v>44.522543239204609</v>
      </c>
      <c r="Q105" s="20">
        <f t="shared" si="107"/>
        <v>384.79084614161474</v>
      </c>
      <c r="R105" s="59">
        <f t="shared" si="55"/>
        <v>662.74278221659767</v>
      </c>
      <c r="S105" s="59">
        <f ca="1">AVERAGE(OFFSET($R$3,0,0,'Données projet'!$E$9+1,1))-AVERAGE(OFFSET($H$3,0,0,'Données projet'!$E$9+1,1))</f>
        <v>219.4022220248072</v>
      </c>
      <c r="T105" s="59">
        <f t="shared" si="88"/>
        <v>199.30065726913725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13.919369209200815</v>
      </c>
      <c r="AA105" s="21">
        <f>EXP(-LN(2)/25)*AA104+(1-EXP(-LN(2)/25))/(LN(2)/25)*Calculateur!V105*Calculateur!X105*VLOOKUP('Données projet'!$B$9,Paramètres!$A$1:$I$89,3,0)*0.475*44/12</f>
        <v>2.1165539216023568</v>
      </c>
      <c r="AB105" s="21">
        <f>EXP(-LN(2)/2)*AB104+(1-EXP(-LN(2)/2))/(LN(2)/2)*V105*Y105*VLOOKUP('Données projet'!$B$9,Paramètres!$A$1:$I$89,3,0)*0.475*44/12</f>
        <v>9.4568769727105494E-7</v>
      </c>
      <c r="AC105" s="22">
        <f t="shared" si="57"/>
        <v>16.035924076490868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4.5999999999999996</v>
      </c>
      <c r="AI105" s="13">
        <f>IF('Données projet'!$A$62&gt;35,AI104+AH105-AQ104,IF(A105&lt;'Données projet'!$A$62,$AF$205^A105,IF(A105='Données projet'!$A$62,'Données projet'!$B$62,AI104+AH105-AQ104)))</f>
        <v>270.19999999999993</v>
      </c>
      <c r="AJ105" s="13">
        <f>AI105*VLOOKUP('Données projet'!$B$10,Paramètres!$A$1:$I$89,3,0)*VLOOKUP('Données projet'!$B$10,Paramètres!$A$1:$I$89,5,0)</f>
        <v>244.47695999999993</v>
      </c>
      <c r="AK105" s="13">
        <f t="shared" si="89"/>
        <v>59.401731670234192</v>
      </c>
      <c r="AL105" s="20">
        <f t="shared" si="58"/>
        <v>529.25538799232447</v>
      </c>
      <c r="AM105" s="59">
        <f t="shared" si="59"/>
        <v>807.20732406730735</v>
      </c>
      <c r="AN105" s="59">
        <f ca="1">AVERAGE(OFFSET($AM$3,0,0,'Données projet'!$E$10+1,1))-AVERAGE(OFFSET($H$3,0,0,'Données projet'!$E$10+1,1))</f>
        <v>406.64650428071837</v>
      </c>
      <c r="AO105" s="59">
        <f t="shared" si="90"/>
        <v>250.47702091764884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52.004266884839311</v>
      </c>
      <c r="AV105" s="21">
        <f>EXP(-LN(2)/25)*AV104+(1-EXP(-LN(2)/25))/(LN(2)/25)*Calculateur!AQ105*Calculateur!AS105*VLOOKUP('Données projet'!$B$10,Paramètres!$A$1:$I$89,3,0)*0.475*44/12</f>
        <v>2.372999554658775</v>
      </c>
      <c r="AW105" s="21">
        <f>EXP(-LN(2)/2)*AW104+(1-EXP(-LN(2)/2))/(LN(2)/2)*AQ105*AT105*VLOOKUP('Données projet'!$B$10,Paramètres!$A$1:$I$89,3,0)*0.475*44/12</f>
        <v>0.65332575422462358</v>
      </c>
      <c r="AX105" s="21">
        <f t="shared" si="60"/>
        <v>55.030592193722711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290.99999999999994</v>
      </c>
      <c r="BE105" s="13">
        <f>BD105*VLOOKUP('Données projet'!$B$11,Paramètres!$A$1:$I$89,3,0)*VLOOKUP('Données projet'!$B$11,Paramètres!$A$1:$I$89,5,0)</f>
        <v>276.91559999999993</v>
      </c>
      <c r="BF105" s="13">
        <f t="shared" si="91"/>
        <v>66.314766879144742</v>
      </c>
      <c r="BG105" s="20">
        <f t="shared" si="61"/>
        <v>597.79288898117682</v>
      </c>
      <c r="BH105" s="59">
        <f t="shared" si="62"/>
        <v>875.7448250561597</v>
      </c>
      <c r="BI105" s="59">
        <f ca="1">AVERAGE(OFFSET($BH$3,0,0,'Données projet'!$E$11+1,1))-AVERAGE(OFFSET($H$3,0,0,'Données projet'!$E$11+1,1))</f>
        <v>387.78453964980849</v>
      </c>
      <c r="BJ105" s="59">
        <f t="shared" si="92"/>
        <v>395.13533152274488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24.106749849583718</v>
      </c>
      <c r="BQ105" s="21">
        <f>EXP(-LN(2)/25)*BQ104+(1-EXP(-LN(2)/25))/(LN(2)/25)*Calculateur!BL105*Calculateur!BN105*VLOOKUP('Données projet'!$B$11,Paramètres!$A$1:$I$89,3,0)*0.475*44/12</f>
        <v>1.127074223794704</v>
      </c>
      <c r="BR105" s="21">
        <f>EXP(-LN(2)/2)*BR104+(1-EXP(-LN(2)/2))/(LN(2)/2)*BL105*BO105*VLOOKUP('Données projet'!$B$11,Paramètres!$A$1:$I$89,3,0)*0.475*44/12</f>
        <v>2.214529578745707E-5</v>
      </c>
      <c r="BS105" s="22">
        <f t="shared" si="63"/>
        <v>25.233846218674209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">
      <c r="A106" s="10">
        <f t="shared" si="85"/>
        <v>103</v>
      </c>
      <c r="B106" s="73">
        <f>'Scénario référence'!$B$16*5+'Scénario référence'!$B$17*0+'Scénario référence'!$B$18*5</f>
        <v>5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">
        <f t="shared" si="86"/>
        <v>0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18.333333333333332</v>
      </c>
      <c r="H106" s="67">
        <f t="shared" si="56"/>
        <v>183.33333333333334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295</v>
      </c>
      <c r="O106" s="13">
        <f>N106*VLOOKUP('Données projet'!$B$9,Paramètres!$A$1:$I$89,3,0)*VLOOKUP('Données projet'!$B$9,Paramètres!$A$1:$I$89,5,0)</f>
        <v>176.41000000000003</v>
      </c>
      <c r="P106" s="13">
        <f t="shared" si="87"/>
        <v>44.522543239204609</v>
      </c>
      <c r="Q106" s="20">
        <f t="shared" si="107"/>
        <v>384.79084614161474</v>
      </c>
      <c r="R106" s="59">
        <f t="shared" si="55"/>
        <v>663.00961507137743</v>
      </c>
      <c r="S106" s="59">
        <f ca="1">AVERAGE(OFFSET($R$3,0,0,'Données projet'!$E$9+1,1))-AVERAGE(OFFSET($H$3,0,0,'Données projet'!$E$9+1,1))</f>
        <v>219.4022220248072</v>
      </c>
      <c r="T106" s="59">
        <f t="shared" si="88"/>
        <v>199.30065726913725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13.646418868985288</v>
      </c>
      <c r="AA106" s="21">
        <f>EXP(-LN(2)/25)*AA105+(1-EXP(-LN(2)/25))/(LN(2)/25)*Calculateur!V106*Calculateur!X106*VLOOKUP('Données projet'!$B$9,Paramètres!$A$1:$I$89,3,0)*0.475*44/12</f>
        <v>2.058676643311407</v>
      </c>
      <c r="AB106" s="21">
        <f>EXP(-LN(2)/2)*AB105+(1-EXP(-LN(2)/2))/(LN(2)/2)*V106*Y106*VLOOKUP('Données projet'!$B$9,Paramètres!$A$1:$I$89,3,0)*0.475*44/12</f>
        <v>6.6870218362505391E-7</v>
      </c>
      <c r="AC106" s="22">
        <f t="shared" si="57"/>
        <v>15.705096180998877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4.5999999999999996</v>
      </c>
      <c r="AI106" s="13">
        <f>IF('Données projet'!$A$62&gt;35,AI105+AH106-AQ105,IF(A106&lt;'Données projet'!$A$62,$AF$205^A106,IF(A106='Données projet'!$A$62,'Données projet'!$B$62,AI105+AH106-AQ105)))</f>
        <v>274.79999999999995</v>
      </c>
      <c r="AJ106" s="13">
        <f>AI106*VLOOKUP('Données projet'!$B$10,Paramètres!$A$1:$I$89,3,0)*VLOOKUP('Données projet'!$B$10,Paramètres!$A$1:$I$89,5,0)</f>
        <v>248.63903999999994</v>
      </c>
      <c r="AK106" s="13">
        <f t="shared" si="89"/>
        <v>60.294419230169922</v>
      </c>
      <c r="AL106" s="20">
        <f t="shared" si="58"/>
        <v>538.05910815921254</v>
      </c>
      <c r="AM106" s="59">
        <f t="shared" si="59"/>
        <v>816.27787708897517</v>
      </c>
      <c r="AN106" s="59">
        <f ca="1">AVERAGE(OFFSET($AM$3,0,0,'Données projet'!$E$10+1,1))-AVERAGE(OFFSET($H$3,0,0,'Données projet'!$E$10+1,1))</f>
        <v>406.64650428071837</v>
      </c>
      <c r="AO106" s="59">
        <f t="shared" si="90"/>
        <v>250.47702091764884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50.984494930698375</v>
      </c>
      <c r="AV106" s="21">
        <f>EXP(-LN(2)/25)*AV105+(1-EXP(-LN(2)/25))/(LN(2)/25)*Calculateur!AQ106*Calculateur!AS106*VLOOKUP('Données projet'!$B$10,Paramètres!$A$1:$I$89,3,0)*0.475*44/12</f>
        <v>2.3081097570460076</v>
      </c>
      <c r="AW106" s="21">
        <f>EXP(-LN(2)/2)*AW105+(1-EXP(-LN(2)/2))/(LN(2)/2)*AQ106*AT106*VLOOKUP('Données projet'!$B$10,Paramètres!$A$1:$I$89,3,0)*0.475*44/12</f>
        <v>0.46197107113604707</v>
      </c>
      <c r="AX106" s="21">
        <f t="shared" si="60"/>
        <v>53.754575758880428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290.99999999999994</v>
      </c>
      <c r="BE106" s="13">
        <f>BD106*VLOOKUP('Données projet'!$B$11,Paramètres!$A$1:$I$89,3,0)*VLOOKUP('Données projet'!$B$11,Paramètres!$A$1:$I$89,5,0)</f>
        <v>276.91559999999993</v>
      </c>
      <c r="BF106" s="13">
        <f t="shared" si="91"/>
        <v>66.314766879144742</v>
      </c>
      <c r="BG106" s="20">
        <f t="shared" si="61"/>
        <v>597.79288898117682</v>
      </c>
      <c r="BH106" s="59">
        <f t="shared" si="62"/>
        <v>876.01165791093945</v>
      </c>
      <c r="BI106" s="59">
        <f ca="1">AVERAGE(OFFSET($BH$3,0,0,'Données projet'!$E$11+1,1))-AVERAGE(OFFSET($H$3,0,0,'Données projet'!$E$11+1,1))</f>
        <v>387.78453964980849</v>
      </c>
      <c r="BJ106" s="59">
        <f t="shared" si="92"/>
        <v>395.13533152274488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23.634031188698923</v>
      </c>
      <c r="BQ106" s="21">
        <f>EXP(-LN(2)/25)*BQ105+(1-EXP(-LN(2)/25))/(LN(2)/25)*Calculateur!BL106*Calculateur!BN106*VLOOKUP('Données projet'!$B$11,Paramètres!$A$1:$I$89,3,0)*0.475*44/12</f>
        <v>1.0962543198747803</v>
      </c>
      <c r="BR106" s="21">
        <f>EXP(-LN(2)/2)*BR105+(1-EXP(-LN(2)/2))/(LN(2)/2)*BL106*BO106*VLOOKUP('Données projet'!$B$11,Paramètres!$A$1:$I$89,3,0)*0.475*44/12</f>
        <v>1.5659088822692779E-5</v>
      </c>
      <c r="BS106" s="22">
        <f t="shared" si="63"/>
        <v>24.730301167662528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">
      <c r="A107" s="10">
        <f t="shared" si="85"/>
        <v>104</v>
      </c>
      <c r="B107" s="73">
        <f>'Scénario référence'!$B$16*5+'Scénario référence'!$B$17*0+'Scénario référence'!$B$18*5</f>
        <v>5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">
        <f t="shared" si="86"/>
        <v>0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18.333333333333332</v>
      </c>
      <c r="H107" s="67">
        <f t="shared" si="56"/>
        <v>183.33333333333334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295</v>
      </c>
      <c r="O107" s="13">
        <f>N107*VLOOKUP('Données projet'!$B$9,Paramètres!$A$1:$I$89,3,0)*VLOOKUP('Données projet'!$B$9,Paramètres!$A$1:$I$89,5,0)</f>
        <v>176.41000000000003</v>
      </c>
      <c r="P107" s="13">
        <f t="shared" si="87"/>
        <v>44.522543239204609</v>
      </c>
      <c r="Q107" s="20">
        <f t="shared" si="107"/>
        <v>384.79084614161474</v>
      </c>
      <c r="R107" s="59">
        <f t="shared" si="55"/>
        <v>663.27181897267565</v>
      </c>
      <c r="S107" s="59">
        <f ca="1">AVERAGE(OFFSET($R$3,0,0,'Données projet'!$E$9+1,1))-AVERAGE(OFFSET($H$3,0,0,'Données projet'!$E$9+1,1))</f>
        <v>219.4022220248072</v>
      </c>
      <c r="T107" s="59">
        <f t="shared" si="88"/>
        <v>199.30065726913725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13.378820918458119</v>
      </c>
      <c r="AA107" s="21">
        <f>EXP(-LN(2)/25)*AA106+(1-EXP(-LN(2)/25))/(LN(2)/25)*Calculateur!V107*Calculateur!X107*VLOOKUP('Données projet'!$B$9,Paramètres!$A$1:$I$89,3,0)*0.475*44/12</f>
        <v>2.0023820222389572</v>
      </c>
      <c r="AB107" s="21">
        <f>EXP(-LN(2)/2)*AB106+(1-EXP(-LN(2)/2))/(LN(2)/2)*V107*Y107*VLOOKUP('Données projet'!$B$9,Paramètres!$A$1:$I$89,3,0)*0.475*44/12</f>
        <v>4.7284384863552758E-7</v>
      </c>
      <c r="AC107" s="22">
        <f t="shared" si="57"/>
        <v>15.381203413540925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4.5999999999999996</v>
      </c>
      <c r="AI107" s="13">
        <f>IF('Données projet'!$A$62&gt;35,AI106+AH107-AQ106,IF(A107&lt;'Données projet'!$A$62,$AF$205^A107,IF(A107='Données projet'!$A$62,'Données projet'!$B$62,AI106+AH107-AQ106)))</f>
        <v>279.39999999999998</v>
      </c>
      <c r="AJ107" s="13">
        <f>AI107*VLOOKUP('Données projet'!$B$10,Paramètres!$A$1:$I$89,3,0)*VLOOKUP('Données projet'!$B$10,Paramètres!$A$1:$I$89,5,0)</f>
        <v>252.80111999999994</v>
      </c>
      <c r="AK107" s="13">
        <f t="shared" si="89"/>
        <v>61.185369021394209</v>
      </c>
      <c r="AL107" s="20">
        <f t="shared" si="58"/>
        <v>546.8598017122614</v>
      </c>
      <c r="AM107" s="59">
        <f t="shared" si="59"/>
        <v>825.34077454332237</v>
      </c>
      <c r="AN107" s="59">
        <f ca="1">AVERAGE(OFFSET($AM$3,0,0,'Données projet'!$E$10+1,1))-AVERAGE(OFFSET($H$3,0,0,'Données projet'!$E$10+1,1))</f>
        <v>406.64650428071837</v>
      </c>
      <c r="AO107" s="59">
        <f t="shared" si="90"/>
        <v>250.47702091764884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49.984720082578669</v>
      </c>
      <c r="AV107" s="21">
        <f>EXP(-LN(2)/25)*AV106+(1-EXP(-LN(2)/25))/(LN(2)/25)*Calculateur!AQ107*Calculateur!AS107*VLOOKUP('Données projet'!$B$10,Paramètres!$A$1:$I$89,3,0)*0.475*44/12</f>
        <v>2.2449943743613678</v>
      </c>
      <c r="AW107" s="21">
        <f>EXP(-LN(2)/2)*AW106+(1-EXP(-LN(2)/2))/(LN(2)/2)*AQ107*AT107*VLOOKUP('Données projet'!$B$10,Paramètres!$A$1:$I$89,3,0)*0.475*44/12</f>
        <v>0.32666287711231184</v>
      </c>
      <c r="AX107" s="21">
        <f t="shared" si="60"/>
        <v>52.55637733405235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290.99999999999994</v>
      </c>
      <c r="BE107" s="13">
        <f>BD107*VLOOKUP('Données projet'!$B$11,Paramètres!$A$1:$I$89,3,0)*VLOOKUP('Données projet'!$B$11,Paramètres!$A$1:$I$89,5,0)</f>
        <v>276.91559999999993</v>
      </c>
      <c r="BF107" s="13">
        <f t="shared" si="91"/>
        <v>66.314766879144742</v>
      </c>
      <c r="BG107" s="20">
        <f t="shared" si="61"/>
        <v>597.79288898117682</v>
      </c>
      <c r="BH107" s="59">
        <f t="shared" si="62"/>
        <v>876.27386181223778</v>
      </c>
      <c r="BI107" s="59">
        <f ca="1">AVERAGE(OFFSET($BH$3,0,0,'Données projet'!$E$11+1,1))-AVERAGE(OFFSET($H$3,0,0,'Données projet'!$E$11+1,1))</f>
        <v>387.78453964980849</v>
      </c>
      <c r="BJ107" s="59">
        <f t="shared" si="92"/>
        <v>395.13533152274488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23.170582252424165</v>
      </c>
      <c r="BQ107" s="21">
        <f>EXP(-LN(2)/25)*BQ106+(1-EXP(-LN(2)/25))/(LN(2)/25)*Calculateur!BL107*Calculateur!BN107*VLOOKUP('Données projet'!$B$11,Paramètres!$A$1:$I$89,3,0)*0.475*44/12</f>
        <v>1.0662771878482953</v>
      </c>
      <c r="BR107" s="21">
        <f>EXP(-LN(2)/2)*BR106+(1-EXP(-LN(2)/2))/(LN(2)/2)*BL107*BO107*VLOOKUP('Données projet'!$B$11,Paramètres!$A$1:$I$89,3,0)*0.475*44/12</f>
        <v>1.1072647893728535E-5</v>
      </c>
      <c r="BS107" s="22">
        <f t="shared" si="63"/>
        <v>24.236870512920355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">
      <c r="A108" s="10">
        <f t="shared" si="85"/>
        <v>105</v>
      </c>
      <c r="B108" s="73">
        <f>'Scénario référence'!$B$16*5+'Scénario référence'!$B$17*0+'Scénario référence'!$B$18*5</f>
        <v>5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">
        <f t="shared" si="86"/>
        <v>0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18.333333333333332</v>
      </c>
      <c r="H108" s="67">
        <f t="shared" si="56"/>
        <v>183.33333333333334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295</v>
      </c>
      <c r="O108" s="13">
        <f>N108*VLOOKUP('Données projet'!$B$9,Paramètres!$A$1:$I$89,3,0)*VLOOKUP('Données projet'!$B$9,Paramètres!$A$1:$I$89,5,0)</f>
        <v>176.41000000000003</v>
      </c>
      <c r="P108" s="13">
        <f t="shared" si="87"/>
        <v>44.522543239204609</v>
      </c>
      <c r="Q108" s="20">
        <f t="shared" si="107"/>
        <v>384.79084614161474</v>
      </c>
      <c r="R108" s="59">
        <f t="shared" si="55"/>
        <v>663.52947422248644</v>
      </c>
      <c r="S108" s="59">
        <f ca="1">AVERAGE(OFFSET($R$3,0,0,'Données projet'!$E$9+1,1))-AVERAGE(OFFSET($H$3,0,0,'Données projet'!$E$9+1,1))</f>
        <v>219.4022220248072</v>
      </c>
      <c r="T108" s="59">
        <f t="shared" si="88"/>
        <v>199.30065726913725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13.116470400522156</v>
      </c>
      <c r="AA108" s="21">
        <f>EXP(-LN(2)/25)*AA107+(1-EXP(-LN(2)/25))/(LN(2)/25)*Calculateur!V108*Calculateur!X108*VLOOKUP('Données projet'!$B$9,Paramètres!$A$1:$I$89,3,0)*0.475*44/12</f>
        <v>1.9476267805401388</v>
      </c>
      <c r="AB108" s="21">
        <f>EXP(-LN(2)/2)*AB107+(1-EXP(-LN(2)/2))/(LN(2)/2)*V108*Y108*VLOOKUP('Données projet'!$B$9,Paramètres!$A$1:$I$89,3,0)*0.475*44/12</f>
        <v>3.3435109181252701E-7</v>
      </c>
      <c r="AC108" s="22">
        <f t="shared" si="57"/>
        <v>15.064097515413387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>
        <f>VLOOKUP(A108,'Données projet'!$A$61:$I$81,2,0)</f>
        <v>284</v>
      </c>
      <c r="AG108" s="12">
        <f>VLOOKUP(A108,'Données projet'!$A$61:$I$81,9,0)</f>
        <v>4.5999999999999996</v>
      </c>
      <c r="AH108" s="12">
        <f t="array" ref="AH108">INDEX(AG:AG,MIN(IF(ISNUMBER(AG108:AG304),ROW(AG108:AG304),"")))</f>
        <v>4.5999999999999996</v>
      </c>
      <c r="AI108" s="13">
        <f>IF('Données projet'!$A$62&gt;35,AI107+AH108-AQ107,IF(A108&lt;'Données projet'!$A$62,$AF$205^A108,IF(A108='Données projet'!$A$62,'Données projet'!$B$62,AI107+AH108-AQ107)))</f>
        <v>284</v>
      </c>
      <c r="AJ108" s="13">
        <f>AI108*VLOOKUP('Données projet'!$B$10,Paramètres!$A$1:$I$89,3,0)*VLOOKUP('Données projet'!$B$10,Paramètres!$A$1:$I$89,5,0)</f>
        <v>256.96320000000003</v>
      </c>
      <c r="AK108" s="13">
        <f t="shared" si="89"/>
        <v>62.074612956838024</v>
      </c>
      <c r="AL108" s="20">
        <f t="shared" si="58"/>
        <v>555.65752423315951</v>
      </c>
      <c r="AM108" s="59">
        <f t="shared" si="59"/>
        <v>834.39615231403127</v>
      </c>
      <c r="AN108" s="59">
        <f ca="1">AVERAGE(OFFSET($AM$3,0,0,'Données projet'!$E$10+1,1))-AVERAGE(OFFSET($H$3,0,0,'Données projet'!$E$10+1,1))</f>
        <v>406.64650428071837</v>
      </c>
      <c r="AO108" s="59">
        <f t="shared" si="90"/>
        <v>250.47702091764884</v>
      </c>
      <c r="AP108" s="15">
        <f>IF(ISNA(VLOOKUP(A108,'Données projet'!$A$61:$I$81,3,0)),0,VLOOKUP(A108,'Données projet'!$A$61:$I$81,3,0))</f>
        <v>17</v>
      </c>
      <c r="AQ108" s="15">
        <f>IF(ISNA(VLOOKUP(A108,'Données projet'!$A$61:$I$81,4,0)),0,VLOOKUP(A108,'Données projet'!$A$61:$I$81,4,0))</f>
        <v>20</v>
      </c>
      <c r="AR108" s="16">
        <f>IF(ISNA(VLOOKUP(A108,'Données projet'!$A$61:$I$81,5,0)),0%,VLOOKUP(A108,'Données projet'!$A$61:$I$81,5,0)*VLOOKUP('Données projet'!$B$10,Paramètres!$A$1:$I$89,7,0))</f>
        <v>0.34400000000000003</v>
      </c>
      <c r="AS108" s="16">
        <f>IF(ISNA(VLOOKUP(A108,'Données projet'!$A$61:$I$81,6,0)),0%,VLOOKUP(A108,'Données projet'!$A$61:$I$81,6,0)*VLOOKUP('Données projet'!$B$10,Paramètres!$A$1:$I$89,7,0))</f>
        <v>1.72E-2</v>
      </c>
      <c r="AT108" s="16">
        <f>IF(ISNA(VLOOKUP(A108,'Données projet'!$A$61:$I$81,7,0)),0%,VLOOKUP(A108,'Données projet'!$A$61:$I$81,7,0))</f>
        <v>0.06</v>
      </c>
      <c r="AU108" s="21">
        <f>EXP(-LN(2)/35)*AU107+(1-EXP(-LN(2)/35))/(LN(2)/35)*AQ108*AR108*VLOOKUP('Données projet'!$B$10,Paramètres!$A$1:$I$89,3,0)*0.475*44/12</f>
        <v>55.886129853309868</v>
      </c>
      <c r="AV108" s="21">
        <f>EXP(-LN(2)/25)*AV107+(1-EXP(-LN(2)/25))/(LN(2)/25)*Calculateur!AQ108*Calculateur!AS108*VLOOKUP('Données projet'!$B$10,Paramètres!$A$1:$I$89,3,0)*0.475*44/12</f>
        <v>2.5263290972721504</v>
      </c>
      <c r="AW108" s="21">
        <f>EXP(-LN(2)/2)*AW107+(1-EXP(-LN(2)/2))/(LN(2)/2)*AQ108*AT108*VLOOKUP('Données projet'!$B$10,Paramètres!$A$1:$I$89,3,0)*0.475*44/12</f>
        <v>1.2554293183699698</v>
      </c>
      <c r="AX108" s="21">
        <f t="shared" si="60"/>
        <v>59.667888268951991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290.99999999999994</v>
      </c>
      <c r="BE108" s="13">
        <f>BD108*VLOOKUP('Données projet'!$B$11,Paramètres!$A$1:$I$89,3,0)*VLOOKUP('Données projet'!$B$11,Paramètres!$A$1:$I$89,5,0)</f>
        <v>276.91559999999993</v>
      </c>
      <c r="BF108" s="13">
        <f t="shared" si="91"/>
        <v>66.314766879144742</v>
      </c>
      <c r="BG108" s="20">
        <f t="shared" si="61"/>
        <v>597.79288898117682</v>
      </c>
      <c r="BH108" s="59">
        <f t="shared" si="62"/>
        <v>876.53151706204858</v>
      </c>
      <c r="BI108" s="59">
        <f ca="1">AVERAGE(OFFSET($BH$3,0,0,'Données projet'!$E$11+1,1))-AVERAGE(OFFSET($H$3,0,0,'Données projet'!$E$11+1,1))</f>
        <v>387.78453964980849</v>
      </c>
      <c r="BJ108" s="59">
        <f t="shared" si="92"/>
        <v>395.13533152274488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22.716221267113816</v>
      </c>
      <c r="BQ108" s="21">
        <f>EXP(-LN(2)/25)*BQ107+(1-EXP(-LN(2)/25))/(LN(2)/25)*Calculateur!BL108*Calculateur!BN108*VLOOKUP('Données projet'!$B$11,Paramètres!$A$1:$I$89,3,0)*0.475*44/12</f>
        <v>1.0371197820735034</v>
      </c>
      <c r="BR108" s="21">
        <f>EXP(-LN(2)/2)*BR107+(1-EXP(-LN(2)/2))/(LN(2)/2)*BL108*BO108*VLOOKUP('Données projet'!$B$11,Paramètres!$A$1:$I$89,3,0)*0.475*44/12</f>
        <v>7.8295444113463895E-6</v>
      </c>
      <c r="BS108" s="22">
        <f t="shared" si="63"/>
        <v>23.753348878731732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">
      <c r="A109" s="10">
        <f t="shared" si="85"/>
        <v>106</v>
      </c>
      <c r="B109" s="73">
        <f>'Scénario référence'!$B$16*5+'Scénario référence'!$B$17*0+'Scénario référence'!$B$18*5</f>
        <v>5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">
        <f t="shared" si="86"/>
        <v>0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18.333333333333332</v>
      </c>
      <c r="H109" s="67">
        <f t="shared" si="56"/>
        <v>183.33333333333334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295</v>
      </c>
      <c r="O109" s="13">
        <f>N109*VLOOKUP('Données projet'!$B$9,Paramètres!$A$1:$I$89,3,0)*VLOOKUP('Données projet'!$B$9,Paramètres!$A$1:$I$89,5,0)</f>
        <v>176.41000000000003</v>
      </c>
      <c r="P109" s="13">
        <f t="shared" si="87"/>
        <v>44.522543239204609</v>
      </c>
      <c r="Q109" s="20">
        <f t="shared" si="107"/>
        <v>384.79084614161474</v>
      </c>
      <c r="R109" s="59">
        <f t="shared" si="55"/>
        <v>663.78265972974384</v>
      </c>
      <c r="S109" s="59">
        <f ca="1">AVERAGE(OFFSET($R$3,0,0,'Données projet'!$E$9+1,1))-AVERAGE(OFFSET($H$3,0,0,'Données projet'!$E$9+1,1))</f>
        <v>219.4022220248072</v>
      </c>
      <c r="T109" s="59">
        <f t="shared" si="88"/>
        <v>199.30065726913725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12.859264416224901</v>
      </c>
      <c r="AA109" s="21">
        <f>EXP(-LN(2)/25)*AA108+(1-EXP(-LN(2)/25))/(LN(2)/25)*Calculateur!V109*Calculateur!X109*VLOOKUP('Données projet'!$B$9,Paramètres!$A$1:$I$89,3,0)*0.475*44/12</f>
        <v>1.8943688238050278</v>
      </c>
      <c r="AB109" s="21">
        <f>EXP(-LN(2)/2)*AB108+(1-EXP(-LN(2)/2))/(LN(2)/2)*V109*Y109*VLOOKUP('Données projet'!$B$9,Paramètres!$A$1:$I$89,3,0)*0.475*44/12</f>
        <v>2.3642192431776381E-7</v>
      </c>
      <c r="AC109" s="22">
        <f t="shared" si="57"/>
        <v>14.753633476451853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4.2</v>
      </c>
      <c r="AI109" s="13">
        <f>IF('Données projet'!$A$62&gt;35,AI108+AH109-AQ108,IF(A109&lt;'Données projet'!$A$62,$AF$205^A109,IF(A109='Données projet'!$A$62,'Données projet'!$B$62,AI108+AH109-AQ108)))</f>
        <v>268.2</v>
      </c>
      <c r="AJ109" s="13">
        <f>AI109*VLOOKUP('Données projet'!$B$10,Paramètres!$A$1:$I$89,3,0)*VLOOKUP('Données projet'!$B$10,Paramètres!$A$1:$I$89,5,0)</f>
        <v>242.66735999999997</v>
      </c>
      <c r="AK109" s="13">
        <f t="shared" si="89"/>
        <v>59.013056290731797</v>
      </c>
      <c r="AL109" s="20">
        <f t="shared" si="58"/>
        <v>525.42672503969118</v>
      </c>
      <c r="AM109" s="59">
        <f t="shared" si="59"/>
        <v>804.41853862782023</v>
      </c>
      <c r="AN109" s="59">
        <f ca="1">AVERAGE(OFFSET($AM$3,0,0,'Données projet'!$E$10+1,1))-AVERAGE(OFFSET($H$3,0,0,'Données projet'!$E$10+1,1))</f>
        <v>406.64650428071837</v>
      </c>
      <c r="AO109" s="59">
        <f t="shared" si="90"/>
        <v>250.47702091764884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54.790236934059841</v>
      </c>
      <c r="AV109" s="21">
        <f>EXP(-LN(2)/25)*AV108+(1-EXP(-LN(2)/25))/(LN(2)/25)*Calculateur!AQ109*Calculateur!AS109*VLOOKUP('Données projet'!$B$10,Paramètres!$A$1:$I$89,3,0)*0.475*44/12</f>
        <v>2.4572464952533704</v>
      </c>
      <c r="AW109" s="21">
        <f>EXP(-LN(2)/2)*AW108+(1-EXP(-LN(2)/2))/(LN(2)/2)*AQ109*AT109*VLOOKUP('Données projet'!$B$10,Paramètres!$A$1:$I$89,3,0)*0.475*44/12</f>
        <v>0.88772258431981088</v>
      </c>
      <c r="AX109" s="21">
        <f t="shared" si="60"/>
        <v>58.135206013633024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290.99999999999994</v>
      </c>
      <c r="BE109" s="13">
        <f>BD109*VLOOKUP('Données projet'!$B$11,Paramètres!$A$1:$I$89,3,0)*VLOOKUP('Données projet'!$B$11,Paramètres!$A$1:$I$89,5,0)</f>
        <v>276.91559999999993</v>
      </c>
      <c r="BF109" s="13">
        <f t="shared" si="91"/>
        <v>66.314766879144742</v>
      </c>
      <c r="BG109" s="20">
        <f t="shared" si="61"/>
        <v>597.79288898117682</v>
      </c>
      <c r="BH109" s="59">
        <f t="shared" si="62"/>
        <v>876.78470256930586</v>
      </c>
      <c r="BI109" s="59">
        <f ca="1">AVERAGE(OFFSET($BH$3,0,0,'Données projet'!$E$11+1,1))-AVERAGE(OFFSET($H$3,0,0,'Données projet'!$E$11+1,1))</f>
        <v>387.78453964980849</v>
      </c>
      <c r="BJ109" s="59">
        <f t="shared" si="92"/>
        <v>395.13533152274488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22.270770023592569</v>
      </c>
      <c r="BQ109" s="21">
        <f>EXP(-LN(2)/25)*BQ108+(1-EXP(-LN(2)/25))/(LN(2)/25)*Calculateur!BL109*Calculateur!BN109*VLOOKUP('Données projet'!$B$11,Paramètres!$A$1:$I$89,3,0)*0.475*44/12</f>
        <v>1.0087596870929445</v>
      </c>
      <c r="BR109" s="21">
        <f>EXP(-LN(2)/2)*BR108+(1-EXP(-LN(2)/2))/(LN(2)/2)*BL109*BO109*VLOOKUP('Données projet'!$B$11,Paramètres!$A$1:$I$89,3,0)*0.475*44/12</f>
        <v>5.5363239468642676E-6</v>
      </c>
      <c r="BS109" s="22">
        <f t="shared" si="63"/>
        <v>23.279535247009459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">
      <c r="A110" s="10">
        <f t="shared" si="85"/>
        <v>107</v>
      </c>
      <c r="B110" s="73">
        <f>'Scénario référence'!$B$16*5+'Scénario référence'!$B$17*0+'Scénario référence'!$B$18*5</f>
        <v>5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">
        <f t="shared" si="86"/>
        <v>0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18.333333333333332</v>
      </c>
      <c r="H110" s="67">
        <f t="shared" si="56"/>
        <v>183.33333333333334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295</v>
      </c>
      <c r="O110" s="13">
        <f>N110*VLOOKUP('Données projet'!$B$9,Paramètres!$A$1:$I$89,3,0)*VLOOKUP('Données projet'!$B$9,Paramètres!$A$1:$I$89,5,0)</f>
        <v>176.41000000000003</v>
      </c>
      <c r="P110" s="13">
        <f t="shared" si="87"/>
        <v>44.522543239204609</v>
      </c>
      <c r="Q110" s="20">
        <f t="shared" si="107"/>
        <v>384.79084614161474</v>
      </c>
      <c r="R110" s="59">
        <f t="shared" si="55"/>
        <v>664.03145303448832</v>
      </c>
      <c r="S110" s="59">
        <f ca="1">AVERAGE(OFFSET($R$3,0,0,'Données projet'!$E$9+1,1))-AVERAGE(OFFSET($H$3,0,0,'Données projet'!$E$9+1,1))</f>
        <v>219.4022220248072</v>
      </c>
      <c r="T110" s="59">
        <f t="shared" si="88"/>
        <v>199.30065726913725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12.607102084399555</v>
      </c>
      <c r="AA110" s="21">
        <f>EXP(-LN(2)/25)*AA109+(1-EXP(-LN(2)/25))/(LN(2)/25)*Calculateur!V110*Calculateur!X110*VLOOKUP('Données projet'!$B$9,Paramètres!$A$1:$I$89,3,0)*0.475*44/12</f>
        <v>1.8425672086975524</v>
      </c>
      <c r="AB110" s="21">
        <f>EXP(-LN(2)/2)*AB109+(1-EXP(-LN(2)/2))/(LN(2)/2)*V110*Y110*VLOOKUP('Données projet'!$B$9,Paramètres!$A$1:$I$89,3,0)*0.475*44/12</f>
        <v>1.6717554590626353E-7</v>
      </c>
      <c r="AC110" s="22">
        <f t="shared" si="57"/>
        <v>14.449669460272654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4.2</v>
      </c>
      <c r="AI110" s="13">
        <f>IF('Données projet'!$A$62&gt;35,AI109+AH110-AQ109,IF(A110&lt;'Données projet'!$A$62,$AF$205^A110,IF(A110='Données projet'!$A$62,'Données projet'!$B$62,AI109+AH110-AQ109)))</f>
        <v>272.39999999999998</v>
      </c>
      <c r="AJ110" s="13">
        <f>AI110*VLOOKUP('Données projet'!$B$10,Paramètres!$A$1:$I$89,3,0)*VLOOKUP('Données projet'!$B$10,Paramètres!$A$1:$I$89,5,0)</f>
        <v>246.46751999999995</v>
      </c>
      <c r="AK110" s="13">
        <f t="shared" si="89"/>
        <v>59.828888074216977</v>
      </c>
      <c r="AL110" s="20">
        <f t="shared" si="58"/>
        <v>533.46624406259446</v>
      </c>
      <c r="AM110" s="59">
        <f t="shared" si="59"/>
        <v>812.7068509554681</v>
      </c>
      <c r="AN110" s="59">
        <f ca="1">AVERAGE(OFFSET($AM$3,0,0,'Données projet'!$E$10+1,1))-AVERAGE(OFFSET($H$3,0,0,'Données projet'!$E$10+1,1))</f>
        <v>406.64650428071837</v>
      </c>
      <c r="AO110" s="59">
        <f t="shared" si="90"/>
        <v>250.47702091764884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53.715833806527634</v>
      </c>
      <c r="AV110" s="21">
        <f>EXP(-LN(2)/25)*AV109+(1-EXP(-LN(2)/25))/(LN(2)/25)*Calculateur!AQ110*Calculateur!AS110*VLOOKUP('Données projet'!$B$10,Paramètres!$A$1:$I$89,3,0)*0.475*44/12</f>
        <v>2.3900529606196899</v>
      </c>
      <c r="AW110" s="21">
        <f>EXP(-LN(2)/2)*AW109+(1-EXP(-LN(2)/2))/(LN(2)/2)*AQ110*AT110*VLOOKUP('Données projet'!$B$10,Paramètres!$A$1:$I$89,3,0)*0.475*44/12</f>
        <v>0.62771465918498504</v>
      </c>
      <c r="AX110" s="21">
        <f t="shared" si="60"/>
        <v>56.733601426332314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290.99999999999994</v>
      </c>
      <c r="BE110" s="13">
        <f>BD110*VLOOKUP('Données projet'!$B$11,Paramètres!$A$1:$I$89,3,0)*VLOOKUP('Données projet'!$B$11,Paramètres!$A$1:$I$89,5,0)</f>
        <v>276.91559999999993</v>
      </c>
      <c r="BF110" s="13">
        <f t="shared" si="91"/>
        <v>66.314766879144742</v>
      </c>
      <c r="BG110" s="20">
        <f t="shared" si="61"/>
        <v>597.79288898117682</v>
      </c>
      <c r="BH110" s="59">
        <f t="shared" si="62"/>
        <v>877.03349587405046</v>
      </c>
      <c r="BI110" s="59">
        <f ca="1">AVERAGE(OFFSET($BH$3,0,0,'Données projet'!$E$11+1,1))-AVERAGE(OFFSET($H$3,0,0,'Données projet'!$E$11+1,1))</f>
        <v>387.78453964980849</v>
      </c>
      <c r="BJ110" s="59">
        <f t="shared" si="92"/>
        <v>395.13533152274488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21.834053807258339</v>
      </c>
      <c r="BQ110" s="21">
        <f>EXP(-LN(2)/25)*BQ109+(1-EXP(-LN(2)/25))/(LN(2)/25)*Calculateur!BL110*Calculateur!BN110*VLOOKUP('Données projet'!$B$11,Paramètres!$A$1:$I$89,3,0)*0.475*44/12</f>
        <v>0.98117510040102152</v>
      </c>
      <c r="BR110" s="21">
        <f>EXP(-LN(2)/2)*BR109+(1-EXP(-LN(2)/2))/(LN(2)/2)*BL110*BO110*VLOOKUP('Données projet'!$B$11,Paramètres!$A$1:$I$89,3,0)*0.475*44/12</f>
        <v>3.9147722056731947E-6</v>
      </c>
      <c r="BS110" s="22">
        <f t="shared" si="63"/>
        <v>22.815232822431565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">
      <c r="A111" s="10">
        <f t="shared" si="85"/>
        <v>108</v>
      </c>
      <c r="B111" s="73">
        <f>'Scénario référence'!$B$16*5+'Scénario référence'!$B$17*0+'Scénario référence'!$B$18*5</f>
        <v>5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">
        <f t="shared" si="86"/>
        <v>0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18.333333333333332</v>
      </c>
      <c r="H111" s="67">
        <f t="shared" si="56"/>
        <v>183.33333333333334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295</v>
      </c>
      <c r="O111" s="13">
        <f>N111*VLOOKUP('Données projet'!$B$9,Paramètres!$A$1:$I$89,3,0)*VLOOKUP('Données projet'!$B$9,Paramètres!$A$1:$I$89,5,0)</f>
        <v>176.41000000000003</v>
      </c>
      <c r="P111" s="13">
        <f t="shared" si="87"/>
        <v>44.522543239204609</v>
      </c>
      <c r="Q111" s="20">
        <f t="shared" si="107"/>
        <v>384.79084614161474</v>
      </c>
      <c r="R111" s="59">
        <f t="shared" si="55"/>
        <v>664.27593033161406</v>
      </c>
      <c r="S111" s="59">
        <f ca="1">AVERAGE(OFFSET($R$3,0,0,'Données projet'!$E$9+1,1))-AVERAGE(OFFSET($H$3,0,0,'Données projet'!$E$9+1,1))</f>
        <v>219.4022220248072</v>
      </c>
      <c r="T111" s="59">
        <f t="shared" si="88"/>
        <v>199.30065726913725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12.359884502097469</v>
      </c>
      <c r="AA111" s="21">
        <f>EXP(-LN(2)/25)*AA110+(1-EXP(-LN(2)/25))/(LN(2)/25)*Calculateur!V111*Calculateur!X111*VLOOKUP('Données projet'!$B$9,Paramètres!$A$1:$I$89,3,0)*0.475*44/12</f>
        <v>1.7921821114793195</v>
      </c>
      <c r="AB111" s="21">
        <f>EXP(-LN(2)/2)*AB110+(1-EXP(-LN(2)/2))/(LN(2)/2)*V111*Y111*VLOOKUP('Données projet'!$B$9,Paramètres!$A$1:$I$89,3,0)*0.475*44/12</f>
        <v>1.1821096215888192E-7</v>
      </c>
      <c r="AC111" s="22">
        <f t="shared" si="57"/>
        <v>14.152066731787752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4.2</v>
      </c>
      <c r="AI111" s="13">
        <f>IF('Données projet'!$A$62&gt;35,AI110+AH111-AQ110,IF(A111&lt;'Données projet'!$A$62,$AF$205^A111,IF(A111='Données projet'!$A$62,'Données projet'!$B$62,AI110+AH111-AQ110)))</f>
        <v>276.59999999999997</v>
      </c>
      <c r="AJ111" s="13">
        <f>AI111*VLOOKUP('Données projet'!$B$10,Paramètres!$A$1:$I$89,3,0)*VLOOKUP('Données projet'!$B$10,Paramètres!$A$1:$I$89,5,0)</f>
        <v>250.26767999999996</v>
      </c>
      <c r="AK111" s="13">
        <f t="shared" si="89"/>
        <v>60.643256925083442</v>
      </c>
      <c r="AL111" s="20">
        <f t="shared" si="58"/>
        <v>541.50321514452014</v>
      </c>
      <c r="AM111" s="59">
        <f t="shared" si="59"/>
        <v>820.98829933451952</v>
      </c>
      <c r="AN111" s="59">
        <f ca="1">AVERAGE(OFFSET($AM$3,0,0,'Données projet'!$E$10+1,1))-AVERAGE(OFFSET($H$3,0,0,'Données projet'!$E$10+1,1))</f>
        <v>406.64650428071837</v>
      </c>
      <c r="AO111" s="59">
        <f t="shared" si="90"/>
        <v>250.47702091764884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52.662499069005129</v>
      </c>
      <c r="AV111" s="21">
        <f>EXP(-LN(2)/25)*AV110+(1-EXP(-LN(2)/25))/(LN(2)/25)*Calculateur!AQ111*Calculateur!AS111*VLOOKUP('Données projet'!$B$10,Paramètres!$A$1:$I$89,3,0)*0.475*44/12</f>
        <v>2.3246968367241219</v>
      </c>
      <c r="AW111" s="21">
        <f>EXP(-LN(2)/2)*AW110+(1-EXP(-LN(2)/2))/(LN(2)/2)*AQ111*AT111*VLOOKUP('Données projet'!$B$10,Paramètres!$A$1:$I$89,3,0)*0.475*44/12</f>
        <v>0.4438612921599055</v>
      </c>
      <c r="AX111" s="21">
        <f t="shared" si="60"/>
        <v>55.43105719788916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290.99999999999994</v>
      </c>
      <c r="BE111" s="13">
        <f>BD111*VLOOKUP('Données projet'!$B$11,Paramètres!$A$1:$I$89,3,0)*VLOOKUP('Données projet'!$B$11,Paramètres!$A$1:$I$89,5,0)</f>
        <v>276.91559999999993</v>
      </c>
      <c r="BF111" s="13">
        <f t="shared" si="91"/>
        <v>66.314766879144742</v>
      </c>
      <c r="BG111" s="20">
        <f t="shared" si="61"/>
        <v>597.79288898117682</v>
      </c>
      <c r="BH111" s="59">
        <f t="shared" si="62"/>
        <v>877.2779731711762</v>
      </c>
      <c r="BI111" s="59">
        <f ca="1">AVERAGE(OFFSET($BH$3,0,0,'Données projet'!$E$11+1,1))-AVERAGE(OFFSET($H$3,0,0,'Données projet'!$E$11+1,1))</f>
        <v>387.78453964980849</v>
      </c>
      <c r="BJ111" s="59">
        <f t="shared" si="92"/>
        <v>395.13533152274488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21.405901329555835</v>
      </c>
      <c r="BQ111" s="21">
        <f>EXP(-LN(2)/25)*BQ110+(1-EXP(-LN(2)/25))/(LN(2)/25)*Calculateur!BL111*Calculateur!BN111*VLOOKUP('Données projet'!$B$11,Paramètres!$A$1:$I$89,3,0)*0.475*44/12</f>
        <v>0.95434481568279961</v>
      </c>
      <c r="BR111" s="21">
        <f>EXP(-LN(2)/2)*BR110+(1-EXP(-LN(2)/2))/(LN(2)/2)*BL111*BO111*VLOOKUP('Données projet'!$B$11,Paramètres!$A$1:$I$89,3,0)*0.475*44/12</f>
        <v>2.7681619734321338E-6</v>
      </c>
      <c r="BS111" s="22">
        <f t="shared" si="63"/>
        <v>22.360248913400607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">
      <c r="A112" s="10">
        <f t="shared" si="85"/>
        <v>109</v>
      </c>
      <c r="B112" s="73">
        <f>'Scénario référence'!$B$16*5+'Scénario référence'!$B$17*0+'Scénario référence'!$B$18*5</f>
        <v>5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">
        <f t="shared" si="86"/>
        <v>0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18.333333333333332</v>
      </c>
      <c r="H112" s="67">
        <f t="shared" si="56"/>
        <v>183.33333333333334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295</v>
      </c>
      <c r="O112" s="13">
        <f>N112*VLOOKUP('Données projet'!$B$9,Paramètres!$A$1:$I$89,3,0)*VLOOKUP('Données projet'!$B$9,Paramètres!$A$1:$I$89,5,0)</f>
        <v>176.41000000000003</v>
      </c>
      <c r="P112" s="13">
        <f t="shared" si="87"/>
        <v>44.522543239204609</v>
      </c>
      <c r="Q112" s="20">
        <f t="shared" si="107"/>
        <v>384.79084614161474</v>
      </c>
      <c r="R112" s="59">
        <f t="shared" si="55"/>
        <v>664.51616649420407</v>
      </c>
      <c r="S112" s="59">
        <f ca="1">AVERAGE(OFFSET($R$3,0,0,'Données projet'!$E$9+1,1))-AVERAGE(OFFSET($H$3,0,0,'Données projet'!$E$9+1,1))</f>
        <v>219.4022220248072</v>
      </c>
      <c r="T112" s="59">
        <f t="shared" si="88"/>
        <v>199.30065726913725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12.11751470579649</v>
      </c>
      <c r="AA112" s="21">
        <f>EXP(-LN(2)/25)*AA111+(1-EXP(-LN(2)/25))/(LN(2)/25)*Calculateur!V112*Calculateur!X112*VLOOKUP('Données projet'!$B$9,Paramètres!$A$1:$I$89,3,0)*0.475*44/12</f>
        <v>1.7431747973941563</v>
      </c>
      <c r="AB112" s="21">
        <f>EXP(-LN(2)/2)*AB111+(1-EXP(-LN(2)/2))/(LN(2)/2)*V112*Y112*VLOOKUP('Données projet'!$B$9,Paramètres!$A$1:$I$89,3,0)*0.475*44/12</f>
        <v>8.3587772953131779E-8</v>
      </c>
      <c r="AC112" s="22">
        <f t="shared" si="57"/>
        <v>13.860689586778419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4.2</v>
      </c>
      <c r="AI112" s="13">
        <f>IF('Données projet'!$A$62&gt;35,AI111+AH112-AQ111,IF(A112&lt;'Données projet'!$A$62,$AF$205^A112,IF(A112='Données projet'!$A$62,'Données projet'!$B$62,AI111+AH112-AQ111)))</f>
        <v>280.79999999999995</v>
      </c>
      <c r="AJ112" s="13">
        <f>AI112*VLOOKUP('Données projet'!$B$10,Paramètres!$A$1:$I$89,3,0)*VLOOKUP('Données projet'!$B$10,Paramètres!$A$1:$I$89,5,0)</f>
        <v>254.06783999999996</v>
      </c>
      <c r="AK112" s="13">
        <f t="shared" si="89"/>
        <v>61.456187622750718</v>
      </c>
      <c r="AL112" s="20">
        <f t="shared" si="58"/>
        <v>549.53768144295748</v>
      </c>
      <c r="AM112" s="59">
        <f t="shared" si="59"/>
        <v>829.26300179554676</v>
      </c>
      <c r="AN112" s="59">
        <f ca="1">AVERAGE(OFFSET($AM$3,0,0,'Données projet'!$E$10+1,1))-AVERAGE(OFFSET($H$3,0,0,'Données projet'!$E$10+1,1))</f>
        <v>406.64650428071837</v>
      </c>
      <c r="AO112" s="59">
        <f t="shared" si="90"/>
        <v>250.47702091764884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51.62981958321469</v>
      </c>
      <c r="AV112" s="21">
        <f>EXP(-LN(2)/25)*AV111+(1-EXP(-LN(2)/25))/(LN(2)/25)*Calculateur!AQ112*Calculateur!AS112*VLOOKUP('Données projet'!$B$10,Paramètres!$A$1:$I$89,3,0)*0.475*44/12</f>
        <v>2.2611278794734071</v>
      </c>
      <c r="AW112" s="21">
        <f>EXP(-LN(2)/2)*AW111+(1-EXP(-LN(2)/2))/(LN(2)/2)*AQ112*AT112*VLOOKUP('Données projet'!$B$10,Paramètres!$A$1:$I$89,3,0)*0.475*44/12</f>
        <v>0.31385732959249257</v>
      </c>
      <c r="AX112" s="21">
        <f t="shared" si="60"/>
        <v>54.204804792280591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290.99999999999994</v>
      </c>
      <c r="BE112" s="13">
        <f>BD112*VLOOKUP('Données projet'!$B$11,Paramètres!$A$1:$I$89,3,0)*VLOOKUP('Données projet'!$B$11,Paramètres!$A$1:$I$89,5,0)</f>
        <v>276.91559999999993</v>
      </c>
      <c r="BF112" s="13">
        <f t="shared" si="91"/>
        <v>66.314766879144742</v>
      </c>
      <c r="BG112" s="20">
        <f t="shared" si="61"/>
        <v>597.79288898117682</v>
      </c>
      <c r="BH112" s="59">
        <f t="shared" si="62"/>
        <v>877.51820933376609</v>
      </c>
      <c r="BI112" s="59">
        <f ca="1">AVERAGE(OFFSET($BH$3,0,0,'Données projet'!$E$11+1,1))-AVERAGE(OFFSET($H$3,0,0,'Données projet'!$E$11+1,1))</f>
        <v>387.78453964980849</v>
      </c>
      <c r="BJ112" s="59">
        <f t="shared" si="92"/>
        <v>395.13533152274488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20.986144660793851</v>
      </c>
      <c r="BQ112" s="21">
        <f>EXP(-LN(2)/25)*BQ111+(1-EXP(-LN(2)/25))/(LN(2)/25)*Calculateur!BL112*Calculateur!BN112*VLOOKUP('Données projet'!$B$11,Paramètres!$A$1:$I$89,3,0)*0.475*44/12</f>
        <v>0.92824820651114082</v>
      </c>
      <c r="BR112" s="21">
        <f>EXP(-LN(2)/2)*BR111+(1-EXP(-LN(2)/2))/(LN(2)/2)*BL112*BO112*VLOOKUP('Données projet'!$B$11,Paramètres!$A$1:$I$89,3,0)*0.475*44/12</f>
        <v>1.9573861028365974E-6</v>
      </c>
      <c r="BS112" s="22">
        <f t="shared" si="63"/>
        <v>21.914394824691097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">
      <c r="A113" s="10">
        <f t="shared" si="85"/>
        <v>110</v>
      </c>
      <c r="B113" s="73">
        <f>'Scénario référence'!$B$16*5+'Scénario référence'!$B$17*0+'Scénario référence'!$B$18*5</f>
        <v>5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">
        <f t="shared" si="86"/>
        <v>0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18.333333333333332</v>
      </c>
      <c r="H113" s="67">
        <f t="shared" si="56"/>
        <v>183.33333333333334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295</v>
      </c>
      <c r="O113" s="13">
        <f>N113*VLOOKUP('Données projet'!$B$9,Paramètres!$A$1:$I$89,3,0)*VLOOKUP('Données projet'!$B$9,Paramètres!$A$1:$I$89,5,0)</f>
        <v>176.41000000000003</v>
      </c>
      <c r="P113" s="13">
        <f t="shared" si="87"/>
        <v>44.522543239204609</v>
      </c>
      <c r="Q113" s="20">
        <f t="shared" si="107"/>
        <v>384.79084614161474</v>
      </c>
      <c r="R113" s="59">
        <f t="shared" si="55"/>
        <v>664.75223509646059</v>
      </c>
      <c r="S113" s="59">
        <f ca="1">AVERAGE(OFFSET($R$3,0,0,'Données projet'!$E$9+1,1))-AVERAGE(OFFSET($H$3,0,0,'Données projet'!$E$9+1,1))</f>
        <v>219.4022220248072</v>
      </c>
      <c r="T113" s="59">
        <f t="shared" si="88"/>
        <v>199.30065726913725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11.879897633369994</v>
      </c>
      <c r="AA113" s="21">
        <f>EXP(-LN(2)/25)*AA112+(1-EXP(-LN(2)/25))/(LN(2)/25)*Calculateur!V113*Calculateur!X113*VLOOKUP('Données projet'!$B$9,Paramètres!$A$1:$I$89,3,0)*0.475*44/12</f>
        <v>1.6955075908898345</v>
      </c>
      <c r="AB113" s="21">
        <f>EXP(-LN(2)/2)*AB112+(1-EXP(-LN(2)/2))/(LN(2)/2)*V113*Y113*VLOOKUP('Données projet'!$B$9,Paramètres!$A$1:$I$89,3,0)*0.475*44/12</f>
        <v>5.9105481079440973E-8</v>
      </c>
      <c r="AC113" s="22">
        <f t="shared" si="57"/>
        <v>13.57540528336531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>
        <f>VLOOKUP(A113,'Données projet'!$A$61:$I$81,2,0)</f>
        <v>285</v>
      </c>
      <c r="AG113" s="12">
        <f>VLOOKUP(A113,'Données projet'!$A$61:$I$81,9,0)</f>
        <v>4.2</v>
      </c>
      <c r="AH113" s="12">
        <f t="array" ref="AH113">INDEX(AG:AG,MIN(IF(ISNUMBER(AG113:AG309),ROW(AG113:AG309),"")))</f>
        <v>4.2</v>
      </c>
      <c r="AI113" s="13">
        <f>IF('Données projet'!$A$62&gt;35,AI112+AH113-AQ112,IF(A113&lt;'Données projet'!$A$62,$AF$205^A113,IF(A113='Données projet'!$A$62,'Données projet'!$B$62,AI112+AH113-AQ112)))</f>
        <v>284.99999999999994</v>
      </c>
      <c r="AJ113" s="13">
        <f>AI113*VLOOKUP('Données projet'!$B$10,Paramètres!$A$1:$I$89,3,0)*VLOOKUP('Données projet'!$B$10,Paramètres!$A$1:$I$89,5,0)</f>
        <v>257.86799999999994</v>
      </c>
      <c r="AK113" s="13">
        <f t="shared" si="89"/>
        <v>62.267704162827528</v>
      </c>
      <c r="AL113" s="20">
        <f t="shared" si="58"/>
        <v>557.56968475025781</v>
      </c>
      <c r="AM113" s="59">
        <f t="shared" si="59"/>
        <v>837.53107370510361</v>
      </c>
      <c r="AN113" s="59">
        <f ca="1">AVERAGE(OFFSET($AM$3,0,0,'Données projet'!$E$10+1,1))-AVERAGE(OFFSET($H$3,0,0,'Données projet'!$E$10+1,1))</f>
        <v>406.64650428071837</v>
      </c>
      <c r="AO113" s="59">
        <f t="shared" si="90"/>
        <v>250.47702091764884</v>
      </c>
      <c r="AP113" s="15">
        <f>IF(ISNA(VLOOKUP(A113,'Données projet'!$A$61:$I$81,3,0)),0,VLOOKUP(A113,'Données projet'!$A$61:$I$81,3,0))</f>
        <v>18</v>
      </c>
      <c r="AQ113" s="15">
        <f>IF(ISNA(VLOOKUP(A113,'Données projet'!$A$61:$I$81,4,0)),0,VLOOKUP(A113,'Données projet'!$A$61:$I$81,4,0))</f>
        <v>19</v>
      </c>
      <c r="AR113" s="16">
        <f>IF(ISNA(VLOOKUP(A113,'Données projet'!$A$61:$I$81,5,0)),0%,VLOOKUP(A113,'Données projet'!$A$61:$I$81,5,0)*VLOOKUP('Données projet'!$B$10,Paramètres!$A$1:$I$89,7,0))</f>
        <v>0.34400000000000003</v>
      </c>
      <c r="AS113" s="16">
        <f>IF(ISNA(VLOOKUP(A113,'Données projet'!$A$61:$I$81,6,0)),0%,VLOOKUP(A113,'Données projet'!$A$61:$I$81,6,0)*VLOOKUP('Données projet'!$B$10,Paramètres!$A$1:$I$89,7,0))</f>
        <v>1.72E-2</v>
      </c>
      <c r="AT113" s="16">
        <f>IF(ISNA(VLOOKUP(A113,'Données projet'!$A$61:$I$81,7,0)),0%,VLOOKUP(A113,'Données projet'!$A$61:$I$81,7,0))</f>
        <v>0.06</v>
      </c>
      <c r="AU113" s="21">
        <f>EXP(-LN(2)/35)*AU112+(1-EXP(-LN(2)/35))/(LN(2)/35)*AQ113*AR113*VLOOKUP('Données projet'!$B$10,Paramètres!$A$1:$I$89,3,0)*0.475*44/12</f>
        <v>57.154890973955951</v>
      </c>
      <c r="AV113" s="21">
        <f>EXP(-LN(2)/25)*AV112+(1-EXP(-LN(2)/25))/(LN(2)/25)*Calculateur!AQ113*Calculateur!AS113*VLOOKUP('Données projet'!$B$10,Paramètres!$A$1:$I$89,3,0)*0.475*44/12</f>
        <v>2.5248852202316359</v>
      </c>
      <c r="AW113" s="21">
        <f>EXP(-LN(2)/2)*AW112+(1-EXP(-LN(2)/2))/(LN(2)/2)*AQ113*AT113*VLOOKUP('Données projet'!$B$10,Paramètres!$A$1:$I$89,3,0)*0.475*44/12</f>
        <v>1.1951522397418015</v>
      </c>
      <c r="AX113" s="21">
        <f t="shared" si="60"/>
        <v>60.874928433929391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290.99999999999994</v>
      </c>
      <c r="BE113" s="13">
        <f>BD113*VLOOKUP('Données projet'!$B$11,Paramètres!$A$1:$I$89,3,0)*VLOOKUP('Données projet'!$B$11,Paramètres!$A$1:$I$89,5,0)</f>
        <v>276.91559999999993</v>
      </c>
      <c r="BF113" s="13">
        <f t="shared" si="91"/>
        <v>66.314766879144742</v>
      </c>
      <c r="BG113" s="20">
        <f t="shared" si="61"/>
        <v>597.79288898117682</v>
      </c>
      <c r="BH113" s="59">
        <f t="shared" si="62"/>
        <v>877.75427793602262</v>
      </c>
      <c r="BI113" s="59">
        <f ca="1">AVERAGE(OFFSET($BH$3,0,0,'Données projet'!$E$11+1,1))-AVERAGE(OFFSET($H$3,0,0,'Données projet'!$E$11+1,1))</f>
        <v>387.78453964980849</v>
      </c>
      <c r="BJ113" s="59">
        <f t="shared" si="92"/>
        <v>395.13533152274488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20.574619164280005</v>
      </c>
      <c r="BQ113" s="21">
        <f>EXP(-LN(2)/25)*BQ112+(1-EXP(-LN(2)/25))/(LN(2)/25)*Calculateur!BL113*Calculateur!BN113*VLOOKUP('Données projet'!$B$11,Paramètres!$A$1:$I$89,3,0)*0.475*44/12</f>
        <v>0.90286521048964208</v>
      </c>
      <c r="BR113" s="21">
        <f>EXP(-LN(2)/2)*BR112+(1-EXP(-LN(2)/2))/(LN(2)/2)*BL113*BO113*VLOOKUP('Données projet'!$B$11,Paramètres!$A$1:$I$89,3,0)*0.475*44/12</f>
        <v>1.3840809867160669E-6</v>
      </c>
      <c r="BS113" s="22">
        <f t="shared" si="63"/>
        <v>21.477485758850637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">
      <c r="A114" s="10">
        <f t="shared" si="85"/>
        <v>111</v>
      </c>
      <c r="B114" s="73">
        <f>'Scénario référence'!$B$16*5+'Scénario référence'!$B$17*0+'Scénario référence'!$B$18*5</f>
        <v>5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">
        <f t="shared" si="86"/>
        <v>0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18.333333333333332</v>
      </c>
      <c r="H114" s="67">
        <f t="shared" si="56"/>
        <v>183.33333333333334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295</v>
      </c>
      <c r="O114" s="13">
        <f>N114*VLOOKUP('Données projet'!$B$9,Paramètres!$A$1:$I$89,3,0)*VLOOKUP('Données projet'!$B$9,Paramètres!$A$1:$I$89,5,0)</f>
        <v>176.41000000000003</v>
      </c>
      <c r="P114" s="13">
        <f t="shared" si="87"/>
        <v>44.522543239204609</v>
      </c>
      <c r="Q114" s="20">
        <f t="shared" si="107"/>
        <v>384.79084614161474</v>
      </c>
      <c r="R114" s="59">
        <f t="shared" si="55"/>
        <v>664.9842084362383</v>
      </c>
      <c r="S114" s="59">
        <f ca="1">AVERAGE(OFFSET($R$3,0,0,'Données projet'!$E$9+1,1))-AVERAGE(OFFSET($H$3,0,0,'Données projet'!$E$9+1,1))</f>
        <v>219.4022220248072</v>
      </c>
      <c r="T114" s="59">
        <f t="shared" si="88"/>
        <v>199.30065726913725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11.646940086801679</v>
      </c>
      <c r="AA114" s="21">
        <f>EXP(-LN(2)/25)*AA113+(1-EXP(-LN(2)/25))/(LN(2)/25)*Calculateur!V114*Calculateur!X114*VLOOKUP('Données projet'!$B$9,Paramètres!$A$1:$I$89,3,0)*0.475*44/12</f>
        <v>1.6491438466540829</v>
      </c>
      <c r="AB114" s="21">
        <f>EXP(-LN(2)/2)*AB113+(1-EXP(-LN(2)/2))/(LN(2)/2)*V114*Y114*VLOOKUP('Données projet'!$B$9,Paramètres!$A$1:$I$89,3,0)*0.475*44/12</f>
        <v>4.1793886476565896E-8</v>
      </c>
      <c r="AC114" s="22">
        <f t="shared" si="57"/>
        <v>13.296083975249648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3.8</v>
      </c>
      <c r="AI114" s="13">
        <f>IF('Données projet'!$A$62&gt;35,AI113+AH114-AQ113,IF(A114&lt;'Données projet'!$A$62,$AF$205^A114,IF(A114='Données projet'!$A$62,'Données projet'!$B$62,AI113+AH114-AQ113)))</f>
        <v>269.79999999999995</v>
      </c>
      <c r="AJ114" s="13">
        <f>AI114*VLOOKUP('Données projet'!$B$10,Paramètres!$A$1:$I$89,3,0)*VLOOKUP('Données projet'!$B$10,Paramètres!$A$1:$I$89,5,0)</f>
        <v>244.11503999999994</v>
      </c>
      <c r="AK114" s="13">
        <f t="shared" si="89"/>
        <v>59.324023461759012</v>
      </c>
      <c r="AL114" s="20">
        <f t="shared" si="58"/>
        <v>528.48970219589683</v>
      </c>
      <c r="AM114" s="59">
        <f t="shared" si="59"/>
        <v>808.68306449052034</v>
      </c>
      <c r="AN114" s="59">
        <f ca="1">AVERAGE(OFFSET($AM$3,0,0,'Données projet'!$E$10+1,1))-AVERAGE(OFFSET($H$3,0,0,'Données projet'!$E$10+1,1))</f>
        <v>406.64650428071837</v>
      </c>
      <c r="AO114" s="59">
        <f t="shared" si="90"/>
        <v>250.47702091764884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56.034118422997928</v>
      </c>
      <c r="AV114" s="21">
        <f>EXP(-LN(2)/25)*AV113+(1-EXP(-LN(2)/25))/(LN(2)/25)*Calculateur!AQ114*Calculateur!AS114*VLOOKUP('Données projet'!$B$10,Paramètres!$A$1:$I$89,3,0)*0.475*44/12</f>
        <v>2.4558421011064588</v>
      </c>
      <c r="AW114" s="21">
        <f>EXP(-LN(2)/2)*AW113+(1-EXP(-LN(2)/2))/(LN(2)/2)*AQ114*AT114*VLOOKUP('Données projet'!$B$10,Paramètres!$A$1:$I$89,3,0)*0.475*44/12</f>
        <v>0.84510025327171834</v>
      </c>
      <c r="AX114" s="21">
        <f t="shared" si="60"/>
        <v>59.335060777376107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290.99999999999994</v>
      </c>
      <c r="BE114" s="13">
        <f>BD114*VLOOKUP('Données projet'!$B$11,Paramètres!$A$1:$I$89,3,0)*VLOOKUP('Données projet'!$B$11,Paramètres!$A$1:$I$89,5,0)</f>
        <v>276.91559999999993</v>
      </c>
      <c r="BF114" s="13">
        <f t="shared" si="91"/>
        <v>66.314766879144742</v>
      </c>
      <c r="BG114" s="20">
        <f t="shared" si="61"/>
        <v>597.79288898117682</v>
      </c>
      <c r="BH114" s="59">
        <f t="shared" si="62"/>
        <v>877.98625127580044</v>
      </c>
      <c r="BI114" s="59">
        <f ca="1">AVERAGE(OFFSET($BH$3,0,0,'Données projet'!$E$11+1,1))-AVERAGE(OFFSET($H$3,0,0,'Données projet'!$E$11+1,1))</f>
        <v>387.78453964980849</v>
      </c>
      <c r="BJ114" s="59">
        <f t="shared" si="92"/>
        <v>395.13533152274488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20.171163431747026</v>
      </c>
      <c r="BQ114" s="21">
        <f>EXP(-LN(2)/25)*BQ113+(1-EXP(-LN(2)/25))/(LN(2)/25)*Calculateur!BL114*Calculateur!BN114*VLOOKUP('Données projet'!$B$11,Paramètres!$A$1:$I$89,3,0)*0.475*44/12</f>
        <v>0.87817631382918493</v>
      </c>
      <c r="BR114" s="21">
        <f>EXP(-LN(2)/2)*BR113+(1-EXP(-LN(2)/2))/(LN(2)/2)*BL114*BO114*VLOOKUP('Données projet'!$B$11,Paramètres!$A$1:$I$89,3,0)*0.475*44/12</f>
        <v>9.7869305141829869E-7</v>
      </c>
      <c r="BS114" s="22">
        <f t="shared" si="63"/>
        <v>21.049340724269264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">
      <c r="A115" s="10">
        <f t="shared" si="85"/>
        <v>112</v>
      </c>
      <c r="B115" s="73">
        <f>'Scénario référence'!$B$16*5+'Scénario référence'!$B$17*0+'Scénario référence'!$B$18*5</f>
        <v>5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">
        <f t="shared" si="86"/>
        <v>0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18.333333333333332</v>
      </c>
      <c r="H115" s="67">
        <f t="shared" si="56"/>
        <v>183.33333333333334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295</v>
      </c>
      <c r="O115" s="13">
        <f>N115*VLOOKUP('Données projet'!$B$9,Paramètres!$A$1:$I$89,3,0)*VLOOKUP('Données projet'!$B$9,Paramètres!$A$1:$I$89,5,0)</f>
        <v>176.41000000000003</v>
      </c>
      <c r="P115" s="13">
        <f t="shared" si="87"/>
        <v>44.522543239204609</v>
      </c>
      <c r="Q115" s="20">
        <f t="shared" si="107"/>
        <v>384.79084614161474</v>
      </c>
      <c r="R115" s="59">
        <f t="shared" si="55"/>
        <v>665.21215755718561</v>
      </c>
      <c r="S115" s="59">
        <f ca="1">AVERAGE(OFFSET($R$3,0,0,'Données projet'!$E$9+1,1))-AVERAGE(OFFSET($H$3,0,0,'Données projet'!$E$9+1,1))</f>
        <v>219.4022220248072</v>
      </c>
      <c r="T115" s="59">
        <f t="shared" si="88"/>
        <v>199.30065726913725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11.418550695631497</v>
      </c>
      <c r="AA115" s="21">
        <f>EXP(-LN(2)/25)*AA114+(1-EXP(-LN(2)/25))/(LN(2)/25)*Calculateur!V115*Calculateur!X115*VLOOKUP('Données projet'!$B$9,Paramètres!$A$1:$I$89,3,0)*0.475*44/12</f>
        <v>1.6040479214426213</v>
      </c>
      <c r="AB115" s="21">
        <f>EXP(-LN(2)/2)*AB114+(1-EXP(-LN(2)/2))/(LN(2)/2)*V115*Y115*VLOOKUP('Données projet'!$B$9,Paramètres!$A$1:$I$89,3,0)*0.475*44/12</f>
        <v>2.955274053972049E-8</v>
      </c>
      <c r="AC115" s="22">
        <f t="shared" si="57"/>
        <v>13.022598646626859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3.8</v>
      </c>
      <c r="AI115" s="13">
        <f>IF('Données projet'!$A$62&gt;35,AI114+AH115-AQ114,IF(A115&lt;'Données projet'!$A$62,$AF$205^A115,IF(A115='Données projet'!$A$62,'Données projet'!$B$62,AI114+AH115-AQ114)))</f>
        <v>273.59999999999997</v>
      </c>
      <c r="AJ115" s="13">
        <f>AI115*VLOOKUP('Données projet'!$B$10,Paramètres!$A$1:$I$89,3,0)*VLOOKUP('Données projet'!$B$10,Paramètres!$A$1:$I$89,5,0)</f>
        <v>247.55327999999994</v>
      </c>
      <c r="AK115" s="13">
        <f t="shared" si="89"/>
        <v>60.061713068870255</v>
      </c>
      <c r="AL115" s="20">
        <f t="shared" si="58"/>
        <v>535.76277959494894</v>
      </c>
      <c r="AM115" s="59">
        <f t="shared" si="59"/>
        <v>816.18409101051975</v>
      </c>
      <c r="AN115" s="59">
        <f ca="1">AVERAGE(OFFSET($AM$3,0,0,'Données projet'!$E$10+1,1))-AVERAGE(OFFSET($H$3,0,0,'Données projet'!$E$10+1,1))</f>
        <v>406.64650428071837</v>
      </c>
      <c r="AO115" s="59">
        <f t="shared" si="90"/>
        <v>250.47702091764884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54.935323538160432</v>
      </c>
      <c r="AV115" s="21">
        <f>EXP(-LN(2)/25)*AV114+(1-EXP(-LN(2)/25))/(LN(2)/25)*Calculateur!AQ115*Calculateur!AS115*VLOOKUP('Données projet'!$B$10,Paramètres!$A$1:$I$89,3,0)*0.475*44/12</f>
        <v>2.3886869697045796</v>
      </c>
      <c r="AW115" s="21">
        <f>EXP(-LN(2)/2)*AW114+(1-EXP(-LN(2)/2))/(LN(2)/2)*AQ115*AT115*VLOOKUP('Données projet'!$B$10,Paramètres!$A$1:$I$89,3,0)*0.475*44/12</f>
        <v>0.59757611987090087</v>
      </c>
      <c r="AX115" s="21">
        <f t="shared" si="60"/>
        <v>57.921586627735913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290.99999999999994</v>
      </c>
      <c r="BE115" s="13">
        <f>BD115*VLOOKUP('Données projet'!$B$11,Paramètres!$A$1:$I$89,3,0)*VLOOKUP('Données projet'!$B$11,Paramètres!$A$1:$I$89,5,0)</f>
        <v>276.91559999999993</v>
      </c>
      <c r="BF115" s="13">
        <f t="shared" si="91"/>
        <v>66.314766879144742</v>
      </c>
      <c r="BG115" s="20">
        <f t="shared" si="61"/>
        <v>597.79288898117682</v>
      </c>
      <c r="BH115" s="59">
        <f t="shared" si="62"/>
        <v>878.21420039674763</v>
      </c>
      <c r="BI115" s="59">
        <f ca="1">AVERAGE(OFFSET($BH$3,0,0,'Données projet'!$E$11+1,1))-AVERAGE(OFFSET($H$3,0,0,'Données projet'!$E$11+1,1))</f>
        <v>387.78453964980849</v>
      </c>
      <c r="BJ115" s="59">
        <f t="shared" si="92"/>
        <v>395.13533152274488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19.775619220045321</v>
      </c>
      <c r="BQ115" s="21">
        <f>EXP(-LN(2)/25)*BQ114+(1-EXP(-LN(2)/25))/(LN(2)/25)*Calculateur!BL115*Calculateur!BN115*VLOOKUP('Données projet'!$B$11,Paramètres!$A$1:$I$89,3,0)*0.475*44/12</f>
        <v>0.85416253634624062</v>
      </c>
      <c r="BR115" s="21">
        <f>EXP(-LN(2)/2)*BR114+(1-EXP(-LN(2)/2))/(LN(2)/2)*BL115*BO115*VLOOKUP('Données projet'!$B$11,Paramètres!$A$1:$I$89,3,0)*0.475*44/12</f>
        <v>6.9204049335803345E-7</v>
      </c>
      <c r="BS115" s="22">
        <f t="shared" si="63"/>
        <v>20.629782448432056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">
      <c r="A116" s="10">
        <f t="shared" si="85"/>
        <v>113</v>
      </c>
      <c r="B116" s="73">
        <f>'Scénario référence'!$B$16*5+'Scénario référence'!$B$17*0+'Scénario référence'!$B$18*5</f>
        <v>5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">
        <f t="shared" si="86"/>
        <v>0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18.333333333333332</v>
      </c>
      <c r="H116" s="67">
        <f t="shared" si="56"/>
        <v>183.33333333333334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295</v>
      </c>
      <c r="O116" s="13">
        <f>N116*VLOOKUP('Données projet'!$B$9,Paramètres!$A$1:$I$89,3,0)*VLOOKUP('Données projet'!$B$9,Paramètres!$A$1:$I$89,5,0)</f>
        <v>176.41000000000003</v>
      </c>
      <c r="P116" s="13">
        <f t="shared" si="87"/>
        <v>44.522543239204609</v>
      </c>
      <c r="Q116" s="20">
        <f t="shared" si="107"/>
        <v>384.79084614161474</v>
      </c>
      <c r="R116" s="59">
        <f t="shared" si="55"/>
        <v>665.43615227050236</v>
      </c>
      <c r="S116" s="59">
        <f ca="1">AVERAGE(OFFSET($R$3,0,0,'Données projet'!$E$9+1,1))-AVERAGE(OFFSET($H$3,0,0,'Données projet'!$E$9+1,1))</f>
        <v>219.4022220248072</v>
      </c>
      <c r="T116" s="59">
        <f t="shared" si="88"/>
        <v>199.30065726913725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11.194639881118388</v>
      </c>
      <c r="AA116" s="21">
        <f>EXP(-LN(2)/25)*AA115+(1-EXP(-LN(2)/25))/(LN(2)/25)*Calculateur!V116*Calculateur!X116*VLOOKUP('Données projet'!$B$9,Paramètres!$A$1:$I$89,3,0)*0.475*44/12</f>
        <v>1.5601851466775587</v>
      </c>
      <c r="AB116" s="21">
        <f>EXP(-LN(2)/2)*AB115+(1-EXP(-LN(2)/2))/(LN(2)/2)*V116*Y116*VLOOKUP('Données projet'!$B$9,Paramètres!$A$1:$I$89,3,0)*0.475*44/12</f>
        <v>2.0896943238282951E-8</v>
      </c>
      <c r="AC116" s="22">
        <f t="shared" si="57"/>
        <v>12.754825048692888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3.8</v>
      </c>
      <c r="AI116" s="13">
        <f>IF('Données projet'!$A$62&gt;35,AI115+AH116-AQ115,IF(A116&lt;'Données projet'!$A$62,$AF$205^A116,IF(A116='Données projet'!$A$62,'Données projet'!$B$62,AI115+AH116-AQ115)))</f>
        <v>277.39999999999998</v>
      </c>
      <c r="AJ116" s="13">
        <f>AI116*VLOOKUP('Données projet'!$B$10,Paramètres!$A$1:$I$89,3,0)*VLOOKUP('Données projet'!$B$10,Paramètres!$A$1:$I$89,5,0)</f>
        <v>250.99151999999995</v>
      </c>
      <c r="AK116" s="13">
        <f t="shared" si="89"/>
        <v>60.798211000769406</v>
      </c>
      <c r="AL116" s="20">
        <f t="shared" si="58"/>
        <v>543.03378149300659</v>
      </c>
      <c r="AM116" s="59">
        <f t="shared" si="59"/>
        <v>823.67908762189427</v>
      </c>
      <c r="AN116" s="59">
        <f ca="1">AVERAGE(OFFSET($AM$3,0,0,'Données projet'!$E$10+1,1))-AVERAGE(OFFSET($H$3,0,0,'Données projet'!$E$10+1,1))</f>
        <v>406.64650428071837</v>
      </c>
      <c r="AO116" s="59">
        <f t="shared" si="90"/>
        <v>250.47702091764884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53.858075350815902</v>
      </c>
      <c r="AV116" s="21">
        <f>EXP(-LN(2)/25)*AV115+(1-EXP(-LN(2)/25))/(LN(2)/25)*Calculateur!AQ116*Calculateur!AS116*VLOOKUP('Données projet'!$B$10,Paramètres!$A$1:$I$89,3,0)*0.475*44/12</f>
        <v>2.3233681989024197</v>
      </c>
      <c r="AW116" s="21">
        <f>EXP(-LN(2)/2)*AW115+(1-EXP(-LN(2)/2))/(LN(2)/2)*AQ116*AT116*VLOOKUP('Données projet'!$B$10,Paramètres!$A$1:$I$89,3,0)*0.475*44/12</f>
        <v>0.42255012663585922</v>
      </c>
      <c r="AX116" s="21">
        <f t="shared" si="60"/>
        <v>56.603993676354186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290.99999999999994</v>
      </c>
      <c r="BE116" s="13">
        <f>BD116*VLOOKUP('Données projet'!$B$11,Paramètres!$A$1:$I$89,3,0)*VLOOKUP('Données projet'!$B$11,Paramètres!$A$1:$I$89,5,0)</f>
        <v>276.91559999999993</v>
      </c>
      <c r="BF116" s="13">
        <f t="shared" si="91"/>
        <v>66.314766879144742</v>
      </c>
      <c r="BG116" s="20">
        <f t="shared" si="61"/>
        <v>597.79288898117682</v>
      </c>
      <c r="BH116" s="59">
        <f t="shared" si="62"/>
        <v>878.4381951100645</v>
      </c>
      <c r="BI116" s="59">
        <f ca="1">AVERAGE(OFFSET($BH$3,0,0,'Données projet'!$E$11+1,1))-AVERAGE(OFFSET($H$3,0,0,'Données projet'!$E$11+1,1))</f>
        <v>387.78453964980849</v>
      </c>
      <c r="BJ116" s="59">
        <f t="shared" si="92"/>
        <v>395.13533152274488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19.38783138907694</v>
      </c>
      <c r="BQ116" s="21">
        <f>EXP(-LN(2)/25)*BQ115+(1-EXP(-LN(2)/25))/(LN(2)/25)*Calculateur!BL116*Calculateur!BN116*VLOOKUP('Données projet'!$B$11,Paramètres!$A$1:$I$89,3,0)*0.475*44/12</f>
        <v>0.83080541687139708</v>
      </c>
      <c r="BR116" s="21">
        <f>EXP(-LN(2)/2)*BR115+(1-EXP(-LN(2)/2))/(LN(2)/2)*BL116*BO116*VLOOKUP('Données projet'!$B$11,Paramètres!$A$1:$I$89,3,0)*0.475*44/12</f>
        <v>4.8934652570914934E-7</v>
      </c>
      <c r="BS116" s="22">
        <f t="shared" si="63"/>
        <v>20.218637295294862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">
      <c r="A117" s="10">
        <f t="shared" si="85"/>
        <v>114</v>
      </c>
      <c r="B117" s="73">
        <f>'Scénario référence'!$B$16*5+'Scénario référence'!$B$17*0+'Scénario référence'!$B$18*5</f>
        <v>5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">
        <f t="shared" si="86"/>
        <v>0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18.333333333333332</v>
      </c>
      <c r="H117" s="67">
        <f t="shared" si="56"/>
        <v>183.33333333333334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295</v>
      </c>
      <c r="O117" s="13">
        <f>N117*VLOOKUP('Données projet'!$B$9,Paramètres!$A$1:$I$89,3,0)*VLOOKUP('Données projet'!$B$9,Paramètres!$A$1:$I$89,5,0)</f>
        <v>176.41000000000003</v>
      </c>
      <c r="P117" s="13">
        <f t="shared" si="87"/>
        <v>44.522543239204609</v>
      </c>
      <c r="Q117" s="20">
        <f t="shared" si="107"/>
        <v>384.79084614161474</v>
      </c>
      <c r="R117" s="59">
        <f t="shared" si="55"/>
        <v>665.65626117632019</v>
      </c>
      <c r="S117" s="59">
        <f ca="1">AVERAGE(OFFSET($R$3,0,0,'Données projet'!$E$9+1,1))-AVERAGE(OFFSET($H$3,0,0,'Données projet'!$E$9+1,1))</f>
        <v>219.4022220248072</v>
      </c>
      <c r="T117" s="59">
        <f t="shared" si="88"/>
        <v>199.30065726913725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10.975119821105769</v>
      </c>
      <c r="AA117" s="21">
        <f>EXP(-LN(2)/25)*AA116+(1-EXP(-LN(2)/25))/(LN(2)/25)*Calculateur!V117*Calculateur!X117*VLOOKUP('Données projet'!$B$9,Paramètres!$A$1:$I$89,3,0)*0.475*44/12</f>
        <v>1.5175218017950898</v>
      </c>
      <c r="AB117" s="21">
        <f>EXP(-LN(2)/2)*AB116+(1-EXP(-LN(2)/2))/(LN(2)/2)*V117*Y117*VLOOKUP('Données projet'!$B$9,Paramètres!$A$1:$I$89,3,0)*0.475*44/12</f>
        <v>1.4776370269860248E-8</v>
      </c>
      <c r="AC117" s="22">
        <f t="shared" si="57"/>
        <v>12.492641637677229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3.8</v>
      </c>
      <c r="AI117" s="13">
        <f>IF('Données projet'!$A$62&gt;35,AI116+AH117-AQ116,IF(A117&lt;'Données projet'!$A$62,$AF$205^A117,IF(A117='Données projet'!$A$62,'Données projet'!$B$62,AI116+AH117-AQ116)))</f>
        <v>281.2</v>
      </c>
      <c r="AJ117" s="13">
        <f>AI117*VLOOKUP('Données projet'!$B$10,Paramètres!$A$1:$I$89,3,0)*VLOOKUP('Données projet'!$B$10,Paramètres!$A$1:$I$89,5,0)</f>
        <v>254.42975999999996</v>
      </c>
      <c r="AK117" s="13">
        <f t="shared" si="89"/>
        <v>61.533535468549189</v>
      </c>
      <c r="AL117" s="20">
        <f t="shared" si="58"/>
        <v>550.30273960772308</v>
      </c>
      <c r="AM117" s="59">
        <f t="shared" si="59"/>
        <v>831.16815464242859</v>
      </c>
      <c r="AN117" s="59">
        <f ca="1">AVERAGE(OFFSET($AM$3,0,0,'Données projet'!$E$10+1,1))-AVERAGE(OFFSET($H$3,0,0,'Données projet'!$E$10+1,1))</f>
        <v>406.64650428071837</v>
      </c>
      <c r="AO117" s="59">
        <f t="shared" si="90"/>
        <v>250.47702091764884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52.801951343368678</v>
      </c>
      <c r="AV117" s="21">
        <f>EXP(-LN(2)/25)*AV116+(1-EXP(-LN(2)/25))/(LN(2)/25)*Calculateur!AQ117*Calculateur!AS117*VLOOKUP('Données projet'!$B$10,Paramètres!$A$1:$I$89,3,0)*0.475*44/12</f>
        <v>2.2598355733228095</v>
      </c>
      <c r="AW117" s="21">
        <f>EXP(-LN(2)/2)*AW116+(1-EXP(-LN(2)/2))/(LN(2)/2)*AQ117*AT117*VLOOKUP('Données projet'!$B$10,Paramètres!$A$1:$I$89,3,0)*0.475*44/12</f>
        <v>0.29878805993545049</v>
      </c>
      <c r="AX117" s="21">
        <f t="shared" si="60"/>
        <v>55.360574976626943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290.99999999999994</v>
      </c>
      <c r="BE117" s="13">
        <f>BD117*VLOOKUP('Données projet'!$B$11,Paramètres!$A$1:$I$89,3,0)*VLOOKUP('Données projet'!$B$11,Paramètres!$A$1:$I$89,5,0)</f>
        <v>276.91559999999993</v>
      </c>
      <c r="BF117" s="13">
        <f t="shared" si="91"/>
        <v>66.314766879144742</v>
      </c>
      <c r="BG117" s="20">
        <f t="shared" si="61"/>
        <v>597.79288898117682</v>
      </c>
      <c r="BH117" s="59">
        <f t="shared" si="62"/>
        <v>878.65830401588232</v>
      </c>
      <c r="BI117" s="59">
        <f ca="1">AVERAGE(OFFSET($BH$3,0,0,'Données projet'!$E$11+1,1))-AVERAGE(OFFSET($H$3,0,0,'Données projet'!$E$11+1,1))</f>
        <v>387.78453964980849</v>
      </c>
      <c r="BJ117" s="59">
        <f t="shared" si="92"/>
        <v>395.13533152274488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19.007647840946625</v>
      </c>
      <c r="BQ117" s="21">
        <f>EXP(-LN(2)/25)*BQ116+(1-EXP(-LN(2)/25))/(LN(2)/25)*Calculateur!BL117*Calculateur!BN117*VLOOKUP('Données projet'!$B$11,Paramètres!$A$1:$I$89,3,0)*0.475*44/12</f>
        <v>0.80808699905689074</v>
      </c>
      <c r="BR117" s="21">
        <f>EXP(-LN(2)/2)*BR116+(1-EXP(-LN(2)/2))/(LN(2)/2)*BL117*BO117*VLOOKUP('Données projet'!$B$11,Paramètres!$A$1:$I$89,3,0)*0.475*44/12</f>
        <v>3.4602024667901673E-7</v>
      </c>
      <c r="BS117" s="22">
        <f t="shared" si="63"/>
        <v>19.815735186023762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">
      <c r="A118" s="10">
        <f t="shared" si="85"/>
        <v>115</v>
      </c>
      <c r="B118" s="73">
        <f>'Scénario référence'!$B$16*5+'Scénario référence'!$B$17*0+'Scénario référence'!$B$18*5</f>
        <v>5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">
        <f t="shared" si="86"/>
        <v>0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18.333333333333332</v>
      </c>
      <c r="H118" s="67">
        <f t="shared" si="56"/>
        <v>183.33333333333334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295</v>
      </c>
      <c r="O118" s="13">
        <f>N118*VLOOKUP('Données projet'!$B$9,Paramètres!$A$1:$I$89,3,0)*VLOOKUP('Données projet'!$B$9,Paramètres!$A$1:$I$89,5,0)</f>
        <v>176.41000000000003</v>
      </c>
      <c r="P118" s="13">
        <f t="shared" si="87"/>
        <v>44.522543239204609</v>
      </c>
      <c r="Q118" s="20">
        <f t="shared" si="107"/>
        <v>384.79084614161474</v>
      </c>
      <c r="R118" s="59">
        <f t="shared" si="55"/>
        <v>665.87255168471199</v>
      </c>
      <c r="S118" s="59">
        <f ca="1">AVERAGE(OFFSET($R$3,0,0,'Données projet'!$E$9+1,1))-AVERAGE(OFFSET($H$3,0,0,'Données projet'!$E$9+1,1))</f>
        <v>219.4022220248072</v>
      </c>
      <c r="T118" s="59">
        <f t="shared" si="88"/>
        <v>199.30065726913725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10.759904415575983</v>
      </c>
      <c r="AA118" s="21">
        <f>EXP(-LN(2)/25)*AA117+(1-EXP(-LN(2)/25))/(LN(2)/25)*Calculateur!V118*Calculateur!X118*VLOOKUP('Données projet'!$B$9,Paramètres!$A$1:$I$89,3,0)*0.475*44/12</f>
        <v>1.4760250883219999</v>
      </c>
      <c r="AB118" s="21">
        <f>EXP(-LN(2)/2)*AB117+(1-EXP(-LN(2)/2))/(LN(2)/2)*V118*Y118*VLOOKUP('Données projet'!$B$9,Paramètres!$A$1:$I$89,3,0)*0.475*44/12</f>
        <v>1.0448471619141477E-8</v>
      </c>
      <c r="AC118" s="22">
        <f t="shared" si="57"/>
        <v>12.235929514346456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>
        <f>VLOOKUP(A118,'Données projet'!$A$61:$I$81,2,0)</f>
        <v>285</v>
      </c>
      <c r="AG118" s="12">
        <f>VLOOKUP(A118,'Données projet'!$A$61:$I$81,9,0)</f>
        <v>3.8</v>
      </c>
      <c r="AH118" s="12">
        <f t="array" ref="AH118">INDEX(AG:AG,MIN(IF(ISNUMBER(AG118:AG314),ROW(AG118:AG314),"")))</f>
        <v>3.8</v>
      </c>
      <c r="AI118" s="13">
        <f>IF('Données projet'!$A$62&gt;35,AI117+AH118-AQ117,IF(A118&lt;'Données projet'!$A$62,$AF$205^A118,IF(A118='Données projet'!$A$62,'Données projet'!$B$62,AI117+AH118-AQ117)))</f>
        <v>285</v>
      </c>
      <c r="AJ118" s="13">
        <f>AI118*VLOOKUP('Données projet'!$B$10,Paramètres!$A$1:$I$89,3,0)*VLOOKUP('Données projet'!$B$10,Paramètres!$A$1:$I$89,5,0)</f>
        <v>257.86799999999999</v>
      </c>
      <c r="AK118" s="13">
        <f t="shared" si="89"/>
        <v>62.267704162827528</v>
      </c>
      <c r="AL118" s="20">
        <f t="shared" si="58"/>
        <v>557.56968475025803</v>
      </c>
      <c r="AM118" s="59">
        <f t="shared" si="59"/>
        <v>838.65139029335523</v>
      </c>
      <c r="AN118" s="59">
        <f ca="1">AVERAGE(OFFSET($AM$3,0,0,'Données projet'!$E$10+1,1))-AVERAGE(OFFSET($H$3,0,0,'Données projet'!$E$10+1,1))</f>
        <v>406.64650428071837</v>
      </c>
      <c r="AO118" s="59">
        <f t="shared" si="90"/>
        <v>250.47702091764884</v>
      </c>
      <c r="AP118" s="15">
        <f>IF(ISNA(VLOOKUP(A118,'Données projet'!$A$61:$I$81,3,0)),0,VLOOKUP(A118,'Données projet'!$A$61:$I$81,3,0))</f>
        <v>19</v>
      </c>
      <c r="AQ118" s="15">
        <f>IF(ISNA(VLOOKUP(A118,'Données projet'!$A$61:$I$81,4,0)),0,VLOOKUP(A118,'Données projet'!$A$61:$I$81,4,0))</f>
        <v>18</v>
      </c>
      <c r="AR118" s="16">
        <f>IF(ISNA(VLOOKUP(A118,'Données projet'!$A$61:$I$81,5,0)),0%,VLOOKUP(A118,'Données projet'!$A$61:$I$81,5,0)*VLOOKUP('Données projet'!$B$10,Paramètres!$A$1:$I$89,7,0))</f>
        <v>0.34400000000000003</v>
      </c>
      <c r="AS118" s="16">
        <f>IF(ISNA(VLOOKUP(A118,'Données projet'!$A$61:$I$81,6,0)),0%,VLOOKUP(A118,'Données projet'!$A$61:$I$81,6,0)*VLOOKUP('Données projet'!$B$10,Paramètres!$A$1:$I$89,7,0))</f>
        <v>1.72E-2</v>
      </c>
      <c r="AT118" s="16">
        <f>IF(ISNA(VLOOKUP(A118,'Données projet'!$A$61:$I$81,7,0)),0%,VLOOKUP(A118,'Données projet'!$A$61:$I$81,7,0))</f>
        <v>0.06</v>
      </c>
      <c r="AU118" s="21">
        <f>EXP(-LN(2)/35)*AU117+(1-EXP(-LN(2)/35))/(LN(2)/35)*AQ118*AR118*VLOOKUP('Données projet'!$B$10,Paramètres!$A$1:$I$89,3,0)*0.475*44/12</f>
        <v>57.95995896302901</v>
      </c>
      <c r="AV118" s="21">
        <f>EXP(-LN(2)/25)*AV117+(1-EXP(-LN(2)/25))/(LN(2)/25)*Calculateur!AQ118*Calculateur!AS118*VLOOKUP('Données projet'!$B$10,Paramètres!$A$1:$I$89,3,0)*0.475*44/12</f>
        <v>2.506492041653845</v>
      </c>
      <c r="AW118" s="21">
        <f>EXP(-LN(2)/2)*AW117+(1-EXP(-LN(2)/2))/(LN(2)/2)*AQ118*AT118*VLOOKUP('Données projet'!$B$10,Paramètres!$A$1:$I$89,3,0)*0.475*44/12</f>
        <v>1.1332744678396809</v>
      </c>
      <c r="AX118" s="21">
        <f t="shared" si="60"/>
        <v>61.599725472522536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290.99999999999994</v>
      </c>
      <c r="BE118" s="13">
        <f>BD118*VLOOKUP('Données projet'!$B$11,Paramètres!$A$1:$I$89,3,0)*VLOOKUP('Données projet'!$B$11,Paramètres!$A$1:$I$89,5,0)</f>
        <v>276.91559999999993</v>
      </c>
      <c r="BF118" s="13">
        <f t="shared" si="91"/>
        <v>66.314766879144742</v>
      </c>
      <c r="BG118" s="20">
        <f t="shared" si="61"/>
        <v>597.79288898117682</v>
      </c>
      <c r="BH118" s="59">
        <f t="shared" si="62"/>
        <v>878.87459452427402</v>
      </c>
      <c r="BI118" s="59">
        <f ca="1">AVERAGE(OFFSET($BH$3,0,0,'Données projet'!$E$11+1,1))-AVERAGE(OFFSET($H$3,0,0,'Données projet'!$E$11+1,1))</f>
        <v>387.78453964980849</v>
      </c>
      <c r="BJ118" s="59">
        <f t="shared" si="92"/>
        <v>395.13533152274488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18.634919460306079</v>
      </c>
      <c r="BQ118" s="21">
        <f>EXP(-LN(2)/25)*BQ117+(1-EXP(-LN(2)/25))/(LN(2)/25)*Calculateur!BL118*Calculateur!BN118*VLOOKUP('Données projet'!$B$11,Paramètres!$A$1:$I$89,3,0)*0.475*44/12</f>
        <v>0.78598981757223174</v>
      </c>
      <c r="BR118" s="21">
        <f>EXP(-LN(2)/2)*BR117+(1-EXP(-LN(2)/2))/(LN(2)/2)*BL118*BO118*VLOOKUP('Données projet'!$B$11,Paramètres!$A$1:$I$89,3,0)*0.475*44/12</f>
        <v>2.4467326285457467E-7</v>
      </c>
      <c r="BS118" s="22">
        <f t="shared" si="63"/>
        <v>19.420909522551575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">
      <c r="A119" s="10">
        <f t="shared" si="85"/>
        <v>116</v>
      </c>
      <c r="B119" s="73">
        <f>'Scénario référence'!$B$16*5+'Scénario référence'!$B$17*0+'Scénario référence'!$B$18*5</f>
        <v>5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">
        <f t="shared" si="86"/>
        <v>0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18.333333333333332</v>
      </c>
      <c r="H119" s="67">
        <f t="shared" si="56"/>
        <v>183.33333333333334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295</v>
      </c>
      <c r="O119" s="13">
        <f>N119*VLOOKUP('Données projet'!$B$9,Paramètres!$A$1:$I$89,3,0)*VLOOKUP('Données projet'!$B$9,Paramètres!$A$1:$I$89,5,0)</f>
        <v>176.41000000000003</v>
      </c>
      <c r="P119" s="13">
        <f t="shared" si="87"/>
        <v>44.522543239204609</v>
      </c>
      <c r="Q119" s="20">
        <f t="shared" si="107"/>
        <v>384.79084614161474</v>
      </c>
      <c r="R119" s="59">
        <f t="shared" si="55"/>
        <v>666.08509003633617</v>
      </c>
      <c r="S119" s="59">
        <f ca="1">AVERAGE(OFFSET($R$3,0,0,'Données projet'!$E$9+1,1))-AVERAGE(OFFSET($H$3,0,0,'Données projet'!$E$9+1,1))</f>
        <v>219.4022220248072</v>
      </c>
      <c r="T119" s="59">
        <f t="shared" si="88"/>
        <v>199.30065726913725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10.5489092528802</v>
      </c>
      <c r="AA119" s="21">
        <f>EXP(-LN(2)/25)*AA118+(1-EXP(-LN(2)/25))/(LN(2)/25)*Calculateur!V119*Calculateur!X119*VLOOKUP('Données projet'!$B$9,Paramètres!$A$1:$I$89,3,0)*0.475*44/12</f>
        <v>1.4356631046610489</v>
      </c>
      <c r="AB119" s="21">
        <f>EXP(-LN(2)/2)*AB118+(1-EXP(-LN(2)/2))/(LN(2)/2)*V119*Y119*VLOOKUP('Données projet'!$B$9,Paramètres!$A$1:$I$89,3,0)*0.475*44/12</f>
        <v>7.388185134930125E-9</v>
      </c>
      <c r="AC119" s="22">
        <f t="shared" si="57"/>
        <v>11.984572364929434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3.6</v>
      </c>
      <c r="AI119" s="13">
        <f>IF('Données projet'!$A$62&gt;35,AI118+AH119-AQ118,IF(A119&lt;'Données projet'!$A$62,$AF$205^A119,IF(A119='Données projet'!$A$62,'Données projet'!$B$62,AI118+AH119-AQ118)))</f>
        <v>270.60000000000002</v>
      </c>
      <c r="AJ119" s="13">
        <f>AI119*VLOOKUP('Données projet'!$B$10,Paramètres!$A$1:$I$89,3,0)*VLOOKUP('Données projet'!$B$10,Paramètres!$A$1:$I$89,5,0)</f>
        <v>244.83888000000002</v>
      </c>
      <c r="AK119" s="13">
        <f t="shared" si="89"/>
        <v>59.479426489427787</v>
      </c>
      <c r="AL119" s="20">
        <f t="shared" si="58"/>
        <v>530.02105046908684</v>
      </c>
      <c r="AM119" s="59">
        <f t="shared" si="59"/>
        <v>811.31529436380833</v>
      </c>
      <c r="AN119" s="59">
        <f ca="1">AVERAGE(OFFSET($AM$3,0,0,'Données projet'!$E$10+1,1))-AVERAGE(OFFSET($H$3,0,0,'Données projet'!$E$10+1,1))</f>
        <v>406.64650428071837</v>
      </c>
      <c r="AO119" s="59">
        <f t="shared" si="90"/>
        <v>250.47702091764884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56.823399519848252</v>
      </c>
      <c r="AV119" s="21">
        <f>EXP(-LN(2)/25)*AV118+(1-EXP(-LN(2)/25))/(LN(2)/25)*Calculateur!AQ119*Calculateur!AS119*VLOOKUP('Données projet'!$B$10,Paramètres!$A$1:$I$89,3,0)*0.475*44/12</f>
        <v>2.4379518849641326</v>
      </c>
      <c r="AW119" s="21">
        <f>EXP(-LN(2)/2)*AW118+(1-EXP(-LN(2)/2))/(LN(2)/2)*AQ119*AT119*VLOOKUP('Données projet'!$B$10,Paramètres!$A$1:$I$89,3,0)*0.475*44/12</f>
        <v>0.80134606115501439</v>
      </c>
      <c r="AX119" s="21">
        <f t="shared" si="60"/>
        <v>60.062697465967403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290.99999999999994</v>
      </c>
      <c r="BE119" s="13">
        <f>BD119*VLOOKUP('Données projet'!$B$11,Paramètres!$A$1:$I$89,3,0)*VLOOKUP('Données projet'!$B$11,Paramètres!$A$1:$I$89,5,0)</f>
        <v>276.91559999999993</v>
      </c>
      <c r="BF119" s="13">
        <f t="shared" si="91"/>
        <v>66.314766879144742</v>
      </c>
      <c r="BG119" s="20">
        <f t="shared" si="61"/>
        <v>597.79288898117682</v>
      </c>
      <c r="BH119" s="59">
        <f t="shared" si="62"/>
        <v>879.08713287589831</v>
      </c>
      <c r="BI119" s="59">
        <f ca="1">AVERAGE(OFFSET($BH$3,0,0,'Données projet'!$E$11+1,1))-AVERAGE(OFFSET($H$3,0,0,'Données projet'!$E$11+1,1))</f>
        <v>387.78453964980849</v>
      </c>
      <c r="BJ119" s="59">
        <f t="shared" si="92"/>
        <v>395.13533152274488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18.269500055868033</v>
      </c>
      <c r="BQ119" s="21">
        <f>EXP(-LN(2)/25)*BQ118+(1-EXP(-LN(2)/25))/(LN(2)/25)*Calculateur!BL119*Calculateur!BN119*VLOOKUP('Données projet'!$B$11,Paramètres!$A$1:$I$89,3,0)*0.475*44/12</f>
        <v>0.76449688467731092</v>
      </c>
      <c r="BR119" s="21">
        <f>EXP(-LN(2)/2)*BR118+(1-EXP(-LN(2)/2))/(LN(2)/2)*BL119*BO119*VLOOKUP('Données projet'!$B$11,Paramètres!$A$1:$I$89,3,0)*0.475*44/12</f>
        <v>1.7301012333950836E-7</v>
      </c>
      <c r="BS119" s="22">
        <f t="shared" si="63"/>
        <v>19.033997113555465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">
      <c r="A120" s="10">
        <f t="shared" si="85"/>
        <v>117</v>
      </c>
      <c r="B120" s="73">
        <f>'Scénario référence'!$B$16*5+'Scénario référence'!$B$17*0+'Scénario référence'!$B$18*5</f>
        <v>5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">
        <f t="shared" si="86"/>
        <v>0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18.333333333333332</v>
      </c>
      <c r="H120" s="67">
        <f t="shared" si="56"/>
        <v>183.33333333333334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295</v>
      </c>
      <c r="O120" s="13">
        <f>N120*VLOOKUP('Données projet'!$B$9,Paramètres!$A$1:$I$89,3,0)*VLOOKUP('Données projet'!$B$9,Paramètres!$A$1:$I$89,5,0)</f>
        <v>176.41000000000003</v>
      </c>
      <c r="P120" s="13">
        <f t="shared" si="87"/>
        <v>44.522543239204609</v>
      </c>
      <c r="Q120" s="20">
        <f t="shared" si="107"/>
        <v>384.79084614161474</v>
      </c>
      <c r="R120" s="59">
        <f t="shared" si="55"/>
        <v>666.29394132272432</v>
      </c>
      <c r="S120" s="59">
        <f ca="1">AVERAGE(OFFSET($R$3,0,0,'Données projet'!$E$9+1,1))-AVERAGE(OFFSET($H$3,0,0,'Données projet'!$E$9+1,1))</f>
        <v>219.4022220248072</v>
      </c>
      <c r="T120" s="59">
        <f t="shared" si="88"/>
        <v>199.30065726913725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10.34205157663054</v>
      </c>
      <c r="AA120" s="21">
        <f>EXP(-LN(2)/25)*AA119+(1-EXP(-LN(2)/25))/(LN(2)/25)*Calculateur!V120*Calculateur!X120*VLOOKUP('Données projet'!$B$9,Paramètres!$A$1:$I$89,3,0)*0.475*44/12</f>
        <v>1.3964048215658511</v>
      </c>
      <c r="AB120" s="21">
        <f>EXP(-LN(2)/2)*AB119+(1-EXP(-LN(2)/2))/(LN(2)/2)*V120*Y120*VLOOKUP('Données projet'!$B$9,Paramètres!$A$1:$I$89,3,0)*0.475*44/12</f>
        <v>5.2242358095707395E-9</v>
      </c>
      <c r="AC120" s="22">
        <f t="shared" si="57"/>
        <v>11.738456403420626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3.6</v>
      </c>
      <c r="AI120" s="13">
        <f>IF('Données projet'!$A$62&gt;35,AI119+AH120-AQ119,IF(A120&lt;'Données projet'!$A$62,$AF$205^A120,IF(A120='Données projet'!$A$62,'Données projet'!$B$62,AI119+AH120-AQ119)))</f>
        <v>274.20000000000005</v>
      </c>
      <c r="AJ120" s="13">
        <f>AI120*VLOOKUP('Données projet'!$B$10,Paramètres!$A$1:$I$89,3,0)*VLOOKUP('Données projet'!$B$10,Paramètres!$A$1:$I$89,5,0)</f>
        <v>248.09616</v>
      </c>
      <c r="AK120" s="13">
        <f t="shared" si="89"/>
        <v>60.178080967364686</v>
      </c>
      <c r="AL120" s="20">
        <f t="shared" si="58"/>
        <v>536.91096968482668</v>
      </c>
      <c r="AM120" s="59">
        <f t="shared" si="59"/>
        <v>818.41406486593633</v>
      </c>
      <c r="AN120" s="59">
        <f ca="1">AVERAGE(OFFSET($AM$3,0,0,'Données projet'!$E$10+1,1))-AVERAGE(OFFSET($H$3,0,0,'Données projet'!$E$10+1,1))</f>
        <v>406.64650428071837</v>
      </c>
      <c r="AO120" s="59">
        <f t="shared" si="90"/>
        <v>250.47702091764884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55.709127314115456</v>
      </c>
      <c r="AV120" s="21">
        <f>EXP(-LN(2)/25)*AV119+(1-EXP(-LN(2)/25))/(LN(2)/25)*Calculateur!AQ120*Calculateur!AS120*VLOOKUP('Données projet'!$B$10,Paramètres!$A$1:$I$89,3,0)*0.475*44/12</f>
        <v>2.371285962463471</v>
      </c>
      <c r="AW120" s="21">
        <f>EXP(-LN(2)/2)*AW119+(1-EXP(-LN(2)/2))/(LN(2)/2)*AQ120*AT120*VLOOKUP('Données projet'!$B$10,Paramètres!$A$1:$I$89,3,0)*0.475*44/12</f>
        <v>0.56663723391984055</v>
      </c>
      <c r="AX120" s="21">
        <f t="shared" si="60"/>
        <v>58.647050510498765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290.99999999999994</v>
      </c>
      <c r="BE120" s="13">
        <f>BD120*VLOOKUP('Données projet'!$B$11,Paramètres!$A$1:$I$89,3,0)*VLOOKUP('Données projet'!$B$11,Paramètres!$A$1:$I$89,5,0)</f>
        <v>276.91559999999993</v>
      </c>
      <c r="BF120" s="13">
        <f t="shared" si="91"/>
        <v>66.314766879144742</v>
      </c>
      <c r="BG120" s="20">
        <f t="shared" si="61"/>
        <v>597.79288898117682</v>
      </c>
      <c r="BH120" s="59">
        <f t="shared" si="62"/>
        <v>879.29598416228646</v>
      </c>
      <c r="BI120" s="59">
        <f ca="1">AVERAGE(OFFSET($BH$3,0,0,'Données projet'!$E$11+1,1))-AVERAGE(OFFSET($H$3,0,0,'Données projet'!$E$11+1,1))</f>
        <v>387.78453964980849</v>
      </c>
      <c r="BJ120" s="59">
        <f t="shared" si="92"/>
        <v>395.13533152274488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17.911246303067184</v>
      </c>
      <c r="BQ120" s="21">
        <f>EXP(-LN(2)/25)*BQ119+(1-EXP(-LN(2)/25))/(LN(2)/25)*Calculateur!BL120*Calculateur!BN120*VLOOKUP('Données projet'!$B$11,Paramètres!$A$1:$I$89,3,0)*0.475*44/12</f>
        <v>0.74359167716266594</v>
      </c>
      <c r="BR120" s="21">
        <f>EXP(-LN(2)/2)*BR119+(1-EXP(-LN(2)/2))/(LN(2)/2)*BL120*BO120*VLOOKUP('Données projet'!$B$11,Paramètres!$A$1:$I$89,3,0)*0.475*44/12</f>
        <v>1.2233663142728734E-7</v>
      </c>
      <c r="BS120" s="22">
        <f t="shared" si="63"/>
        <v>18.65483810256648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">
      <c r="A121" s="10">
        <f t="shared" si="85"/>
        <v>118</v>
      </c>
      <c r="B121" s="73">
        <f>'Scénario référence'!$B$16*5+'Scénario référence'!$B$17*0+'Scénario référence'!$B$18*5</f>
        <v>5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">
        <f t="shared" si="86"/>
        <v>0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18.333333333333332</v>
      </c>
      <c r="H121" s="67">
        <f t="shared" si="56"/>
        <v>183.33333333333334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295</v>
      </c>
      <c r="O121" s="13">
        <f>N121*VLOOKUP('Données projet'!$B$9,Paramètres!$A$1:$I$89,3,0)*VLOOKUP('Données projet'!$B$9,Paramètres!$A$1:$I$89,5,0)</f>
        <v>176.41000000000003</v>
      </c>
      <c r="P121" s="13">
        <f t="shared" si="87"/>
        <v>44.522543239204609</v>
      </c>
      <c r="Q121" s="20">
        <f t="shared" si="107"/>
        <v>384.79084614161474</v>
      </c>
      <c r="R121" s="59">
        <f t="shared" si="55"/>
        <v>666.49916950621514</v>
      </c>
      <c r="S121" s="59">
        <f ca="1">AVERAGE(OFFSET($R$3,0,0,'Données projet'!$E$9+1,1))-AVERAGE(OFFSET($H$3,0,0,'Données projet'!$E$9+1,1))</f>
        <v>219.4022220248072</v>
      </c>
      <c r="T121" s="59">
        <f t="shared" si="88"/>
        <v>199.30065726913725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10.139250253241411</v>
      </c>
      <c r="AA121" s="21">
        <f>EXP(-LN(2)/25)*AA120+(1-EXP(-LN(2)/25))/(LN(2)/25)*Calculateur!V121*Calculateur!X121*VLOOKUP('Données projet'!$B$9,Paramètres!$A$1:$I$89,3,0)*0.475*44/12</f>
        <v>1.3582200582863948</v>
      </c>
      <c r="AB121" s="21">
        <f>EXP(-LN(2)/2)*AB120+(1-EXP(-LN(2)/2))/(LN(2)/2)*V121*Y121*VLOOKUP('Données projet'!$B$9,Paramètres!$A$1:$I$89,3,0)*0.475*44/12</f>
        <v>3.6940925674650629E-9</v>
      </c>
      <c r="AC121" s="22">
        <f t="shared" si="57"/>
        <v>11.497470315221898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3.6</v>
      </c>
      <c r="AI121" s="13">
        <f>IF('Données projet'!$A$62&gt;35,AI120+AH121-AQ120,IF(A121&lt;'Données projet'!$A$62,$AF$205^A121,IF(A121='Données projet'!$A$62,'Données projet'!$B$62,AI120+AH121-AQ120)))</f>
        <v>277.80000000000007</v>
      </c>
      <c r="AJ121" s="13">
        <f>AI121*VLOOKUP('Données projet'!$B$10,Paramètres!$A$1:$I$89,3,0)*VLOOKUP('Données projet'!$B$10,Paramètres!$A$1:$I$89,5,0)</f>
        <v>251.35344000000003</v>
      </c>
      <c r="AK121" s="13">
        <f t="shared" si="89"/>
        <v>60.875668525285015</v>
      </c>
      <c r="AL121" s="20">
        <f t="shared" si="58"/>
        <v>543.79903068153806</v>
      </c>
      <c r="AM121" s="59">
        <f t="shared" si="59"/>
        <v>825.50735404613852</v>
      </c>
      <c r="AN121" s="59">
        <f ca="1">AVERAGE(OFFSET($AM$3,0,0,'Données projet'!$E$10+1,1))-AVERAGE(OFFSET($H$3,0,0,'Données projet'!$E$10+1,1))</f>
        <v>406.64650428071837</v>
      </c>
      <c r="AO121" s="59">
        <f t="shared" si="90"/>
        <v>250.47702091764884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54.616705306698144</v>
      </c>
      <c r="AV121" s="21">
        <f>EXP(-LN(2)/25)*AV120+(1-EXP(-LN(2)/25))/(LN(2)/25)*Calculateur!AQ121*Calculateur!AS121*VLOOKUP('Données projet'!$B$10,Paramètres!$A$1:$I$89,3,0)*0.475*44/12</f>
        <v>2.3064430231193982</v>
      </c>
      <c r="AW121" s="21">
        <f>EXP(-LN(2)/2)*AW120+(1-EXP(-LN(2)/2))/(LN(2)/2)*AQ121*AT121*VLOOKUP('Données projet'!$B$10,Paramètres!$A$1:$I$89,3,0)*0.475*44/12</f>
        <v>0.40067303057750725</v>
      </c>
      <c r="AX121" s="21">
        <f t="shared" si="60"/>
        <v>57.323821360395051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290.99999999999994</v>
      </c>
      <c r="BE121" s="13">
        <f>BD121*VLOOKUP('Données projet'!$B$11,Paramètres!$A$1:$I$89,3,0)*VLOOKUP('Données projet'!$B$11,Paramètres!$A$1:$I$89,5,0)</f>
        <v>276.91559999999993</v>
      </c>
      <c r="BF121" s="13">
        <f t="shared" si="91"/>
        <v>66.314766879144742</v>
      </c>
      <c r="BG121" s="20">
        <f t="shared" si="61"/>
        <v>597.79288898117682</v>
      </c>
      <c r="BH121" s="59">
        <f t="shared" si="62"/>
        <v>879.50121234577728</v>
      </c>
      <c r="BI121" s="59">
        <f ca="1">AVERAGE(OFFSET($BH$3,0,0,'Données projet'!$E$11+1,1))-AVERAGE(OFFSET($H$3,0,0,'Données projet'!$E$11+1,1))</f>
        <v>387.78453964980849</v>
      </c>
      <c r="BJ121" s="59">
        <f t="shared" si="92"/>
        <v>395.13533152274488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17.560017687845548</v>
      </c>
      <c r="BQ121" s="21">
        <f>EXP(-LN(2)/25)*BQ120+(1-EXP(-LN(2)/25))/(LN(2)/25)*Calculateur!BL121*Calculateur!BN121*VLOOKUP('Données projet'!$B$11,Paramètres!$A$1:$I$89,3,0)*0.475*44/12</f>
        <v>0.72325812364686604</v>
      </c>
      <c r="BR121" s="21">
        <f>EXP(-LN(2)/2)*BR120+(1-EXP(-LN(2)/2))/(LN(2)/2)*BL121*BO121*VLOOKUP('Données projet'!$B$11,Paramètres!$A$1:$I$89,3,0)*0.475*44/12</f>
        <v>8.6505061669754181E-8</v>
      </c>
      <c r="BS121" s="22">
        <f t="shared" si="63"/>
        <v>18.283275897997473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">
      <c r="A122" s="10">
        <f t="shared" si="85"/>
        <v>119</v>
      </c>
      <c r="B122" s="73">
        <f>'Scénario référence'!$B$16*5+'Scénario référence'!$B$17*0+'Scénario référence'!$B$18*5</f>
        <v>5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">
        <f t="shared" si="86"/>
        <v>0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18.333333333333332</v>
      </c>
      <c r="H122" s="67">
        <f t="shared" si="56"/>
        <v>183.33333333333334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295</v>
      </c>
      <c r="O122" s="13">
        <f>N122*VLOOKUP('Données projet'!$B$9,Paramètres!$A$1:$I$89,3,0)*VLOOKUP('Données projet'!$B$9,Paramètres!$A$1:$I$89,5,0)</f>
        <v>176.41000000000003</v>
      </c>
      <c r="P122" s="13">
        <f t="shared" si="87"/>
        <v>44.522543239204609</v>
      </c>
      <c r="Q122" s="20">
        <f t="shared" si="107"/>
        <v>384.79084614161474</v>
      </c>
      <c r="R122" s="59">
        <f t="shared" si="55"/>
        <v>666.70083743954388</v>
      </c>
      <c r="S122" s="59">
        <f ca="1">AVERAGE(OFFSET($R$3,0,0,'Données projet'!$E$9+1,1))-AVERAGE(OFFSET($H$3,0,0,'Données projet'!$E$9+1,1))</f>
        <v>219.4022220248072</v>
      </c>
      <c r="T122" s="59">
        <f t="shared" si="88"/>
        <v>199.30065726913725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9.940425740107349</v>
      </c>
      <c r="AA122" s="21">
        <f>EXP(-LN(2)/25)*AA121+(1-EXP(-LN(2)/25))/(LN(2)/25)*Calculateur!V122*Calculateur!X122*VLOOKUP('Données projet'!$B$9,Paramètres!$A$1:$I$89,3,0)*0.475*44/12</f>
        <v>1.3210794593668647</v>
      </c>
      <c r="AB122" s="21">
        <f>EXP(-LN(2)/2)*AB121+(1-EXP(-LN(2)/2))/(LN(2)/2)*V122*Y122*VLOOKUP('Données projet'!$B$9,Paramètres!$A$1:$I$89,3,0)*0.475*44/12</f>
        <v>2.6121179047853702E-9</v>
      </c>
      <c r="AC122" s="22">
        <f t="shared" si="57"/>
        <v>11.261505202086333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3.6</v>
      </c>
      <c r="AI122" s="13">
        <f>IF('Données projet'!$A$62&gt;35,AI121+AH122-AQ121,IF(A122&lt;'Données projet'!$A$62,$AF$205^A122,IF(A122='Données projet'!$A$62,'Données projet'!$B$62,AI121+AH122-AQ121)))</f>
        <v>281.40000000000009</v>
      </c>
      <c r="AJ122" s="13">
        <f>AI122*VLOOKUP('Données projet'!$B$10,Paramètres!$A$1:$I$89,3,0)*VLOOKUP('Données projet'!$B$10,Paramètres!$A$1:$I$89,5,0)</f>
        <v>254.61072000000007</v>
      </c>
      <c r="AK122" s="13">
        <f t="shared" si="89"/>
        <v>61.572204587965729</v>
      </c>
      <c r="AL122" s="20">
        <f t="shared" si="58"/>
        <v>550.68526032404031</v>
      </c>
      <c r="AM122" s="59">
        <f t="shared" si="59"/>
        <v>832.59525162196951</v>
      </c>
      <c r="AN122" s="59">
        <f ca="1">AVERAGE(OFFSET($AM$3,0,0,'Données projet'!$E$10+1,1))-AVERAGE(OFFSET($H$3,0,0,'Données projet'!$E$10+1,1))</f>
        <v>406.64650428071837</v>
      </c>
      <c r="AO122" s="59">
        <f t="shared" si="90"/>
        <v>250.47702091764884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53.545705028534655</v>
      </c>
      <c r="AV122" s="21">
        <f>EXP(-LN(2)/25)*AV121+(1-EXP(-LN(2)/25))/(LN(2)/25)*Calculateur!AQ122*Calculateur!AS122*VLOOKUP('Données projet'!$B$10,Paramètres!$A$1:$I$89,3,0)*0.475*44/12</f>
        <v>2.243373217361631</v>
      </c>
      <c r="AW122" s="21">
        <f>EXP(-LN(2)/2)*AW121+(1-EXP(-LN(2)/2))/(LN(2)/2)*AQ122*AT122*VLOOKUP('Données projet'!$B$10,Paramètres!$A$1:$I$89,3,0)*0.475*44/12</f>
        <v>0.28331861695992028</v>
      </c>
      <c r="AX122" s="21">
        <f t="shared" si="60"/>
        <v>56.072396862856202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290.99999999999994</v>
      </c>
      <c r="BE122" s="13">
        <f>BD122*VLOOKUP('Données projet'!$B$11,Paramètres!$A$1:$I$89,3,0)*VLOOKUP('Données projet'!$B$11,Paramètres!$A$1:$I$89,5,0)</f>
        <v>276.91559999999993</v>
      </c>
      <c r="BF122" s="13">
        <f t="shared" si="91"/>
        <v>66.314766879144742</v>
      </c>
      <c r="BG122" s="20">
        <f t="shared" si="61"/>
        <v>597.79288898117682</v>
      </c>
      <c r="BH122" s="59">
        <f t="shared" si="62"/>
        <v>879.70288027910601</v>
      </c>
      <c r="BI122" s="59">
        <f ca="1">AVERAGE(OFFSET($BH$3,0,0,'Données projet'!$E$11+1,1))-AVERAGE(OFFSET($H$3,0,0,'Données projet'!$E$11+1,1))</f>
        <v>387.78453964980849</v>
      </c>
      <c r="BJ122" s="59">
        <f t="shared" si="92"/>
        <v>395.13533152274488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17.215676451540109</v>
      </c>
      <c r="BQ122" s="21">
        <f>EXP(-LN(2)/25)*BQ121+(1-EXP(-LN(2)/25))/(LN(2)/25)*Calculateur!BL122*Calculateur!BN122*VLOOKUP('Données projet'!$B$11,Paramètres!$A$1:$I$89,3,0)*0.475*44/12</f>
        <v>0.70348059222125081</v>
      </c>
      <c r="BR122" s="21">
        <f>EXP(-LN(2)/2)*BR121+(1-EXP(-LN(2)/2))/(LN(2)/2)*BL122*BO122*VLOOKUP('Données projet'!$B$11,Paramètres!$A$1:$I$89,3,0)*0.475*44/12</f>
        <v>6.1168315713643668E-8</v>
      </c>
      <c r="BS122" s="22">
        <f t="shared" si="63"/>
        <v>17.919157104929674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">
      <c r="A123" s="10">
        <f t="shared" si="85"/>
        <v>120</v>
      </c>
      <c r="B123" s="73">
        <f>'Scénario référence'!$B$16*5+'Scénario référence'!$B$17*0+'Scénario référence'!$B$18*5</f>
        <v>5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">
        <f t="shared" si="86"/>
        <v>0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18.333333333333332</v>
      </c>
      <c r="H123" s="67">
        <f t="shared" si="56"/>
        <v>183.33333333333334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295</v>
      </c>
      <c r="O123" s="13">
        <f>N123*VLOOKUP('Données projet'!$B$9,Paramètres!$A$1:$I$89,3,0)*VLOOKUP('Données projet'!$B$9,Paramètres!$A$1:$I$89,5,0)</f>
        <v>176.41000000000003</v>
      </c>
      <c r="P123" s="13">
        <f t="shared" si="87"/>
        <v>44.522543239204609</v>
      </c>
      <c r="Q123" s="20">
        <f t="shared" si="107"/>
        <v>384.79084614161474</v>
      </c>
      <c r="R123" s="59">
        <f t="shared" si="55"/>
        <v>666.89900688509135</v>
      </c>
      <c r="S123" s="59">
        <f ca="1">AVERAGE(OFFSET($R$3,0,0,'Données projet'!$E$9+1,1))-AVERAGE(OFFSET($H$3,0,0,'Données projet'!$E$9+1,1))</f>
        <v>219.4022220248072</v>
      </c>
      <c r="T123" s="59">
        <f t="shared" si="88"/>
        <v>199.30065726913725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9.745500054404868</v>
      </c>
      <c r="AA123" s="21">
        <f>EXP(-LN(2)/25)*AA122+(1-EXP(-LN(2)/25))/(LN(2)/25)*Calculateur!V123*Calculateur!X123*VLOOKUP('Données projet'!$B$9,Paramètres!$A$1:$I$89,3,0)*0.475*44/12</f>
        <v>1.2849544720779285</v>
      </c>
      <c r="AB123" s="21">
        <f>EXP(-LN(2)/2)*AB122+(1-EXP(-LN(2)/2))/(LN(2)/2)*V123*Y123*VLOOKUP('Données projet'!$B$9,Paramètres!$A$1:$I$89,3,0)*0.475*44/12</f>
        <v>1.8470462837325319E-9</v>
      </c>
      <c r="AC123" s="22">
        <f t="shared" si="57"/>
        <v>11.030454528329843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>
        <f>VLOOKUP(A123,'Données projet'!$A$61:$I$81,2,0)</f>
        <v>285</v>
      </c>
      <c r="AG123" s="12">
        <f>VLOOKUP(A123,'Données projet'!$A$61:$I$81,9,0)</f>
        <v>3.6</v>
      </c>
      <c r="AH123" s="12">
        <f t="array" ref="AH123">INDEX(AG:AG,MIN(IF(ISNUMBER(AG123:AG319),ROW(AG123:AG319),"")))</f>
        <v>3.6</v>
      </c>
      <c r="AI123" s="13">
        <f>IF('Données projet'!$A$62&gt;35,AI122+AH123-AQ122,IF(A123&lt;'Données projet'!$A$62,$AF$205^A123,IF(A123='Données projet'!$A$62,'Données projet'!$B$62,AI122+AH123-AQ122)))</f>
        <v>285.00000000000011</v>
      </c>
      <c r="AJ123" s="13">
        <f>AI123*VLOOKUP('Données projet'!$B$10,Paramètres!$A$1:$I$89,3,0)*VLOOKUP('Données projet'!$B$10,Paramètres!$A$1:$I$89,5,0)</f>
        <v>257.86800000000011</v>
      </c>
      <c r="AK123" s="13">
        <f t="shared" si="89"/>
        <v>62.267704162827528</v>
      </c>
      <c r="AL123" s="20">
        <f t="shared" si="58"/>
        <v>557.56968475025815</v>
      </c>
      <c r="AM123" s="59">
        <f t="shared" si="59"/>
        <v>839.67784549373482</v>
      </c>
      <c r="AN123" s="59">
        <f ca="1">AVERAGE(OFFSET($AM$3,0,0,'Données projet'!$E$10+1,1))-AVERAGE(OFFSET($H$3,0,0,'Données projet'!$E$10+1,1))</f>
        <v>406.64650428071837</v>
      </c>
      <c r="AO123" s="59">
        <f t="shared" si="90"/>
        <v>250.47702091764884</v>
      </c>
      <c r="AP123" s="15">
        <f>IF(ISNA(VLOOKUP(A123,'Données projet'!$A$61:$I$81,3,0)),0,VLOOKUP(A123,'Données projet'!$A$61:$I$81,3,0))</f>
        <v>20</v>
      </c>
      <c r="AQ123" s="15">
        <f>IF(ISNA(VLOOKUP(A123,'Données projet'!$A$61:$I$81,4,0)),0,VLOOKUP(A123,'Données projet'!$A$61:$I$81,4,0))</f>
        <v>17</v>
      </c>
      <c r="AR123" s="16">
        <f>IF(ISNA(VLOOKUP(A123,'Données projet'!$A$61:$I$81,5,0)),0%,VLOOKUP(A123,'Données projet'!$A$61:$I$81,5,0)*VLOOKUP('Données projet'!$B$10,Paramètres!$A$1:$I$89,7,0))</f>
        <v>0.34400000000000003</v>
      </c>
      <c r="AS123" s="16">
        <f>IF(ISNA(VLOOKUP(A123,'Données projet'!$A$61:$I$81,6,0)),0%,VLOOKUP(A123,'Données projet'!$A$61:$I$81,6,0)*VLOOKUP('Données projet'!$B$10,Paramètres!$A$1:$I$89,7,0))</f>
        <v>1.72E-2</v>
      </c>
      <c r="AT123" s="16">
        <f>IF(ISNA(VLOOKUP(A123,'Données projet'!$A$61:$I$81,7,0)),0%,VLOOKUP(A123,'Données projet'!$A$61:$I$81,7,0))</f>
        <v>0.06</v>
      </c>
      <c r="AU123" s="21">
        <f>EXP(-LN(2)/35)*AU122+(1-EXP(-LN(2)/35))/(LN(2)/35)*AQ123*AR123*VLOOKUP('Données projet'!$B$10,Paramètres!$A$1:$I$89,3,0)*0.475*44/12</f>
        <v>58.345049109879746</v>
      </c>
      <c r="AV123" s="21">
        <f>EXP(-LN(2)/25)*AV122+(1-EXP(-LN(2)/25))/(LN(2)/25)*Calculateur!AQ123*Calculateur!AS123*VLOOKUP('Données projet'!$B$10,Paramètres!$A$1:$I$89,3,0)*0.475*44/12</f>
        <v>2.4733436390753019</v>
      </c>
      <c r="AW123" s="21">
        <f>EXP(-LN(2)/2)*AW122+(1-EXP(-LN(2)/2))/(LN(2)/2)*AQ123*AT123*VLOOKUP('Données projet'!$B$10,Paramètres!$A$1:$I$89,3,0)*0.475*44/12</f>
        <v>1.0711137306704079</v>
      </c>
      <c r="AX123" s="21">
        <f t="shared" si="60"/>
        <v>61.889506479625453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290.99999999999994</v>
      </c>
      <c r="BE123" s="13">
        <f>BD123*VLOOKUP('Données projet'!$B$11,Paramètres!$A$1:$I$89,3,0)*VLOOKUP('Données projet'!$B$11,Paramètres!$A$1:$I$89,5,0)</f>
        <v>276.91559999999993</v>
      </c>
      <c r="BF123" s="13">
        <f t="shared" si="91"/>
        <v>66.314766879144742</v>
      </c>
      <c r="BG123" s="20">
        <f t="shared" si="61"/>
        <v>597.79288898117682</v>
      </c>
      <c r="BH123" s="59">
        <f t="shared" si="62"/>
        <v>879.90104972465338</v>
      </c>
      <c r="BI123" s="59">
        <f ca="1">AVERAGE(OFFSET($BH$3,0,0,'Données projet'!$E$11+1,1))-AVERAGE(OFFSET($H$3,0,0,'Données projet'!$E$11+1,1))</f>
        <v>387.78453964980849</v>
      </c>
      <c r="BJ123" s="59">
        <f t="shared" si="92"/>
        <v>395.13533152274488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16.878087536851201</v>
      </c>
      <c r="BQ123" s="21">
        <f>EXP(-LN(2)/25)*BQ122+(1-EXP(-LN(2)/25))/(LN(2)/25)*Calculateur!BL123*Calculateur!BN123*VLOOKUP('Données projet'!$B$11,Paramètres!$A$1:$I$89,3,0)*0.475*44/12</f>
        <v>0.68424387843252421</v>
      </c>
      <c r="BR123" s="21">
        <f>EXP(-LN(2)/2)*BR122+(1-EXP(-LN(2)/2))/(LN(2)/2)*BL123*BO123*VLOOKUP('Données projet'!$B$11,Paramètres!$A$1:$I$89,3,0)*0.475*44/12</f>
        <v>4.3252530834877091E-8</v>
      </c>
      <c r="BS123" s="22">
        <f t="shared" si="63"/>
        <v>17.562331458536256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">
      <c r="A124" s="10">
        <f t="shared" si="85"/>
        <v>121</v>
      </c>
      <c r="B124" s="73">
        <f>'Scénario référence'!$B$16*5+'Scénario référence'!$B$17*0+'Scénario référence'!$B$18*5</f>
        <v>5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">
        <f t="shared" si="86"/>
        <v>0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18.333333333333332</v>
      </c>
      <c r="H124" s="67">
        <f t="shared" si="56"/>
        <v>183.33333333333334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295</v>
      </c>
      <c r="O124" s="13">
        <f>N124*VLOOKUP('Données projet'!$B$9,Paramètres!$A$1:$I$89,3,0)*VLOOKUP('Données projet'!$B$9,Paramètres!$A$1:$I$89,5,0)</f>
        <v>176.41000000000003</v>
      </c>
      <c r="P124" s="13">
        <f t="shared" si="87"/>
        <v>44.522543239204609</v>
      </c>
      <c r="Q124" s="20">
        <f t="shared" si="107"/>
        <v>384.79084614161474</v>
      </c>
      <c r="R124" s="59">
        <f t="shared" si="55"/>
        <v>667.09373853379907</v>
      </c>
      <c r="S124" s="59">
        <f ca="1">AVERAGE(OFFSET($R$3,0,0,'Données projet'!$E$9+1,1))-AVERAGE(OFFSET($H$3,0,0,'Données projet'!$E$9+1,1))</f>
        <v>219.4022220248072</v>
      </c>
      <c r="T124" s="59">
        <f t="shared" si="88"/>
        <v>199.30065726913725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9.5543967425060838</v>
      </c>
      <c r="AA124" s="21">
        <f>EXP(-LN(2)/25)*AA123+(1-EXP(-LN(2)/25))/(LN(2)/25)*Calculateur!V124*Calculateur!X124*VLOOKUP('Données projet'!$B$9,Paramètres!$A$1:$I$89,3,0)*0.475*44/12</f>
        <v>1.2498173244661386</v>
      </c>
      <c r="AB124" s="21">
        <f>EXP(-LN(2)/2)*AB123+(1-EXP(-LN(2)/2))/(LN(2)/2)*V124*Y124*VLOOKUP('Données projet'!$B$9,Paramètres!$A$1:$I$89,3,0)*0.475*44/12</f>
        <v>1.3060589523926853E-9</v>
      </c>
      <c r="AC124" s="22">
        <f t="shared" si="57"/>
        <v>10.804214068278281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268.00000000000011</v>
      </c>
      <c r="AJ124" s="13">
        <f>AI124*VLOOKUP('Données projet'!$B$10,Paramètres!$A$1:$I$89,3,0)*VLOOKUP('Données projet'!$B$10,Paramètres!$A$1:$I$89,5,0)</f>
        <v>242.48640000000009</v>
      </c>
      <c r="AK124" s="13">
        <f t="shared" si="89"/>
        <v>58.974170235372476</v>
      </c>
      <c r="AL124" s="20">
        <f t="shared" si="58"/>
        <v>525.04382649327385</v>
      </c>
      <c r="AM124" s="59">
        <f t="shared" si="59"/>
        <v>807.34671888545824</v>
      </c>
      <c r="AN124" s="59">
        <f ca="1">AVERAGE(OFFSET($AM$3,0,0,'Données projet'!$E$10+1,1))-AVERAGE(OFFSET($H$3,0,0,'Données projet'!$E$10+1,1))</f>
        <v>406.64650428071837</v>
      </c>
      <c r="AO124" s="59">
        <f t="shared" si="90"/>
        <v>250.47702091764884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57.200938283801037</v>
      </c>
      <c r="AV124" s="21">
        <f>EXP(-LN(2)/25)*AV123+(1-EXP(-LN(2)/25))/(LN(2)/25)*Calculateur!AQ124*Calculateur!AS124*VLOOKUP('Données projet'!$B$10,Paramètres!$A$1:$I$89,3,0)*0.475*44/12</f>
        <v>2.4057099271972988</v>
      </c>
      <c r="AW124" s="21">
        <f>EXP(-LN(2)/2)*AW123+(1-EXP(-LN(2)/2))/(LN(2)/2)*AQ124*AT124*VLOOKUP('Données projet'!$B$10,Paramètres!$A$1:$I$89,3,0)*0.475*44/12</f>
        <v>0.75739178237906679</v>
      </c>
      <c r="AX124" s="21">
        <f t="shared" si="60"/>
        <v>60.364039993377403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290.99999999999994</v>
      </c>
      <c r="BE124" s="13">
        <f>BD124*VLOOKUP('Données projet'!$B$11,Paramètres!$A$1:$I$89,3,0)*VLOOKUP('Données projet'!$B$11,Paramètres!$A$1:$I$89,5,0)</f>
        <v>276.91559999999993</v>
      </c>
      <c r="BF124" s="13">
        <f t="shared" si="91"/>
        <v>66.314766879144742</v>
      </c>
      <c r="BG124" s="20">
        <f t="shared" si="61"/>
        <v>597.79288898117682</v>
      </c>
      <c r="BH124" s="59">
        <f t="shared" si="62"/>
        <v>880.09578137336121</v>
      </c>
      <c r="BI124" s="59">
        <f ca="1">AVERAGE(OFFSET($BH$3,0,0,'Données projet'!$E$11+1,1))-AVERAGE(OFFSET($H$3,0,0,'Données projet'!$E$11+1,1))</f>
        <v>387.78453964980849</v>
      </c>
      <c r="BJ124" s="59">
        <f t="shared" si="92"/>
        <v>395.13533152274488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16.547118534870439</v>
      </c>
      <c r="BQ124" s="21">
        <f>EXP(-LN(2)/25)*BQ123+(1-EXP(-LN(2)/25))/(LN(2)/25)*Calculateur!BL124*Calculateur!BN124*VLOOKUP('Données projet'!$B$11,Paramètres!$A$1:$I$89,3,0)*0.475*44/12</f>
        <v>0.66553319359396512</v>
      </c>
      <c r="BR124" s="21">
        <f>EXP(-LN(2)/2)*BR123+(1-EXP(-LN(2)/2))/(LN(2)/2)*BL124*BO124*VLOOKUP('Données projet'!$B$11,Paramètres!$A$1:$I$89,3,0)*0.475*44/12</f>
        <v>3.0584157856821834E-8</v>
      </c>
      <c r="BS124" s="22">
        <f t="shared" si="63"/>
        <v>17.212651759048562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">
      <c r="A125" s="10">
        <f t="shared" si="85"/>
        <v>122</v>
      </c>
      <c r="B125" s="73">
        <f>'Scénario référence'!$B$16*5+'Scénario référence'!$B$17*0+'Scénario référence'!$B$18*5</f>
        <v>5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">
        <f t="shared" si="86"/>
        <v>0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18.333333333333332</v>
      </c>
      <c r="H125" s="67">
        <f t="shared" si="56"/>
        <v>183.33333333333334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295</v>
      </c>
      <c r="O125" s="13">
        <f>N125*VLOOKUP('Données projet'!$B$9,Paramètres!$A$1:$I$89,3,0)*VLOOKUP('Données projet'!$B$9,Paramètres!$A$1:$I$89,5,0)</f>
        <v>176.41000000000003</v>
      </c>
      <c r="P125" s="13">
        <f t="shared" si="87"/>
        <v>44.522543239204609</v>
      </c>
      <c r="Q125" s="20">
        <f t="shared" si="107"/>
        <v>384.79084614161474</v>
      </c>
      <c r="R125" s="59">
        <f t="shared" si="55"/>
        <v>667.28509202375653</v>
      </c>
      <c r="S125" s="59">
        <f ca="1">AVERAGE(OFFSET($R$3,0,0,'Données projet'!$E$9+1,1))-AVERAGE(OFFSET($H$3,0,0,'Données projet'!$E$9+1,1))</f>
        <v>219.4022220248072</v>
      </c>
      <c r="T125" s="59">
        <f t="shared" si="88"/>
        <v>199.30065726913725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9.3670408499921241</v>
      </c>
      <c r="AA125" s="21">
        <f>EXP(-LN(2)/25)*AA124+(1-EXP(-LN(2)/25))/(LN(2)/25)*Calculateur!V125*Calculateur!X125*VLOOKUP('Données projet'!$B$9,Paramètres!$A$1:$I$89,3,0)*0.475*44/12</f>
        <v>1.2156410040035754</v>
      </c>
      <c r="AB125" s="21">
        <f>EXP(-LN(2)/2)*AB124+(1-EXP(-LN(2)/2))/(LN(2)/2)*V125*Y125*VLOOKUP('Données projet'!$B$9,Paramètres!$A$1:$I$89,3,0)*0.475*44/12</f>
        <v>9.2352314186626604E-10</v>
      </c>
      <c r="AC125" s="22">
        <f t="shared" si="57"/>
        <v>10.582681854919223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268.00000000000011</v>
      </c>
      <c r="AJ125" s="13">
        <f>AI125*VLOOKUP('Données projet'!$B$10,Paramètres!$A$1:$I$89,3,0)*VLOOKUP('Données projet'!$B$10,Paramètres!$A$1:$I$89,5,0)</f>
        <v>242.48640000000009</v>
      </c>
      <c r="AK125" s="13">
        <f t="shared" si="89"/>
        <v>58.974170235372476</v>
      </c>
      <c r="AL125" s="20">
        <f t="shared" si="58"/>
        <v>525.04382649327385</v>
      </c>
      <c r="AM125" s="59">
        <f t="shared" si="59"/>
        <v>807.5380723754156</v>
      </c>
      <c r="AN125" s="59">
        <f ca="1">AVERAGE(OFFSET($AM$3,0,0,'Données projet'!$E$10+1,1))-AVERAGE(OFFSET($H$3,0,0,'Données projet'!$E$10+1,1))</f>
        <v>406.64650428071837</v>
      </c>
      <c r="AO125" s="59">
        <f t="shared" si="90"/>
        <v>250.47702091764884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56.079262773183039</v>
      </c>
      <c r="AV125" s="21">
        <f>EXP(-LN(2)/25)*AV124+(1-EXP(-LN(2)/25))/(LN(2)/25)*Calculateur!AQ125*Calculateur!AS125*VLOOKUP('Données projet'!$B$10,Paramètres!$A$1:$I$89,3,0)*0.475*44/12</f>
        <v>2.339925662727302</v>
      </c>
      <c r="AW125" s="21">
        <f>EXP(-LN(2)/2)*AW124+(1-EXP(-LN(2)/2))/(LN(2)/2)*AQ125*AT125*VLOOKUP('Données projet'!$B$10,Paramètres!$A$1:$I$89,3,0)*0.475*44/12</f>
        <v>0.53555686533520408</v>
      </c>
      <c r="AX125" s="21">
        <f t="shared" si="60"/>
        <v>58.954745301245545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290.99999999999994</v>
      </c>
      <c r="BE125" s="13">
        <f>BD125*VLOOKUP('Données projet'!$B$11,Paramètres!$A$1:$I$89,3,0)*VLOOKUP('Données projet'!$B$11,Paramètres!$A$1:$I$89,5,0)</f>
        <v>276.91559999999993</v>
      </c>
      <c r="BF125" s="13">
        <f t="shared" si="91"/>
        <v>66.314766879144742</v>
      </c>
      <c r="BG125" s="20">
        <f t="shared" si="61"/>
        <v>597.79288898117682</v>
      </c>
      <c r="BH125" s="59">
        <f t="shared" si="62"/>
        <v>880.28713486331867</v>
      </c>
      <c r="BI125" s="59">
        <f ca="1">AVERAGE(OFFSET($BH$3,0,0,'Données projet'!$E$11+1,1))-AVERAGE(OFFSET($H$3,0,0,'Données projet'!$E$11+1,1))</f>
        <v>387.78453964980849</v>
      </c>
      <c r="BJ125" s="59">
        <f t="shared" si="92"/>
        <v>395.13533152274488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16.222639633147359</v>
      </c>
      <c r="BQ125" s="21">
        <f>EXP(-LN(2)/25)*BQ124+(1-EXP(-LN(2)/25))/(LN(2)/25)*Calculateur!BL125*Calculateur!BN125*VLOOKUP('Données projet'!$B$11,Paramètres!$A$1:$I$89,3,0)*0.475*44/12</f>
        <v>0.64733415341626854</v>
      </c>
      <c r="BR125" s="21">
        <f>EXP(-LN(2)/2)*BR124+(1-EXP(-LN(2)/2))/(LN(2)/2)*BL125*BO125*VLOOKUP('Données projet'!$B$11,Paramètres!$A$1:$I$89,3,0)*0.475*44/12</f>
        <v>2.1626265417438545E-8</v>
      </c>
      <c r="BS125" s="22">
        <f t="shared" si="63"/>
        <v>16.869973808189894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">
      <c r="A126" s="10">
        <f t="shared" si="85"/>
        <v>123</v>
      </c>
      <c r="B126" s="73">
        <f>'Scénario référence'!$B$16*5+'Scénario référence'!$B$17*0+'Scénario référence'!$B$18*5</f>
        <v>5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">
        <f t="shared" si="86"/>
        <v>0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18.333333333333332</v>
      </c>
      <c r="H126" s="67">
        <f t="shared" si="56"/>
        <v>183.33333333333334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295</v>
      </c>
      <c r="O126" s="13">
        <f>N126*VLOOKUP('Données projet'!$B$9,Paramètres!$A$1:$I$89,3,0)*VLOOKUP('Données projet'!$B$9,Paramètres!$A$1:$I$89,5,0)</f>
        <v>176.41000000000003</v>
      </c>
      <c r="P126" s="13">
        <f t="shared" si="87"/>
        <v>44.522543239204609</v>
      </c>
      <c r="Q126" s="20">
        <f t="shared" si="107"/>
        <v>384.79084614161474</v>
      </c>
      <c r="R126" s="59">
        <f t="shared" si="55"/>
        <v>667.4731259584654</v>
      </c>
      <c r="S126" s="59">
        <f ca="1">AVERAGE(OFFSET($R$3,0,0,'Données projet'!$E$9+1,1))-AVERAGE(OFFSET($H$3,0,0,'Données projet'!$E$9+1,1))</f>
        <v>219.4022220248072</v>
      </c>
      <c r="T126" s="59">
        <f t="shared" si="88"/>
        <v>199.30065726913725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9.183358892254553</v>
      </c>
      <c r="AA126" s="21">
        <f>EXP(-LN(2)/25)*AA125+(1-EXP(-LN(2)/25))/(LN(2)/25)*Calculateur!V126*Calculateur!X126*VLOOKUP('Données projet'!$B$9,Paramètres!$A$1:$I$89,3,0)*0.475*44/12</f>
        <v>1.1823992368213156</v>
      </c>
      <c r="AB126" s="21">
        <f>EXP(-LN(2)/2)*AB125+(1-EXP(-LN(2)/2))/(LN(2)/2)*V126*Y126*VLOOKUP('Données projet'!$B$9,Paramètres!$A$1:$I$89,3,0)*0.475*44/12</f>
        <v>6.5302947619634274E-10</v>
      </c>
      <c r="AC126" s="22">
        <f t="shared" si="57"/>
        <v>10.365758129728897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268.00000000000011</v>
      </c>
      <c r="AJ126" s="13">
        <f>AI126*VLOOKUP('Données projet'!$B$10,Paramètres!$A$1:$I$89,3,0)*VLOOKUP('Données projet'!$B$10,Paramètres!$A$1:$I$89,5,0)</f>
        <v>242.48640000000009</v>
      </c>
      <c r="AK126" s="13">
        <f t="shared" si="89"/>
        <v>58.974170235372476</v>
      </c>
      <c r="AL126" s="20">
        <f t="shared" si="58"/>
        <v>525.04382649327385</v>
      </c>
      <c r="AM126" s="59">
        <f t="shared" si="59"/>
        <v>807.72610631012458</v>
      </c>
      <c r="AN126" s="59">
        <f ca="1">AVERAGE(OFFSET($AM$3,0,0,'Données projet'!$E$10+1,1))-AVERAGE(OFFSET($H$3,0,0,'Données projet'!$E$10+1,1))</f>
        <v>406.64650428071837</v>
      </c>
      <c r="AO126" s="59">
        <f t="shared" si="90"/>
        <v>250.47702091764884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54.979582635173749</v>
      </c>
      <c r="AV126" s="21">
        <f>EXP(-LN(2)/25)*AV125+(1-EXP(-LN(2)/25))/(LN(2)/25)*Calculateur!AQ126*Calculateur!AS126*VLOOKUP('Données projet'!$B$10,Paramètres!$A$1:$I$89,3,0)*0.475*44/12</f>
        <v>2.2759402724286812</v>
      </c>
      <c r="AW126" s="21">
        <f>EXP(-LN(2)/2)*AW125+(1-EXP(-LN(2)/2))/(LN(2)/2)*AQ126*AT126*VLOOKUP('Données projet'!$B$10,Paramètres!$A$1:$I$89,3,0)*0.475*44/12</f>
        <v>0.37869589118953345</v>
      </c>
      <c r="AX126" s="21">
        <f t="shared" si="60"/>
        <v>57.63421879879197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290.99999999999994</v>
      </c>
      <c r="BE126" s="13">
        <f>BD126*VLOOKUP('Données projet'!$B$11,Paramètres!$A$1:$I$89,3,0)*VLOOKUP('Données projet'!$B$11,Paramètres!$A$1:$I$89,5,0)</f>
        <v>276.91559999999993</v>
      </c>
      <c r="BF126" s="13">
        <f t="shared" si="91"/>
        <v>66.314766879144742</v>
      </c>
      <c r="BG126" s="20">
        <f t="shared" si="61"/>
        <v>597.79288898117682</v>
      </c>
      <c r="BH126" s="59">
        <f t="shared" si="62"/>
        <v>880.47516879802743</v>
      </c>
      <c r="BI126" s="59">
        <f ca="1">AVERAGE(OFFSET($BH$3,0,0,'Données projet'!$E$11+1,1))-AVERAGE(OFFSET($H$3,0,0,'Données projet'!$E$11+1,1))</f>
        <v>387.78453964980849</v>
      </c>
      <c r="BJ126" s="59">
        <f t="shared" si="92"/>
        <v>395.13533152274488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15.904523564774482</v>
      </c>
      <c r="BQ126" s="21">
        <f>EXP(-LN(2)/25)*BQ125+(1-EXP(-LN(2)/25))/(LN(2)/25)*Calculateur!BL126*Calculateur!BN126*VLOOKUP('Données projet'!$B$11,Paramètres!$A$1:$I$89,3,0)*0.475*44/12</f>
        <v>0.62963276694927706</v>
      </c>
      <c r="BR126" s="21">
        <f>EXP(-LN(2)/2)*BR125+(1-EXP(-LN(2)/2))/(LN(2)/2)*BL126*BO126*VLOOKUP('Données projet'!$B$11,Paramètres!$A$1:$I$89,3,0)*0.475*44/12</f>
        <v>1.5292078928410917E-8</v>
      </c>
      <c r="BS126" s="22">
        <f t="shared" si="63"/>
        <v>16.534156347015841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">
      <c r="A127" s="10">
        <f t="shared" si="85"/>
        <v>124</v>
      </c>
      <c r="B127" s="73">
        <f>'Scénario référence'!$B$16*5+'Scénario référence'!$B$17*0+'Scénario référence'!$B$18*5</f>
        <v>5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">
        <f t="shared" si="86"/>
        <v>0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18.333333333333332</v>
      </c>
      <c r="H127" s="67">
        <f t="shared" si="56"/>
        <v>183.33333333333334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295</v>
      </c>
      <c r="O127" s="13">
        <f>N127*VLOOKUP('Données projet'!$B$9,Paramètres!$A$1:$I$89,3,0)*VLOOKUP('Données projet'!$B$9,Paramètres!$A$1:$I$89,5,0)</f>
        <v>176.41000000000003</v>
      </c>
      <c r="P127" s="13">
        <f t="shared" si="87"/>
        <v>44.522543239204609</v>
      </c>
      <c r="Q127" s="20">
        <f t="shared" si="107"/>
        <v>384.79084614161474</v>
      </c>
      <c r="R127" s="59">
        <f t="shared" si="55"/>
        <v>667.65789792478813</v>
      </c>
      <c r="S127" s="59">
        <f ca="1">AVERAGE(OFFSET($R$3,0,0,'Données projet'!$E$9+1,1))-AVERAGE(OFFSET($H$3,0,0,'Données projet'!$E$9+1,1))</f>
        <v>219.4022220248072</v>
      </c>
      <c r="T127" s="59">
        <f t="shared" si="88"/>
        <v>199.30065726913725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9.0032788256732843</v>
      </c>
      <c r="AA127" s="21">
        <f>EXP(-LN(2)/25)*AA126+(1-EXP(-LN(2)/25))/(LN(2)/25)*Calculateur!V127*Calculateur!X127*VLOOKUP('Données projet'!$B$9,Paramètres!$A$1:$I$89,3,0)*0.475*44/12</f>
        <v>1.1500664675107632</v>
      </c>
      <c r="AB127" s="21">
        <f>EXP(-LN(2)/2)*AB126+(1-EXP(-LN(2)/2))/(LN(2)/2)*V127*Y127*VLOOKUP('Données projet'!$B$9,Paramètres!$A$1:$I$89,3,0)*0.475*44/12</f>
        <v>4.6176157093313312E-10</v>
      </c>
      <c r="AC127" s="22">
        <f t="shared" si="57"/>
        <v>10.15334529364581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268.00000000000011</v>
      </c>
      <c r="AJ127" s="13">
        <f>AI127*VLOOKUP('Données projet'!$B$10,Paramètres!$A$1:$I$89,3,0)*VLOOKUP('Données projet'!$B$10,Paramètres!$A$1:$I$89,5,0)</f>
        <v>242.48640000000009</v>
      </c>
      <c r="AK127" s="13">
        <f t="shared" si="89"/>
        <v>58.974170235372476</v>
      </c>
      <c r="AL127" s="20">
        <f t="shared" si="58"/>
        <v>525.04382649327385</v>
      </c>
      <c r="AM127" s="59">
        <f t="shared" si="59"/>
        <v>807.91087827644719</v>
      </c>
      <c r="AN127" s="59">
        <f ca="1">AVERAGE(OFFSET($AM$3,0,0,'Données projet'!$E$10+1,1))-AVERAGE(OFFSET($H$3,0,0,'Données projet'!$E$10+1,1))</f>
        <v>406.64650428071837</v>
      </c>
      <c r="AO127" s="59">
        <f t="shared" si="90"/>
        <v>250.47702091764884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53.901466553932167</v>
      </c>
      <c r="AV127" s="21">
        <f>EXP(-LN(2)/25)*AV126+(1-EXP(-LN(2)/25))/(LN(2)/25)*Calculateur!AQ127*Calculateur!AS127*VLOOKUP('Données projet'!$B$10,Paramètres!$A$1:$I$89,3,0)*0.475*44/12</f>
        <v>2.2137045659926216</v>
      </c>
      <c r="AW127" s="21">
        <f>EXP(-LN(2)/2)*AW126+(1-EXP(-LN(2)/2))/(LN(2)/2)*AQ127*AT127*VLOOKUP('Données projet'!$B$10,Paramètres!$A$1:$I$89,3,0)*0.475*44/12</f>
        <v>0.26777843266760204</v>
      </c>
      <c r="AX127" s="21">
        <f t="shared" si="60"/>
        <v>56.382949552592393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290.99999999999994</v>
      </c>
      <c r="BE127" s="13">
        <f>BD127*VLOOKUP('Données projet'!$B$11,Paramètres!$A$1:$I$89,3,0)*VLOOKUP('Données projet'!$B$11,Paramètres!$A$1:$I$89,5,0)</f>
        <v>276.91559999999993</v>
      </c>
      <c r="BF127" s="13">
        <f t="shared" si="91"/>
        <v>66.314766879144742</v>
      </c>
      <c r="BG127" s="20">
        <f t="shared" si="61"/>
        <v>597.79288898117682</v>
      </c>
      <c r="BH127" s="59">
        <f t="shared" si="62"/>
        <v>880.65994076435015</v>
      </c>
      <c r="BI127" s="59">
        <f ca="1">AVERAGE(OFFSET($BH$3,0,0,'Données projet'!$E$11+1,1))-AVERAGE(OFFSET($H$3,0,0,'Données projet'!$E$11+1,1))</f>
        <v>387.78453964980849</v>
      </c>
      <c r="BJ127" s="59">
        <f t="shared" si="92"/>
        <v>395.13533152274488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15.592645558470755</v>
      </c>
      <c r="BQ127" s="21">
        <f>EXP(-LN(2)/25)*BQ126+(1-EXP(-LN(2)/25))/(LN(2)/25)*Calculateur!BL127*Calculateur!BN127*VLOOKUP('Données projet'!$B$11,Paramètres!$A$1:$I$89,3,0)*0.475*44/12</f>
        <v>0.61241542582610087</v>
      </c>
      <c r="BR127" s="21">
        <f>EXP(-LN(2)/2)*BR126+(1-EXP(-LN(2)/2))/(LN(2)/2)*BL127*BO127*VLOOKUP('Données projet'!$B$11,Paramètres!$A$1:$I$89,3,0)*0.475*44/12</f>
        <v>1.0813132708719273E-8</v>
      </c>
      <c r="BS127" s="22">
        <f t="shared" si="63"/>
        <v>16.205060995109989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">
      <c r="A128" s="10">
        <f t="shared" si="85"/>
        <v>125</v>
      </c>
      <c r="B128" s="73">
        <f>'Scénario référence'!$B$16*5+'Scénario référence'!$B$17*0+'Scénario référence'!$B$18*5</f>
        <v>5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">
        <f t="shared" si="86"/>
        <v>0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18.333333333333332</v>
      </c>
      <c r="H128" s="67">
        <f t="shared" si="56"/>
        <v>183.33333333333334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295</v>
      </c>
      <c r="O128" s="13">
        <f>N128*VLOOKUP('Données projet'!$B$9,Paramètres!$A$1:$I$89,3,0)*VLOOKUP('Données projet'!$B$9,Paramètres!$A$1:$I$89,5,0)</f>
        <v>176.41000000000003</v>
      </c>
      <c r="P128" s="13">
        <f t="shared" si="87"/>
        <v>44.522543239204609</v>
      </c>
      <c r="Q128" s="20">
        <f t="shared" si="107"/>
        <v>384.79084614161474</v>
      </c>
      <c r="R128" s="59">
        <f t="shared" si="55"/>
        <v>667.83946451058318</v>
      </c>
      <c r="S128" s="59">
        <f ca="1">AVERAGE(OFFSET($R$3,0,0,'Données projet'!$E$9+1,1))-AVERAGE(OFFSET($H$3,0,0,'Données projet'!$E$9+1,1))</f>
        <v>219.4022220248072</v>
      </c>
      <c r="T128" s="59">
        <f t="shared" si="88"/>
        <v>199.30065726913725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8.8267300193596778</v>
      </c>
      <c r="AA128" s="21">
        <f>EXP(-LN(2)/25)*AA127+(1-EXP(-LN(2)/25))/(LN(2)/25)*Calculateur!V128*Calculateur!X128*VLOOKUP('Données projet'!$B$9,Paramètres!$A$1:$I$89,3,0)*0.475*44/12</f>
        <v>1.1186178394773143</v>
      </c>
      <c r="AB128" s="21">
        <f>EXP(-LN(2)/2)*AB127+(1-EXP(-LN(2)/2))/(LN(2)/2)*V128*Y128*VLOOKUP('Données projet'!$B$9,Paramètres!$A$1:$I$89,3,0)*0.475*44/12</f>
        <v>3.2651473809817142E-10</v>
      </c>
      <c r="AC128" s="22">
        <f t="shared" si="57"/>
        <v>9.9453478591635065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268.00000000000011</v>
      </c>
      <c r="AJ128" s="13">
        <f>AI128*VLOOKUP('Données projet'!$B$10,Paramètres!$A$1:$I$89,3,0)*VLOOKUP('Données projet'!$B$10,Paramètres!$A$1:$I$89,5,0)</f>
        <v>242.48640000000009</v>
      </c>
      <c r="AK128" s="13">
        <f t="shared" si="89"/>
        <v>58.974170235372476</v>
      </c>
      <c r="AL128" s="20">
        <f t="shared" si="58"/>
        <v>525.04382649327385</v>
      </c>
      <c r="AM128" s="59">
        <f t="shared" si="59"/>
        <v>808.09244486224236</v>
      </c>
      <c r="AN128" s="59">
        <f ca="1">AVERAGE(OFFSET($AM$3,0,0,'Données projet'!$E$10+1,1))-AVERAGE(OFFSET($H$3,0,0,'Données projet'!$E$10+1,1))</f>
        <v>406.64650428071837</v>
      </c>
      <c r="AO128" s="59">
        <f t="shared" si="90"/>
        <v>250.47702091764884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52.844491671457853</v>
      </c>
      <c r="AV128" s="21">
        <f>EXP(-LN(2)/25)*AV127+(1-EXP(-LN(2)/25))/(LN(2)/25)*Calculateur!AQ128*Calculateur!AS128*VLOOKUP('Données projet'!$B$10,Paramètres!$A$1:$I$89,3,0)*0.475*44/12</f>
        <v>2.1531706982218899</v>
      </c>
      <c r="AW128" s="21">
        <f>EXP(-LN(2)/2)*AW127+(1-EXP(-LN(2)/2))/(LN(2)/2)*AQ128*AT128*VLOOKUP('Données projet'!$B$10,Paramètres!$A$1:$I$89,3,0)*0.475*44/12</f>
        <v>0.18934794559476673</v>
      </c>
      <c r="AX128" s="21">
        <f t="shared" si="60"/>
        <v>55.187010315274513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290.99999999999994</v>
      </c>
      <c r="BE128" s="13">
        <f>BD128*VLOOKUP('Données projet'!$B$11,Paramètres!$A$1:$I$89,3,0)*VLOOKUP('Données projet'!$B$11,Paramètres!$A$1:$I$89,5,0)</f>
        <v>276.91559999999993</v>
      </c>
      <c r="BF128" s="13">
        <f t="shared" si="91"/>
        <v>66.314766879144742</v>
      </c>
      <c r="BG128" s="20">
        <f t="shared" si="61"/>
        <v>597.79288898117682</v>
      </c>
      <c r="BH128" s="59">
        <f t="shared" si="62"/>
        <v>880.84150735014532</v>
      </c>
      <c r="BI128" s="59">
        <f ca="1">AVERAGE(OFFSET($BH$3,0,0,'Données projet'!$E$11+1,1))-AVERAGE(OFFSET($H$3,0,0,'Données projet'!$E$11+1,1))</f>
        <v>387.78453964980849</v>
      </c>
      <c r="BJ128" s="59">
        <f t="shared" si="92"/>
        <v>395.13533152274488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15.286883289643843</v>
      </c>
      <c r="BQ128" s="21">
        <f>EXP(-LN(2)/25)*BQ127+(1-EXP(-LN(2)/25))/(LN(2)/25)*Calculateur!BL128*Calculateur!BN128*VLOOKUP('Données projet'!$B$11,Paramètres!$A$1:$I$89,3,0)*0.475*44/12</f>
        <v>0.59566889380135857</v>
      </c>
      <c r="BR128" s="21">
        <f>EXP(-LN(2)/2)*BR127+(1-EXP(-LN(2)/2))/(LN(2)/2)*BL128*BO128*VLOOKUP('Données projet'!$B$11,Paramètres!$A$1:$I$89,3,0)*0.475*44/12</f>
        <v>7.6460394642054585E-9</v>
      </c>
      <c r="BS128" s="22">
        <f t="shared" si="63"/>
        <v>15.882552191091241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">
      <c r="A129" s="10">
        <f t="shared" si="85"/>
        <v>126</v>
      </c>
      <c r="B129" s="73">
        <f>'Scénario référence'!$B$16*5+'Scénario référence'!$B$17*0+'Scénario référence'!$B$18*5</f>
        <v>5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">
        <f t="shared" si="86"/>
        <v>0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18.333333333333332</v>
      </c>
      <c r="H129" s="67">
        <f t="shared" si="56"/>
        <v>183.33333333333334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295</v>
      </c>
      <c r="O129" s="13">
        <f>N129*VLOOKUP('Données projet'!$B$9,Paramètres!$A$1:$I$89,3,0)*VLOOKUP('Données projet'!$B$9,Paramètres!$A$1:$I$89,5,0)</f>
        <v>176.41000000000003</v>
      </c>
      <c r="P129" s="13">
        <f t="shared" si="87"/>
        <v>44.522543239204609</v>
      </c>
      <c r="Q129" s="20">
        <f t="shared" si="107"/>
        <v>384.79084614161474</v>
      </c>
      <c r="R129" s="59">
        <f t="shared" si="55"/>
        <v>668.01788132203694</v>
      </c>
      <c r="S129" s="59">
        <f ca="1">AVERAGE(OFFSET($R$3,0,0,'Données projet'!$E$9+1,1))-AVERAGE(OFFSET($H$3,0,0,'Données projet'!$E$9+1,1))</f>
        <v>219.4022220248072</v>
      </c>
      <c r="T129" s="59">
        <f t="shared" si="88"/>
        <v>199.30065726913725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8.6536432274537436</v>
      </c>
      <c r="AA129" s="21">
        <f>EXP(-LN(2)/25)*AA128+(1-EXP(-LN(2)/25))/(LN(2)/25)*Calculateur!V129*Calculateur!X129*VLOOKUP('Données projet'!$B$9,Paramètres!$A$1:$I$89,3,0)*0.475*44/12</f>
        <v>1.0880291758312517</v>
      </c>
      <c r="AB129" s="21">
        <f>EXP(-LN(2)/2)*AB128+(1-EXP(-LN(2)/2))/(LN(2)/2)*V129*Y129*VLOOKUP('Données projet'!$B$9,Paramètres!$A$1:$I$89,3,0)*0.475*44/12</f>
        <v>2.3088078546656659E-10</v>
      </c>
      <c r="AC129" s="22">
        <f t="shared" si="57"/>
        <v>9.7416724035158762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268.00000000000011</v>
      </c>
      <c r="AJ129" s="13">
        <f>AI129*VLOOKUP('Données projet'!$B$10,Paramètres!$A$1:$I$89,3,0)*VLOOKUP('Données projet'!$B$10,Paramètres!$A$1:$I$89,5,0)</f>
        <v>242.48640000000009</v>
      </c>
      <c r="AK129" s="13">
        <f t="shared" si="89"/>
        <v>58.974170235372476</v>
      </c>
      <c r="AL129" s="20">
        <f t="shared" si="58"/>
        <v>525.04382649327385</v>
      </c>
      <c r="AM129" s="59">
        <f t="shared" si="59"/>
        <v>808.27086167369612</v>
      </c>
      <c r="AN129" s="59">
        <f ca="1">AVERAGE(OFFSET($AM$3,0,0,'Données projet'!$E$10+1,1))-AVERAGE(OFFSET($H$3,0,0,'Données projet'!$E$10+1,1))</f>
        <v>406.64650428071837</v>
      </c>
      <c r="AO129" s="59">
        <f t="shared" si="90"/>
        <v>250.47702091764884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51.808243421737842</v>
      </c>
      <c r="AV129" s="21">
        <f>EXP(-LN(2)/25)*AV128+(1-EXP(-LN(2)/25))/(LN(2)/25)*Calculateur!AQ129*Calculateur!AS129*VLOOKUP('Données projet'!$B$10,Paramètres!$A$1:$I$89,3,0)*0.475*44/12</f>
        <v>2.0942921322486865</v>
      </c>
      <c r="AW129" s="21">
        <f>EXP(-LN(2)/2)*AW128+(1-EXP(-LN(2)/2))/(LN(2)/2)*AQ129*AT129*VLOOKUP('Données projet'!$B$10,Paramètres!$A$1:$I$89,3,0)*0.475*44/12</f>
        <v>0.13388921633380102</v>
      </c>
      <c r="AX129" s="21">
        <f t="shared" si="60"/>
        <v>54.03642477032033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290.99999999999994</v>
      </c>
      <c r="BE129" s="13">
        <f>BD129*VLOOKUP('Données projet'!$B$11,Paramètres!$A$1:$I$89,3,0)*VLOOKUP('Données projet'!$B$11,Paramètres!$A$1:$I$89,5,0)</f>
        <v>276.91559999999993</v>
      </c>
      <c r="BF129" s="13">
        <f t="shared" si="91"/>
        <v>66.314766879144742</v>
      </c>
      <c r="BG129" s="20">
        <f t="shared" si="61"/>
        <v>597.79288898117682</v>
      </c>
      <c r="BH129" s="59">
        <f t="shared" si="62"/>
        <v>881.01992416159896</v>
      </c>
      <c r="BI129" s="59">
        <f ca="1">AVERAGE(OFFSET($BH$3,0,0,'Données projet'!$E$11+1,1))-AVERAGE(OFFSET($H$3,0,0,'Données projet'!$E$11+1,1))</f>
        <v>387.78453964980849</v>
      </c>
      <c r="BJ129" s="59">
        <f t="shared" si="92"/>
        <v>395.13533152274488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14.987116832412058</v>
      </c>
      <c r="BQ129" s="21">
        <f>EXP(-LN(2)/25)*BQ128+(1-EXP(-LN(2)/25))/(LN(2)/25)*Calculateur!BL129*Calculateur!BN129*VLOOKUP('Données projet'!$B$11,Paramètres!$A$1:$I$89,3,0)*0.475*44/12</f>
        <v>0.57938029657549472</v>
      </c>
      <c r="BR129" s="21">
        <f>EXP(-LN(2)/2)*BR128+(1-EXP(-LN(2)/2))/(LN(2)/2)*BL129*BO129*VLOOKUP('Données projet'!$B$11,Paramètres!$A$1:$I$89,3,0)*0.475*44/12</f>
        <v>5.4065663543596363E-9</v>
      </c>
      <c r="BS129" s="22">
        <f t="shared" si="63"/>
        <v>15.566497134394119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">
      <c r="A130" s="10">
        <f t="shared" si="85"/>
        <v>127</v>
      </c>
      <c r="B130" s="73">
        <f>'Scénario référence'!$B$16*5+'Scénario référence'!$B$17*0+'Scénario référence'!$B$18*5</f>
        <v>5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">
        <f t="shared" si="86"/>
        <v>0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18.333333333333332</v>
      </c>
      <c r="H130" s="67">
        <f t="shared" si="56"/>
        <v>183.33333333333334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295</v>
      </c>
      <c r="O130" s="13">
        <f>N130*VLOOKUP('Données projet'!$B$9,Paramètres!$A$1:$I$89,3,0)*VLOOKUP('Données projet'!$B$9,Paramètres!$A$1:$I$89,5,0)</f>
        <v>176.41000000000003</v>
      </c>
      <c r="P130" s="13">
        <f t="shared" si="87"/>
        <v>44.522543239204609</v>
      </c>
      <c r="Q130" s="20">
        <f t="shared" si="107"/>
        <v>384.79084614161474</v>
      </c>
      <c r="R130" s="59">
        <f t="shared" si="55"/>
        <v>668.19320300069217</v>
      </c>
      <c r="S130" s="59">
        <f ca="1">AVERAGE(OFFSET($R$3,0,0,'Données projet'!$E$9+1,1))-AVERAGE(OFFSET($H$3,0,0,'Données projet'!$E$9+1,1))</f>
        <v>219.4022220248072</v>
      </c>
      <c r="T130" s="59">
        <f t="shared" si="88"/>
        <v>199.30065726913725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8.4839505619645657</v>
      </c>
      <c r="AA130" s="21">
        <f>EXP(-LN(2)/25)*AA129+(1-EXP(-LN(2)/25))/(LN(2)/25)*Calculateur!V130*Calculateur!X130*VLOOKUP('Données projet'!$B$9,Paramètres!$A$1:$I$89,3,0)*0.475*44/12</f>
        <v>1.0582769608011784</v>
      </c>
      <c r="AB130" s="21">
        <f>EXP(-LN(2)/2)*AB129+(1-EXP(-LN(2)/2))/(LN(2)/2)*V130*Y130*VLOOKUP('Données projet'!$B$9,Paramètres!$A$1:$I$89,3,0)*0.475*44/12</f>
        <v>1.6325736904908574E-10</v>
      </c>
      <c r="AC130" s="22">
        <f t="shared" si="57"/>
        <v>9.5422275229290019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268.00000000000011</v>
      </c>
      <c r="AJ130" s="13">
        <f>AI130*VLOOKUP('Données projet'!$B$10,Paramètres!$A$1:$I$89,3,0)*VLOOKUP('Données projet'!$B$10,Paramètres!$A$1:$I$89,5,0)</f>
        <v>242.48640000000009</v>
      </c>
      <c r="AK130" s="13">
        <f t="shared" si="89"/>
        <v>58.974170235372476</v>
      </c>
      <c r="AL130" s="20">
        <f t="shared" si="58"/>
        <v>525.04382649327385</v>
      </c>
      <c r="AM130" s="59">
        <f t="shared" si="59"/>
        <v>808.44618335235123</v>
      </c>
      <c r="AN130" s="59">
        <f ca="1">AVERAGE(OFFSET($AM$3,0,0,'Données projet'!$E$10+1,1))-AVERAGE(OFFSET($H$3,0,0,'Données projet'!$E$10+1,1))</f>
        <v>406.64650428071837</v>
      </c>
      <c r="AO130" s="59">
        <f t="shared" si="90"/>
        <v>250.47702091764884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50.792315368145822</v>
      </c>
      <c r="AV130" s="21">
        <f>EXP(-LN(2)/25)*AV129+(1-EXP(-LN(2)/25))/(LN(2)/25)*Calculateur!AQ130*Calculateur!AS130*VLOOKUP('Données projet'!$B$10,Paramètres!$A$1:$I$89,3,0)*0.475*44/12</f>
        <v>2.0370236037583096</v>
      </c>
      <c r="AW130" s="21">
        <f>EXP(-LN(2)/2)*AW129+(1-EXP(-LN(2)/2))/(LN(2)/2)*AQ130*AT130*VLOOKUP('Données projet'!$B$10,Paramètres!$A$1:$I$89,3,0)*0.475*44/12</f>
        <v>9.4673972797383363E-2</v>
      </c>
      <c r="AX130" s="21">
        <f t="shared" si="60"/>
        <v>52.924012944701509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290.99999999999994</v>
      </c>
      <c r="BE130" s="13">
        <f>BD130*VLOOKUP('Données projet'!$B$11,Paramètres!$A$1:$I$89,3,0)*VLOOKUP('Données projet'!$B$11,Paramètres!$A$1:$I$89,5,0)</f>
        <v>276.91559999999993</v>
      </c>
      <c r="BF130" s="13">
        <f t="shared" si="91"/>
        <v>66.314766879144742</v>
      </c>
      <c r="BG130" s="20">
        <f t="shared" si="61"/>
        <v>597.79288898117682</v>
      </c>
      <c r="BH130" s="59">
        <f t="shared" si="62"/>
        <v>881.1952458402543</v>
      </c>
      <c r="BI130" s="59">
        <f ca="1">AVERAGE(OFFSET($BH$3,0,0,'Données projet'!$E$11+1,1))-AVERAGE(OFFSET($H$3,0,0,'Données projet'!$E$11+1,1))</f>
        <v>387.78453964980849</v>
      </c>
      <c r="BJ130" s="59">
        <f t="shared" si="92"/>
        <v>395.13533152274488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14.693228612567102</v>
      </c>
      <c r="BQ130" s="21">
        <f>EXP(-LN(2)/25)*BQ129+(1-EXP(-LN(2)/25))/(LN(2)/25)*Calculateur!BL130*Calculateur!BN130*VLOOKUP('Données projet'!$B$11,Paramètres!$A$1:$I$89,3,0)*0.475*44/12</f>
        <v>0.56353711189735223</v>
      </c>
      <c r="BR130" s="21">
        <f>EXP(-LN(2)/2)*BR129+(1-EXP(-LN(2)/2))/(LN(2)/2)*BL130*BO130*VLOOKUP('Données projet'!$B$11,Paramètres!$A$1:$I$89,3,0)*0.475*44/12</f>
        <v>3.8230197321027292E-9</v>
      </c>
      <c r="BS130" s="22">
        <f t="shared" si="63"/>
        <v>15.256765728287474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">
      <c r="A131" s="10">
        <f t="shared" si="85"/>
        <v>128</v>
      </c>
      <c r="B131" s="73">
        <f>'Scénario référence'!$B$16*5+'Scénario référence'!$B$17*0+'Scénario référence'!$B$18*5</f>
        <v>5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">
        <f t="shared" si="86"/>
        <v>0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18.333333333333332</v>
      </c>
      <c r="H131" s="67">
        <f t="shared" si="56"/>
        <v>183.33333333333334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295</v>
      </c>
      <c r="O131" s="13">
        <f>N131*VLOOKUP('Données projet'!$B$9,Paramètres!$A$1:$I$89,3,0)*VLOOKUP('Données projet'!$B$9,Paramètres!$A$1:$I$89,5,0)</f>
        <v>176.41000000000003</v>
      </c>
      <c r="P131" s="13">
        <f t="shared" si="87"/>
        <v>44.522543239204609</v>
      </c>
      <c r="Q131" s="20">
        <f t="shared" ref="Q131:Q153" si="108">(O131+P131)*0.475*44/12</f>
        <v>384.79084614161474</v>
      </c>
      <c r="R131" s="59">
        <f t="shared" ref="R131:R194" si="109">Q131+(I131+J131)*44/12</f>
        <v>668.36548324018327</v>
      </c>
      <c r="S131" s="59">
        <f ca="1">AVERAGE(OFFSET($R$3,0,0,'Données projet'!$E$9+1,1))-AVERAGE(OFFSET($H$3,0,0,'Données projet'!$E$9+1,1))</f>
        <v>219.4022220248072</v>
      </c>
      <c r="T131" s="59">
        <f t="shared" si="88"/>
        <v>199.30065726913725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8.3175854661433242</v>
      </c>
      <c r="AA131" s="21">
        <f>EXP(-LN(2)/25)*AA130+(1-EXP(-LN(2)/25))/(LN(2)/25)*Calculateur!V131*Calculateur!X131*VLOOKUP('Données projet'!$B$9,Paramètres!$A$1:$I$89,3,0)*0.475*44/12</f>
        <v>1.0293383216557035</v>
      </c>
      <c r="AB131" s="21">
        <f>EXP(-LN(2)/2)*AB130+(1-EXP(-LN(2)/2))/(LN(2)/2)*V131*Y131*VLOOKUP('Données projet'!$B$9,Paramètres!$A$1:$I$89,3,0)*0.475*44/12</f>
        <v>1.1544039273328332E-10</v>
      </c>
      <c r="AC131" s="22">
        <f t="shared" si="57"/>
        <v>9.3469237879144682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268.00000000000011</v>
      </c>
      <c r="AJ131" s="13">
        <f>AI131*VLOOKUP('Données projet'!$B$10,Paramètres!$A$1:$I$89,3,0)*VLOOKUP('Données projet'!$B$10,Paramètres!$A$1:$I$89,5,0)</f>
        <v>242.48640000000009</v>
      </c>
      <c r="AK131" s="13">
        <f t="shared" si="89"/>
        <v>58.974170235372476</v>
      </c>
      <c r="AL131" s="20">
        <f t="shared" si="58"/>
        <v>525.04382649327385</v>
      </c>
      <c r="AM131" s="59">
        <f t="shared" si="59"/>
        <v>808.61846359184233</v>
      </c>
      <c r="AN131" s="59">
        <f ca="1">AVERAGE(OFFSET($AM$3,0,0,'Données projet'!$E$10+1,1))-AVERAGE(OFFSET($H$3,0,0,'Données projet'!$E$10+1,1))</f>
        <v>406.64650428071837</v>
      </c>
      <c r="AO131" s="59">
        <f t="shared" si="90"/>
        <v>250.47702091764884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49.796309044029812</v>
      </c>
      <c r="AV131" s="21">
        <f>EXP(-LN(2)/25)*AV130+(1-EXP(-LN(2)/25))/(LN(2)/25)*Calculateur!AQ131*Calculateur!AS131*VLOOKUP('Données projet'!$B$10,Paramètres!$A$1:$I$89,3,0)*0.475*44/12</f>
        <v>1.981321086191123</v>
      </c>
      <c r="AW131" s="21">
        <f>EXP(-LN(2)/2)*AW130+(1-EXP(-LN(2)/2))/(LN(2)/2)*AQ131*AT131*VLOOKUP('Données projet'!$B$10,Paramètres!$A$1:$I$89,3,0)*0.475*44/12</f>
        <v>6.694460816690051E-2</v>
      </c>
      <c r="AX131" s="21">
        <f t="shared" si="60"/>
        <v>51.844574738387834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290.99999999999994</v>
      </c>
      <c r="BE131" s="13">
        <f>BD131*VLOOKUP('Données projet'!$B$11,Paramètres!$A$1:$I$89,3,0)*VLOOKUP('Données projet'!$B$11,Paramètres!$A$1:$I$89,5,0)</f>
        <v>276.91559999999993</v>
      </c>
      <c r="BF131" s="13">
        <f t="shared" si="91"/>
        <v>66.314766879144742</v>
      </c>
      <c r="BG131" s="20">
        <f t="shared" si="61"/>
        <v>597.79288898117682</v>
      </c>
      <c r="BH131" s="59">
        <f t="shared" si="62"/>
        <v>881.3675260797454</v>
      </c>
      <c r="BI131" s="59">
        <f ca="1">AVERAGE(OFFSET($BH$3,0,0,'Données projet'!$E$11+1,1))-AVERAGE(OFFSET($H$3,0,0,'Données projet'!$E$11+1,1))</f>
        <v>387.78453964980849</v>
      </c>
      <c r="BJ131" s="59">
        <f t="shared" si="92"/>
        <v>395.13533152274488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14.405103361459192</v>
      </c>
      <c r="BQ131" s="21">
        <f>EXP(-LN(2)/25)*BQ130+(1-EXP(-LN(2)/25))/(LN(2)/25)*Calculateur!BL131*Calculateur!BN131*VLOOKUP('Données projet'!$B$11,Paramètres!$A$1:$I$89,3,0)*0.475*44/12</f>
        <v>0.54812715993739036</v>
      </c>
      <c r="BR131" s="21">
        <f>EXP(-LN(2)/2)*BR130+(1-EXP(-LN(2)/2))/(LN(2)/2)*BL131*BO131*VLOOKUP('Données projet'!$B$11,Paramètres!$A$1:$I$89,3,0)*0.475*44/12</f>
        <v>2.7032831771798182E-9</v>
      </c>
      <c r="BS131" s="22">
        <f t="shared" si="63"/>
        <v>14.953230524099865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">
      <c r="A132" s="10">
        <f t="shared" si="85"/>
        <v>129</v>
      </c>
      <c r="B132" s="73">
        <f>'Scénario référence'!$B$16*5+'Scénario référence'!$B$17*0+'Scénario référence'!$B$18*5</f>
        <v>5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">
        <f t="shared" si="86"/>
        <v>0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18.333333333333332</v>
      </c>
      <c r="H132" s="67">
        <f t="shared" ref="H132:H195" si="110">(B132+E132+F132)*44/12+(C132+D132)*0.475*44/12</f>
        <v>183.33333333333334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295</v>
      </c>
      <c r="O132" s="13">
        <f>N132*VLOOKUP('Données projet'!$B$9,Paramètres!$A$1:$I$89,3,0)*VLOOKUP('Données projet'!$B$9,Paramètres!$A$1:$I$89,5,0)</f>
        <v>176.41000000000003</v>
      </c>
      <c r="P132" s="13">
        <f t="shared" si="87"/>
        <v>44.522543239204609</v>
      </c>
      <c r="Q132" s="20">
        <f t="shared" si="108"/>
        <v>384.79084614161474</v>
      </c>
      <c r="R132" s="59">
        <f t="shared" si="109"/>
        <v>668.53477480268009</v>
      </c>
      <c r="S132" s="59">
        <f ca="1">AVERAGE(OFFSET($R$3,0,0,'Données projet'!$E$9+1,1))-AVERAGE(OFFSET($H$3,0,0,'Données projet'!$E$9+1,1))</f>
        <v>219.4022220248072</v>
      </c>
      <c r="T132" s="59">
        <f t="shared" si="88"/>
        <v>199.30065726913725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8.1544826883784491</v>
      </c>
      <c r="AA132" s="21">
        <f>EXP(-LN(2)/25)*AA131+(1-EXP(-LN(2)/25))/(LN(2)/25)*Calculateur!V132*Calculateur!X132*VLOOKUP('Données projet'!$B$9,Paramètres!$A$1:$I$89,3,0)*0.475*44/12</f>
        <v>1.0011910111194786</v>
      </c>
      <c r="AB132" s="21">
        <f>EXP(-LN(2)/2)*AB131+(1-EXP(-LN(2)/2))/(LN(2)/2)*V132*Y132*VLOOKUP('Données projet'!$B$9,Paramètres!$A$1:$I$89,3,0)*0.475*44/12</f>
        <v>8.1628684524542882E-11</v>
      </c>
      <c r="AC132" s="22">
        <f t="shared" ref="AC132:AC153" si="111">SUM(Z132:AB132)</f>
        <v>9.1556736995795571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268.00000000000011</v>
      </c>
      <c r="AJ132" s="13">
        <f>AI132*VLOOKUP('Données projet'!$B$10,Paramètres!$A$1:$I$89,3,0)*VLOOKUP('Données projet'!$B$10,Paramètres!$A$1:$I$89,5,0)</f>
        <v>242.48640000000009</v>
      </c>
      <c r="AK132" s="13">
        <f t="shared" si="89"/>
        <v>58.974170235372476</v>
      </c>
      <c r="AL132" s="20">
        <f t="shared" ref="AL132:AL153" si="112">(AJ132+AK132)*0.475*44/12</f>
        <v>525.04382649327385</v>
      </c>
      <c r="AM132" s="59">
        <f t="shared" ref="AM132:AM195" si="113">AL132+(AD132+AE132)*44/12</f>
        <v>808.78775515433927</v>
      </c>
      <c r="AN132" s="59">
        <f ca="1">AVERAGE(OFFSET($AM$3,0,0,'Données projet'!$E$10+1,1))-AVERAGE(OFFSET($H$3,0,0,'Données projet'!$E$10+1,1))</f>
        <v>406.64650428071837</v>
      </c>
      <c r="AO132" s="59">
        <f t="shared" si="90"/>
        <v>250.47702091764884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48.819833796425847</v>
      </c>
      <c r="AV132" s="21">
        <f>EXP(-LN(2)/25)*AV131+(1-EXP(-LN(2)/25))/(LN(2)/25)*Calculateur!AQ132*Calculateur!AS132*VLOOKUP('Données projet'!$B$10,Paramètres!$A$1:$I$89,3,0)*0.475*44/12</f>
        <v>1.9271417568960791</v>
      </c>
      <c r="AW132" s="21">
        <f>EXP(-LN(2)/2)*AW131+(1-EXP(-LN(2)/2))/(LN(2)/2)*AQ132*AT132*VLOOKUP('Données projet'!$B$10,Paramètres!$A$1:$I$89,3,0)*0.475*44/12</f>
        <v>4.7336986398691681E-2</v>
      </c>
      <c r="AX132" s="21">
        <f t="shared" ref="AX132:AX153" si="114">SUM(AU132:AW132)</f>
        <v>50.794312539720615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290.99999999999994</v>
      </c>
      <c r="BE132" s="13">
        <f>BD132*VLOOKUP('Données projet'!$B$11,Paramètres!$A$1:$I$89,3,0)*VLOOKUP('Données projet'!$B$11,Paramètres!$A$1:$I$89,5,0)</f>
        <v>276.91559999999993</v>
      </c>
      <c r="BF132" s="13">
        <f t="shared" si="91"/>
        <v>66.314766879144742</v>
      </c>
      <c r="BG132" s="20">
        <f t="shared" ref="BG132:BG153" si="115">(BE132+BF132)*0.475*44/12</f>
        <v>597.79288898117682</v>
      </c>
      <c r="BH132" s="59">
        <f t="shared" ref="BH132:BH195" si="116">BG132+(AY132+AZ132)*44/12</f>
        <v>881.53681764224211</v>
      </c>
      <c r="BI132" s="59">
        <f ca="1">AVERAGE(OFFSET($BH$3,0,0,'Données projet'!$E$11+1,1))-AVERAGE(OFFSET($H$3,0,0,'Données projet'!$E$11+1,1))</f>
        <v>387.78453964980849</v>
      </c>
      <c r="BJ132" s="59">
        <f t="shared" si="92"/>
        <v>395.13533152274488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14.122628070786458</v>
      </c>
      <c r="BQ132" s="21">
        <f>EXP(-LN(2)/25)*BQ131+(1-EXP(-LN(2)/25))/(LN(2)/25)*Calculateur!BL132*Calculateur!BN132*VLOOKUP('Données projet'!$B$11,Paramètres!$A$1:$I$89,3,0)*0.475*44/12</f>
        <v>0.53313859392414786</v>
      </c>
      <c r="BR132" s="21">
        <f>EXP(-LN(2)/2)*BR131+(1-EXP(-LN(2)/2))/(LN(2)/2)*BL132*BO132*VLOOKUP('Données projet'!$B$11,Paramètres!$A$1:$I$89,3,0)*0.475*44/12</f>
        <v>1.9115098660513646E-9</v>
      </c>
      <c r="BS132" s="22">
        <f t="shared" ref="BS132:BS153" si="117">SUM(BP132:BR132)</f>
        <v>14.655766666622116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">
      <c r="A133" s="10">
        <f t="shared" ref="A133:A152" si="139">A132+1</f>
        <v>130</v>
      </c>
      <c r="B133" s="73">
        <f>'Scénario référence'!$B$16*5+'Scénario référence'!$B$17*0+'Scénario référence'!$B$18*5</f>
        <v>5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">
        <f t="shared" ref="D133:D196" si="140">IFERROR(EXP(-1.0587+0.8836*LN(C133)+0.284),0)</f>
        <v>0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18.333333333333332</v>
      </c>
      <c r="H133" s="67">
        <f t="shared" si="110"/>
        <v>183.33333333333334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295</v>
      </c>
      <c r="O133" s="13">
        <f>N133*VLOOKUP('Données projet'!$B$9,Paramètres!$A$1:$I$89,3,0)*VLOOKUP('Données projet'!$B$9,Paramètres!$A$1:$I$89,5,0)</f>
        <v>176.41000000000003</v>
      </c>
      <c r="P133" s="13">
        <f t="shared" ref="P133:P196" si="141">EXP(-1.0587+0.8836*LN(O133)+0.284)</f>
        <v>44.522543239204609</v>
      </c>
      <c r="Q133" s="20">
        <f t="shared" si="108"/>
        <v>384.79084614161474</v>
      </c>
      <c r="R133" s="59">
        <f t="shared" si="109"/>
        <v>668.7011295350469</v>
      </c>
      <c r="S133" s="59">
        <f ca="1">AVERAGE(OFFSET($R$3,0,0,'Données projet'!$E$9+1,1))-AVERAGE(OFFSET($H$3,0,0,'Données projet'!$E$9+1,1))</f>
        <v>219.4022220248072</v>
      </c>
      <c r="T133" s="59">
        <f t="shared" ref="T133:T196" si="142">$T$3</f>
        <v>199.30065726913725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7.9945782566026713</v>
      </c>
      <c r="AA133" s="21">
        <f>EXP(-LN(2)/25)*AA132+(1-EXP(-LN(2)/25))/(LN(2)/25)*Calculateur!V133*Calculateur!X133*VLOOKUP('Données projet'!$B$9,Paramètres!$A$1:$I$89,3,0)*0.475*44/12</f>
        <v>0.97381339027006941</v>
      </c>
      <c r="AB133" s="21">
        <f>EXP(-LN(2)/2)*AB132+(1-EXP(-LN(2)/2))/(LN(2)/2)*V133*Y133*VLOOKUP('Données projet'!$B$9,Paramètres!$A$1:$I$89,3,0)*0.475*44/12</f>
        <v>5.7720196366641666E-11</v>
      </c>
      <c r="AC133" s="22">
        <f t="shared" si="111"/>
        <v>8.9683916469304616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268.00000000000011</v>
      </c>
      <c r="AJ133" s="13">
        <f>AI133*VLOOKUP('Données projet'!$B$10,Paramètres!$A$1:$I$89,3,0)*VLOOKUP('Données projet'!$B$10,Paramètres!$A$1:$I$89,5,0)</f>
        <v>242.48640000000009</v>
      </c>
      <c r="AK133" s="13">
        <f t="shared" ref="AK133:AK153" si="143">EXP(-1.0587+0.8836*LN(AJ133)+0.284)</f>
        <v>58.974170235372476</v>
      </c>
      <c r="AL133" s="20">
        <f t="shared" si="112"/>
        <v>525.04382649327385</v>
      </c>
      <c r="AM133" s="59">
        <f t="shared" si="113"/>
        <v>808.95410988670596</v>
      </c>
      <c r="AN133" s="59">
        <f ca="1">AVERAGE(OFFSET($AM$3,0,0,'Données projet'!$E$10+1,1))-AVERAGE(OFFSET($H$3,0,0,'Données projet'!$E$10+1,1))</f>
        <v>406.64650428071837</v>
      </c>
      <c r="AO133" s="59">
        <f t="shared" ref="AO133:AO196" si="144">$AO$3</f>
        <v>250.47702091764884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47.8625066328363</v>
      </c>
      <c r="AV133" s="21">
        <f>EXP(-LN(2)/25)*AV132+(1-EXP(-LN(2)/25))/(LN(2)/25)*Calculateur!AQ133*Calculateur!AS133*VLOOKUP('Données projet'!$B$10,Paramètres!$A$1:$I$89,3,0)*0.475*44/12</f>
        <v>1.8744439642097754</v>
      </c>
      <c r="AW133" s="21">
        <f>EXP(-LN(2)/2)*AW132+(1-EXP(-LN(2)/2))/(LN(2)/2)*AQ133*AT133*VLOOKUP('Données projet'!$B$10,Paramètres!$A$1:$I$89,3,0)*0.475*44/12</f>
        <v>3.3472304083450255E-2</v>
      </c>
      <c r="AX133" s="21">
        <f t="shared" si="114"/>
        <v>49.770422901129528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290.99999999999994</v>
      </c>
      <c r="BE133" s="13">
        <f>BD133*VLOOKUP('Données projet'!$B$11,Paramètres!$A$1:$I$89,3,0)*VLOOKUP('Données projet'!$B$11,Paramètres!$A$1:$I$89,5,0)</f>
        <v>276.91559999999993</v>
      </c>
      <c r="BF133" s="13">
        <f t="shared" ref="BF133:BF153" si="145">EXP(-1.0587+0.8836*LN(BE133)+0.284)</f>
        <v>66.314766879144742</v>
      </c>
      <c r="BG133" s="20">
        <f t="shared" si="115"/>
        <v>597.79288898117682</v>
      </c>
      <c r="BH133" s="59">
        <f t="shared" si="116"/>
        <v>881.70317237460893</v>
      </c>
      <c r="BI133" s="59">
        <f ca="1">AVERAGE(OFFSET($BH$3,0,0,'Données projet'!$E$11+1,1))-AVERAGE(OFFSET($H$3,0,0,'Données projet'!$E$11+1,1))</f>
        <v>387.78453964980849</v>
      </c>
      <c r="BJ133" s="59">
        <f t="shared" ref="BJ133:BJ196" si="146">$BJ$3</f>
        <v>395.13533152274488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13.845691948270902</v>
      </c>
      <c r="BQ133" s="21">
        <f>EXP(-LN(2)/25)*BQ132+(1-EXP(-LN(2)/25))/(LN(2)/25)*Calculateur!BL133*Calculateur!BN133*VLOOKUP('Données projet'!$B$11,Paramètres!$A$1:$I$89,3,0)*0.475*44/12</f>
        <v>0.51855989103675193</v>
      </c>
      <c r="BR133" s="21">
        <f>EXP(-LN(2)/2)*BR132+(1-EXP(-LN(2)/2))/(LN(2)/2)*BL133*BO133*VLOOKUP('Données projet'!$B$11,Paramètres!$A$1:$I$89,3,0)*0.475*44/12</f>
        <v>1.3516415885899091E-9</v>
      </c>
      <c r="BS133" s="22">
        <f t="shared" si="117"/>
        <v>14.364251840659296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">
      <c r="A134" s="10">
        <f t="shared" si="139"/>
        <v>131</v>
      </c>
      <c r="B134" s="73">
        <f>'Scénario référence'!$B$16*5+'Scénario référence'!$B$17*0+'Scénario référence'!$B$18*5</f>
        <v>5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">
        <f t="shared" si="140"/>
        <v>0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18.333333333333332</v>
      </c>
      <c r="H134" s="67">
        <f t="shared" si="110"/>
        <v>183.33333333333334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295</v>
      </c>
      <c r="O134" s="13">
        <f>N134*VLOOKUP('Données projet'!$B$9,Paramètres!$A$1:$I$89,3,0)*VLOOKUP('Données projet'!$B$9,Paramètres!$A$1:$I$89,5,0)</f>
        <v>176.41000000000003</v>
      </c>
      <c r="P134" s="13">
        <f t="shared" si="141"/>
        <v>44.522543239204609</v>
      </c>
      <c r="Q134" s="20">
        <f t="shared" si="108"/>
        <v>384.79084614161474</v>
      </c>
      <c r="R134" s="59">
        <f t="shared" si="109"/>
        <v>668.86459838472047</v>
      </c>
      <c r="S134" s="59">
        <f ca="1">AVERAGE(OFFSET($R$3,0,0,'Données projet'!$E$9+1,1))-AVERAGE(OFFSET($H$3,0,0,'Données projet'!$E$9+1,1))</f>
        <v>219.4022220248072</v>
      </c>
      <c r="T134" s="59">
        <f t="shared" si="142"/>
        <v>199.30065726913725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7.8378094532019436</v>
      </c>
      <c r="AA134" s="21">
        <f>EXP(-LN(2)/25)*AA133+(1-EXP(-LN(2)/25))/(LN(2)/25)*Calculateur!V134*Calculateur!X134*VLOOKUP('Données projet'!$B$9,Paramètres!$A$1:$I$89,3,0)*0.475*44/12</f>
        <v>0.9471844119025139</v>
      </c>
      <c r="AB134" s="21">
        <f>EXP(-LN(2)/2)*AB133+(1-EXP(-LN(2)/2))/(LN(2)/2)*V134*Y134*VLOOKUP('Données projet'!$B$9,Paramètres!$A$1:$I$89,3,0)*0.475*44/12</f>
        <v>4.0814342262271447E-11</v>
      </c>
      <c r="AC134" s="22">
        <f t="shared" si="111"/>
        <v>8.784993865145271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268.00000000000011</v>
      </c>
      <c r="AJ134" s="13">
        <f>AI134*VLOOKUP('Données projet'!$B$10,Paramètres!$A$1:$I$89,3,0)*VLOOKUP('Données projet'!$B$10,Paramètres!$A$1:$I$89,5,0)</f>
        <v>242.48640000000009</v>
      </c>
      <c r="AK134" s="13">
        <f t="shared" si="143"/>
        <v>58.974170235372476</v>
      </c>
      <c r="AL134" s="20">
        <f t="shared" si="112"/>
        <v>525.04382649327385</v>
      </c>
      <c r="AM134" s="59">
        <f t="shared" si="113"/>
        <v>809.11757873637953</v>
      </c>
      <c r="AN134" s="59">
        <f ca="1">AVERAGE(OFFSET($AM$3,0,0,'Données projet'!$E$10+1,1))-AVERAGE(OFFSET($H$3,0,0,'Données projet'!$E$10+1,1))</f>
        <v>406.64650428071837</v>
      </c>
      <c r="AO134" s="59">
        <f t="shared" si="144"/>
        <v>250.47702091764884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46.923952071012835</v>
      </c>
      <c r="AV134" s="21">
        <f>EXP(-LN(2)/25)*AV133+(1-EXP(-LN(2)/25))/(LN(2)/25)*Calculateur!AQ134*Calculateur!AS134*VLOOKUP('Données projet'!$B$10,Paramètres!$A$1:$I$89,3,0)*0.475*44/12</f>
        <v>1.823187195435735</v>
      </c>
      <c r="AW134" s="21">
        <f>EXP(-LN(2)/2)*AW133+(1-EXP(-LN(2)/2))/(LN(2)/2)*AQ134*AT134*VLOOKUP('Données projet'!$B$10,Paramètres!$A$1:$I$89,3,0)*0.475*44/12</f>
        <v>2.3668493199345841E-2</v>
      </c>
      <c r="AX134" s="21">
        <f t="shared" si="114"/>
        <v>48.770807759647916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290.99999999999994</v>
      </c>
      <c r="BE134" s="13">
        <f>BD134*VLOOKUP('Données projet'!$B$11,Paramètres!$A$1:$I$89,3,0)*VLOOKUP('Données projet'!$B$11,Paramètres!$A$1:$I$89,5,0)</f>
        <v>276.91559999999993</v>
      </c>
      <c r="BF134" s="13">
        <f t="shared" si="145"/>
        <v>66.314766879144742</v>
      </c>
      <c r="BG134" s="20">
        <f t="shared" si="115"/>
        <v>597.79288898117682</v>
      </c>
      <c r="BH134" s="59">
        <f t="shared" si="116"/>
        <v>881.8666412242826</v>
      </c>
      <c r="BI134" s="59">
        <f ca="1">AVERAGE(OFFSET($BH$3,0,0,'Données projet'!$E$11+1,1))-AVERAGE(OFFSET($H$3,0,0,'Données projet'!$E$11+1,1))</f>
        <v>387.78453964980849</v>
      </c>
      <c r="BJ134" s="59">
        <f t="shared" si="146"/>
        <v>395.13533152274488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13.574186374203521</v>
      </c>
      <c r="BQ134" s="21">
        <f>EXP(-LN(2)/25)*BQ133+(1-EXP(-LN(2)/25))/(LN(2)/25)*Calculateur!BL134*Calculateur!BN134*VLOOKUP('Données projet'!$B$11,Paramètres!$A$1:$I$89,3,0)*0.475*44/12</f>
        <v>0.50437984354647247</v>
      </c>
      <c r="BR134" s="21">
        <f>EXP(-LN(2)/2)*BR133+(1-EXP(-LN(2)/2))/(LN(2)/2)*BL134*BO134*VLOOKUP('Données projet'!$B$11,Paramètres!$A$1:$I$89,3,0)*0.475*44/12</f>
        <v>9.5575493302568231E-10</v>
      </c>
      <c r="BS134" s="22">
        <f t="shared" si="117"/>
        <v>14.078566218705747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">
      <c r="A135" s="10">
        <f t="shared" si="139"/>
        <v>132</v>
      </c>
      <c r="B135" s="73">
        <f>'Scénario référence'!$B$16*5+'Scénario référence'!$B$17*0+'Scénario référence'!$B$18*5</f>
        <v>5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">
        <f t="shared" si="140"/>
        <v>0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18.333333333333332</v>
      </c>
      <c r="H135" s="67">
        <f t="shared" si="110"/>
        <v>183.33333333333334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295</v>
      </c>
      <c r="O135" s="13">
        <f>N135*VLOOKUP('Données projet'!$B$9,Paramètres!$A$1:$I$89,3,0)*VLOOKUP('Données projet'!$B$9,Paramètres!$A$1:$I$89,5,0)</f>
        <v>176.41000000000003</v>
      </c>
      <c r="P135" s="13">
        <f t="shared" si="141"/>
        <v>44.522543239204609</v>
      </c>
      <c r="Q135" s="20">
        <f t="shared" si="108"/>
        <v>384.79084614161474</v>
      </c>
      <c r="R135" s="59">
        <f t="shared" si="109"/>
        <v>669.0252314153139</v>
      </c>
      <c r="S135" s="59">
        <f ca="1">AVERAGE(OFFSET($R$3,0,0,'Données projet'!$E$9+1,1))-AVERAGE(OFFSET($H$3,0,0,'Données projet'!$E$9+1,1))</f>
        <v>219.4022220248072</v>
      </c>
      <c r="T135" s="59">
        <f t="shared" si="142"/>
        <v>199.30065726913725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7.684114790416376</v>
      </c>
      <c r="AA135" s="21">
        <f>EXP(-LN(2)/25)*AA134+(1-EXP(-LN(2)/25))/(LN(2)/25)*Calculateur!V135*Calculateur!X135*VLOOKUP('Données projet'!$B$9,Paramètres!$A$1:$I$89,3,0)*0.475*44/12</f>
        <v>0.92128360434877621</v>
      </c>
      <c r="AB135" s="21">
        <f>EXP(-LN(2)/2)*AB134+(1-EXP(-LN(2)/2))/(LN(2)/2)*V135*Y135*VLOOKUP('Données projet'!$B$9,Paramètres!$A$1:$I$89,3,0)*0.475*44/12</f>
        <v>2.8860098183320836E-11</v>
      </c>
      <c r="AC135" s="22">
        <f t="shared" si="111"/>
        <v>8.6053983947940136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268.00000000000011</v>
      </c>
      <c r="AJ135" s="13">
        <f>AI135*VLOOKUP('Données projet'!$B$10,Paramètres!$A$1:$I$89,3,0)*VLOOKUP('Données projet'!$B$10,Paramètres!$A$1:$I$89,5,0)</f>
        <v>242.48640000000009</v>
      </c>
      <c r="AK135" s="13">
        <f t="shared" si="143"/>
        <v>58.974170235372476</v>
      </c>
      <c r="AL135" s="20">
        <f t="shared" si="112"/>
        <v>525.04382649327385</v>
      </c>
      <c r="AM135" s="59">
        <f t="shared" si="113"/>
        <v>809.27821176697307</v>
      </c>
      <c r="AN135" s="59">
        <f ca="1">AVERAGE(OFFSET($AM$3,0,0,'Données projet'!$E$10+1,1))-AVERAGE(OFFSET($H$3,0,0,'Données projet'!$E$10+1,1))</f>
        <v>406.64650428071837</v>
      </c>
      <c r="AO135" s="59">
        <f t="shared" si="144"/>
        <v>250.47702091764884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46.003801991684966</v>
      </c>
      <c r="AV135" s="21">
        <f>EXP(-LN(2)/25)*AV134+(1-EXP(-LN(2)/25))/(LN(2)/25)*Calculateur!AQ135*Calculateur!AS135*VLOOKUP('Données projet'!$B$10,Paramètres!$A$1:$I$89,3,0)*0.475*44/12</f>
        <v>1.7733320456992971</v>
      </c>
      <c r="AW135" s="21">
        <f>EXP(-LN(2)/2)*AW134+(1-EXP(-LN(2)/2))/(LN(2)/2)*AQ135*AT135*VLOOKUP('Données projet'!$B$10,Paramètres!$A$1:$I$89,3,0)*0.475*44/12</f>
        <v>1.6736152041725127E-2</v>
      </c>
      <c r="AX135" s="21">
        <f t="shared" si="114"/>
        <v>47.793870189425988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290.99999999999994</v>
      </c>
      <c r="BE135" s="13">
        <f>BD135*VLOOKUP('Données projet'!$B$11,Paramètres!$A$1:$I$89,3,0)*VLOOKUP('Données projet'!$B$11,Paramètres!$A$1:$I$89,5,0)</f>
        <v>276.91559999999993</v>
      </c>
      <c r="BF135" s="13">
        <f t="shared" si="145"/>
        <v>66.314766879144742</v>
      </c>
      <c r="BG135" s="20">
        <f t="shared" si="115"/>
        <v>597.79288898117682</v>
      </c>
      <c r="BH135" s="59">
        <f t="shared" si="116"/>
        <v>882.02727425487592</v>
      </c>
      <c r="BI135" s="59">
        <f ca="1">AVERAGE(OFFSET($BH$3,0,0,'Données projet'!$E$11+1,1))-AVERAGE(OFFSET($H$3,0,0,'Données projet'!$E$11+1,1))</f>
        <v>387.78453964980849</v>
      </c>
      <c r="BJ135" s="59">
        <f t="shared" si="146"/>
        <v>395.13533152274488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13.308004858841551</v>
      </c>
      <c r="BQ135" s="21">
        <f>EXP(-LN(2)/25)*BQ134+(1-EXP(-LN(2)/25))/(LN(2)/25)*Calculateur!BL135*Calculateur!BN135*VLOOKUP('Données projet'!$B$11,Paramètres!$A$1:$I$89,3,0)*0.475*44/12</f>
        <v>0.49058755020051098</v>
      </c>
      <c r="BR135" s="21">
        <f>EXP(-LN(2)/2)*BR134+(1-EXP(-LN(2)/2))/(LN(2)/2)*BL135*BO135*VLOOKUP('Données projet'!$B$11,Paramètres!$A$1:$I$89,3,0)*0.475*44/12</f>
        <v>6.7582079429495454E-10</v>
      </c>
      <c r="BS135" s="22">
        <f t="shared" si="117"/>
        <v>13.798592409717882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">
      <c r="A136" s="10">
        <f t="shared" si="139"/>
        <v>133</v>
      </c>
      <c r="B136" s="73">
        <f>'Scénario référence'!$B$16*5+'Scénario référence'!$B$17*0+'Scénario référence'!$B$18*5</f>
        <v>5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">
        <f t="shared" si="140"/>
        <v>0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18.333333333333332</v>
      </c>
      <c r="H136" s="67">
        <f t="shared" si="110"/>
        <v>183.33333333333334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295</v>
      </c>
      <c r="O136" s="13">
        <f>N136*VLOOKUP('Données projet'!$B$9,Paramètres!$A$1:$I$89,3,0)*VLOOKUP('Données projet'!$B$9,Paramètres!$A$1:$I$89,5,0)</f>
        <v>176.41000000000003</v>
      </c>
      <c r="P136" s="13">
        <f t="shared" si="141"/>
        <v>44.522543239204609</v>
      </c>
      <c r="Q136" s="20">
        <f t="shared" si="108"/>
        <v>384.79084614161474</v>
      </c>
      <c r="R136" s="59">
        <f t="shared" si="109"/>
        <v>669.18307782194813</v>
      </c>
      <c r="S136" s="59">
        <f ca="1">AVERAGE(OFFSET($R$3,0,0,'Données projet'!$E$9+1,1))-AVERAGE(OFFSET($H$3,0,0,'Données projet'!$E$9+1,1))</f>
        <v>219.4022220248072</v>
      </c>
      <c r="T136" s="59">
        <f t="shared" si="142"/>
        <v>199.30065726913725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7.5334339862235451</v>
      </c>
      <c r="AA136" s="21">
        <f>EXP(-LN(2)/25)*AA135+(1-EXP(-LN(2)/25))/(LN(2)/25)*Calculateur!V136*Calculateur!X136*VLOOKUP('Données projet'!$B$9,Paramètres!$A$1:$I$89,3,0)*0.475*44/12</f>
        <v>0.89609105573965975</v>
      </c>
      <c r="AB136" s="21">
        <f>EXP(-LN(2)/2)*AB135+(1-EXP(-LN(2)/2))/(LN(2)/2)*V136*Y136*VLOOKUP('Données projet'!$B$9,Paramètres!$A$1:$I$89,3,0)*0.475*44/12</f>
        <v>2.0407171131135727E-11</v>
      </c>
      <c r="AC136" s="22">
        <f t="shared" si="111"/>
        <v>8.4295250419836112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268.00000000000011</v>
      </c>
      <c r="AJ136" s="13">
        <f>AI136*VLOOKUP('Données projet'!$B$10,Paramètres!$A$1:$I$89,3,0)*VLOOKUP('Données projet'!$B$10,Paramètres!$A$1:$I$89,5,0)</f>
        <v>242.48640000000009</v>
      </c>
      <c r="AK136" s="13">
        <f t="shared" si="143"/>
        <v>58.974170235372476</v>
      </c>
      <c r="AL136" s="20">
        <f t="shared" si="112"/>
        <v>525.04382649327385</v>
      </c>
      <c r="AM136" s="59">
        <f t="shared" si="113"/>
        <v>809.43605817360731</v>
      </c>
      <c r="AN136" s="59">
        <f ca="1">AVERAGE(OFFSET($AM$3,0,0,'Données projet'!$E$10+1,1))-AVERAGE(OFFSET($H$3,0,0,'Données projet'!$E$10+1,1))</f>
        <v>406.64650428071837</v>
      </c>
      <c r="AO136" s="59">
        <f t="shared" si="144"/>
        <v>250.47702091764884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45.101695494176589</v>
      </c>
      <c r="AV136" s="21">
        <f>EXP(-LN(2)/25)*AV135+(1-EXP(-LN(2)/25))/(LN(2)/25)*Calculateur!AQ136*Calculateur!AS136*VLOOKUP('Données projet'!$B$10,Paramètres!$A$1:$I$89,3,0)*0.475*44/12</f>
        <v>1.7248401876541706</v>
      </c>
      <c r="AW136" s="21">
        <f>EXP(-LN(2)/2)*AW135+(1-EXP(-LN(2)/2))/(LN(2)/2)*AQ136*AT136*VLOOKUP('Données projet'!$B$10,Paramètres!$A$1:$I$89,3,0)*0.475*44/12</f>
        <v>1.183424659967292E-2</v>
      </c>
      <c r="AX136" s="21">
        <f t="shared" si="114"/>
        <v>46.838369928430438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290.99999999999994</v>
      </c>
      <c r="BE136" s="13">
        <f>BD136*VLOOKUP('Données projet'!$B$11,Paramètres!$A$1:$I$89,3,0)*VLOOKUP('Données projet'!$B$11,Paramètres!$A$1:$I$89,5,0)</f>
        <v>276.91559999999993</v>
      </c>
      <c r="BF136" s="13">
        <f t="shared" si="145"/>
        <v>66.314766879144742</v>
      </c>
      <c r="BG136" s="20">
        <f t="shared" si="115"/>
        <v>597.79288898117682</v>
      </c>
      <c r="BH136" s="59">
        <f t="shared" si="116"/>
        <v>882.18512066151015</v>
      </c>
      <c r="BI136" s="59">
        <f ca="1">AVERAGE(OFFSET($BH$3,0,0,'Données projet'!$E$11+1,1))-AVERAGE(OFFSET($H$3,0,0,'Données projet'!$E$11+1,1))</f>
        <v>387.78453964980849</v>
      </c>
      <c r="BJ136" s="59">
        <f t="shared" si="146"/>
        <v>395.13533152274488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13.047043000641137</v>
      </c>
      <c r="BQ136" s="21">
        <f>EXP(-LN(2)/25)*BQ135+(1-EXP(-LN(2)/25))/(LN(2)/25)*Calculateur!BL136*Calculateur!BN136*VLOOKUP('Données projet'!$B$11,Paramètres!$A$1:$I$89,3,0)*0.475*44/12</f>
        <v>0.47717240784139997</v>
      </c>
      <c r="BR136" s="21">
        <f>EXP(-LN(2)/2)*BR135+(1-EXP(-LN(2)/2))/(LN(2)/2)*BL136*BO136*VLOOKUP('Données projet'!$B$11,Paramètres!$A$1:$I$89,3,0)*0.475*44/12</f>
        <v>4.7787746651284115E-10</v>
      </c>
      <c r="BS136" s="22">
        <f t="shared" si="117"/>
        <v>13.524215408960414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">
      <c r="A137" s="10">
        <f t="shared" si="139"/>
        <v>134</v>
      </c>
      <c r="B137" s="73">
        <f>'Scénario référence'!$B$16*5+'Scénario référence'!$B$17*0+'Scénario référence'!$B$18*5</f>
        <v>5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">
        <f t="shared" si="140"/>
        <v>0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18.333333333333332</v>
      </c>
      <c r="H137" s="67">
        <f t="shared" si="110"/>
        <v>183.33333333333334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295</v>
      </c>
      <c r="O137" s="13">
        <f>N137*VLOOKUP('Données projet'!$B$9,Paramètres!$A$1:$I$89,3,0)*VLOOKUP('Données projet'!$B$9,Paramètres!$A$1:$I$89,5,0)</f>
        <v>176.41000000000003</v>
      </c>
      <c r="P137" s="13">
        <f t="shared" si="141"/>
        <v>44.522543239204609</v>
      </c>
      <c r="Q137" s="20">
        <f t="shared" si="108"/>
        <v>384.79084614161474</v>
      </c>
      <c r="R137" s="59">
        <f t="shared" si="109"/>
        <v>669.33818594631907</v>
      </c>
      <c r="S137" s="59">
        <f ca="1">AVERAGE(OFFSET($R$3,0,0,'Données projet'!$E$9+1,1))-AVERAGE(OFFSET($H$3,0,0,'Données projet'!$E$9+1,1))</f>
        <v>219.4022220248072</v>
      </c>
      <c r="T137" s="59">
        <f t="shared" si="142"/>
        <v>199.30065726913725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7.3857079406947204</v>
      </c>
      <c r="AA137" s="21">
        <f>EXP(-LN(2)/25)*AA136+(1-EXP(-LN(2)/25))/(LN(2)/25)*Calculateur!V137*Calculateur!X137*VLOOKUP('Données projet'!$B$9,Paramètres!$A$1:$I$89,3,0)*0.475*44/12</f>
        <v>0.87158739869707813</v>
      </c>
      <c r="AB137" s="21">
        <f>EXP(-LN(2)/2)*AB136+(1-EXP(-LN(2)/2))/(LN(2)/2)*V137*Y137*VLOOKUP('Données projet'!$B$9,Paramètres!$A$1:$I$89,3,0)*0.475*44/12</f>
        <v>1.4430049091660421E-11</v>
      </c>
      <c r="AC137" s="22">
        <f t="shared" si="111"/>
        <v>8.2572953394062285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268.00000000000011</v>
      </c>
      <c r="AJ137" s="13">
        <f>AI137*VLOOKUP('Données projet'!$B$10,Paramètres!$A$1:$I$89,3,0)*VLOOKUP('Données projet'!$B$10,Paramètres!$A$1:$I$89,5,0)</f>
        <v>242.48640000000009</v>
      </c>
      <c r="AK137" s="13">
        <f t="shared" si="143"/>
        <v>58.974170235372476</v>
      </c>
      <c r="AL137" s="20">
        <f t="shared" si="112"/>
        <v>525.04382649327385</v>
      </c>
      <c r="AM137" s="59">
        <f t="shared" si="113"/>
        <v>809.59116629797813</v>
      </c>
      <c r="AN137" s="59">
        <f ca="1">AVERAGE(OFFSET($AM$3,0,0,'Données projet'!$E$10+1,1))-AVERAGE(OFFSET($H$3,0,0,'Données projet'!$E$10+1,1))</f>
        <v>406.64650428071837</v>
      </c>
      <c r="AO137" s="59">
        <f t="shared" si="144"/>
        <v>250.47702091764884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44.217278754853716</v>
      </c>
      <c r="AV137" s="21">
        <f>EXP(-LN(2)/25)*AV136+(1-EXP(-LN(2)/25))/(LN(2)/25)*Calculateur!AQ137*Calculateur!AS137*VLOOKUP('Données projet'!$B$10,Paramètres!$A$1:$I$89,3,0)*0.475*44/12</f>
        <v>1.6776743420173641</v>
      </c>
      <c r="AW137" s="21">
        <f>EXP(-LN(2)/2)*AW136+(1-EXP(-LN(2)/2))/(LN(2)/2)*AQ137*AT137*VLOOKUP('Données projet'!$B$10,Paramètres!$A$1:$I$89,3,0)*0.475*44/12</f>
        <v>8.3680760208625637E-3</v>
      </c>
      <c r="AX137" s="21">
        <f t="shared" si="114"/>
        <v>45.903321172891943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290.99999999999994</v>
      </c>
      <c r="BE137" s="13">
        <f>BD137*VLOOKUP('Données projet'!$B$11,Paramètres!$A$1:$I$89,3,0)*VLOOKUP('Données projet'!$B$11,Paramètres!$A$1:$I$89,5,0)</f>
        <v>276.91559999999993</v>
      </c>
      <c r="BF137" s="13">
        <f t="shared" si="145"/>
        <v>66.314766879144742</v>
      </c>
      <c r="BG137" s="20">
        <f t="shared" si="115"/>
        <v>597.79288898117682</v>
      </c>
      <c r="BH137" s="59">
        <f t="shared" si="116"/>
        <v>882.3402287858811</v>
      </c>
      <c r="BI137" s="59">
        <f ca="1">AVERAGE(OFFSET($BH$3,0,0,'Données projet'!$E$11+1,1))-AVERAGE(OFFSET($H$3,0,0,'Données projet'!$E$11+1,1))</f>
        <v>387.78453964980849</v>
      </c>
      <c r="BJ137" s="59">
        <f t="shared" si="146"/>
        <v>395.13533152274488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12.791198445309016</v>
      </c>
      <c r="BQ137" s="21">
        <f>EXP(-LN(2)/25)*BQ136+(1-EXP(-LN(2)/25))/(LN(2)/25)*Calculateur!BL137*Calculateur!BN137*VLOOKUP('Données projet'!$B$11,Paramètres!$A$1:$I$89,3,0)*0.475*44/12</f>
        <v>0.46412410325557057</v>
      </c>
      <c r="BR137" s="21">
        <f>EXP(-LN(2)/2)*BR136+(1-EXP(-LN(2)/2))/(LN(2)/2)*BL137*BO137*VLOOKUP('Données projet'!$B$11,Paramètres!$A$1:$I$89,3,0)*0.475*44/12</f>
        <v>3.3791039714747727E-10</v>
      </c>
      <c r="BS137" s="22">
        <f t="shared" si="117"/>
        <v>13.255322548902498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">
      <c r="A138" s="10">
        <f t="shared" si="139"/>
        <v>135</v>
      </c>
      <c r="B138" s="73">
        <f>'Scénario référence'!$B$16*5+'Scénario référence'!$B$17*0+'Scénario référence'!$B$18*5</f>
        <v>5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">
        <f t="shared" si="140"/>
        <v>0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18.333333333333332</v>
      </c>
      <c r="H138" s="67">
        <f t="shared" si="110"/>
        <v>183.33333333333334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295</v>
      </c>
      <c r="O138" s="13">
        <f>N138*VLOOKUP('Données projet'!$B$9,Paramètres!$A$1:$I$89,3,0)*VLOOKUP('Données projet'!$B$9,Paramètres!$A$1:$I$89,5,0)</f>
        <v>176.41000000000003</v>
      </c>
      <c r="P138" s="13">
        <f t="shared" si="141"/>
        <v>44.522543239204609</v>
      </c>
      <c r="Q138" s="20">
        <f t="shared" si="108"/>
        <v>384.79084614161474</v>
      </c>
      <c r="R138" s="59">
        <f t="shared" si="109"/>
        <v>669.49060329150188</v>
      </c>
      <c r="S138" s="59">
        <f ca="1">AVERAGE(OFFSET($R$3,0,0,'Données projet'!$E$9+1,1))-AVERAGE(OFFSET($H$3,0,0,'Données projet'!$E$9+1,1))</f>
        <v>219.4022220248072</v>
      </c>
      <c r="T138" s="59">
        <f t="shared" si="142"/>
        <v>199.30065726913725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7.2408787128147249</v>
      </c>
      <c r="AA138" s="21">
        <f>EXP(-LN(2)/25)*AA137+(1-EXP(-LN(2)/25))/(LN(2)/25)*Calculateur!V138*Calculateur!X138*VLOOKUP('Données projet'!$B$9,Paramètres!$A$1:$I$89,3,0)*0.475*44/12</f>
        <v>0.84775379544491725</v>
      </c>
      <c r="AB138" s="21">
        <f>EXP(-LN(2)/2)*AB137+(1-EXP(-LN(2)/2))/(LN(2)/2)*V138*Y138*VLOOKUP('Données projet'!$B$9,Paramètres!$A$1:$I$89,3,0)*0.475*44/12</f>
        <v>1.0203585565567865E-11</v>
      </c>
      <c r="AC138" s="22">
        <f t="shared" si="111"/>
        <v>8.0886325082698463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268.00000000000011</v>
      </c>
      <c r="AJ138" s="13">
        <f>AI138*VLOOKUP('Données projet'!$B$10,Paramètres!$A$1:$I$89,3,0)*VLOOKUP('Données projet'!$B$10,Paramètres!$A$1:$I$89,5,0)</f>
        <v>242.48640000000009</v>
      </c>
      <c r="AK138" s="13">
        <f t="shared" si="143"/>
        <v>58.974170235372476</v>
      </c>
      <c r="AL138" s="20">
        <f t="shared" si="112"/>
        <v>525.04382649327385</v>
      </c>
      <c r="AM138" s="59">
        <f t="shared" si="113"/>
        <v>809.74358364316095</v>
      </c>
      <c r="AN138" s="59">
        <f ca="1">AVERAGE(OFFSET($AM$3,0,0,'Données projet'!$E$10+1,1))-AVERAGE(OFFSET($H$3,0,0,'Données projet'!$E$10+1,1))</f>
        <v>406.64650428071837</v>
      </c>
      <c r="AO138" s="59">
        <f t="shared" si="144"/>
        <v>250.47702091764884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43.350204888348024</v>
      </c>
      <c r="AV138" s="21">
        <f>EXP(-LN(2)/25)*AV137+(1-EXP(-LN(2)/25))/(LN(2)/25)*Calculateur!AQ138*Calculateur!AS138*VLOOKUP('Données projet'!$B$10,Paramètres!$A$1:$I$89,3,0)*0.475*44/12</f>
        <v>1.6317982489098399</v>
      </c>
      <c r="AW138" s="21">
        <f>EXP(-LN(2)/2)*AW137+(1-EXP(-LN(2)/2))/(LN(2)/2)*AQ138*AT138*VLOOKUP('Données projet'!$B$10,Paramètres!$A$1:$I$89,3,0)*0.475*44/12</f>
        <v>5.9171232998364602E-3</v>
      </c>
      <c r="AX138" s="21">
        <f t="shared" si="114"/>
        <v>44.987920260557701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290.99999999999994</v>
      </c>
      <c r="BE138" s="13">
        <f>BD138*VLOOKUP('Données projet'!$B$11,Paramètres!$A$1:$I$89,3,0)*VLOOKUP('Données projet'!$B$11,Paramètres!$A$1:$I$89,5,0)</f>
        <v>276.91559999999993</v>
      </c>
      <c r="BF138" s="13">
        <f t="shared" si="145"/>
        <v>66.314766879144742</v>
      </c>
      <c r="BG138" s="20">
        <f t="shared" si="115"/>
        <v>597.79288898117682</v>
      </c>
      <c r="BH138" s="59">
        <f t="shared" si="116"/>
        <v>882.49264613106402</v>
      </c>
      <c r="BI138" s="59">
        <f ca="1">AVERAGE(OFFSET($BH$3,0,0,'Données projet'!$E$11+1,1))-AVERAGE(OFFSET($H$3,0,0,'Données projet'!$E$11+1,1))</f>
        <v>387.78453964980849</v>
      </c>
      <c r="BJ138" s="59">
        <f t="shared" si="146"/>
        <v>395.13533152274488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12.540370845657188</v>
      </c>
      <c r="BQ138" s="21">
        <f>EXP(-LN(2)/25)*BQ137+(1-EXP(-LN(2)/25))/(LN(2)/25)*Calculateur!BL138*Calculateur!BN138*VLOOKUP('Données projet'!$B$11,Paramètres!$A$1:$I$89,3,0)*0.475*44/12</f>
        <v>0.45143260524482115</v>
      </c>
      <c r="BR138" s="21">
        <f>EXP(-LN(2)/2)*BR137+(1-EXP(-LN(2)/2))/(LN(2)/2)*BL138*BO138*VLOOKUP('Données projet'!$B$11,Paramètres!$A$1:$I$89,3,0)*0.475*44/12</f>
        <v>2.3893873325642058E-10</v>
      </c>
      <c r="BS138" s="22">
        <f t="shared" si="117"/>
        <v>12.991803451140949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">
      <c r="A139" s="10">
        <f t="shared" si="139"/>
        <v>136</v>
      </c>
      <c r="B139" s="73">
        <f>'Scénario référence'!$B$16*5+'Scénario référence'!$B$17*0+'Scénario référence'!$B$18*5</f>
        <v>5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">
        <f t="shared" si="140"/>
        <v>0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18.333333333333332</v>
      </c>
      <c r="H139" s="67">
        <f t="shared" si="110"/>
        <v>183.33333333333334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295</v>
      </c>
      <c r="O139" s="13">
        <f>N139*VLOOKUP('Données projet'!$B$9,Paramètres!$A$1:$I$89,3,0)*VLOOKUP('Données projet'!$B$9,Paramètres!$A$1:$I$89,5,0)</f>
        <v>176.41000000000003</v>
      </c>
      <c r="P139" s="13">
        <f t="shared" si="141"/>
        <v>44.522543239204609</v>
      </c>
      <c r="Q139" s="20">
        <f t="shared" si="108"/>
        <v>384.79084614161474</v>
      </c>
      <c r="R139" s="59">
        <f t="shared" si="109"/>
        <v>669.64037653649996</v>
      </c>
      <c r="S139" s="59">
        <f ca="1">AVERAGE(OFFSET($R$3,0,0,'Données projet'!$E$9+1,1))-AVERAGE(OFFSET($H$3,0,0,'Données projet'!$E$9+1,1))</f>
        <v>219.4022220248072</v>
      </c>
      <c r="T139" s="59">
        <f t="shared" si="142"/>
        <v>199.30065726913725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7.0988894977563497</v>
      </c>
      <c r="AA139" s="21">
        <f>EXP(-LN(2)/25)*AA138+(1-EXP(-LN(2)/25))/(LN(2)/25)*Calculateur!V139*Calculateur!X139*VLOOKUP('Données projet'!$B$9,Paramètres!$A$1:$I$89,3,0)*0.475*44/12</f>
        <v>0.82457192332704143</v>
      </c>
      <c r="AB139" s="21">
        <f>EXP(-LN(2)/2)*AB138+(1-EXP(-LN(2)/2))/(LN(2)/2)*V139*Y139*VLOOKUP('Données projet'!$B$9,Paramètres!$A$1:$I$89,3,0)*0.475*44/12</f>
        <v>7.2150245458302115E-12</v>
      </c>
      <c r="AC139" s="22">
        <f t="shared" si="111"/>
        <v>7.9234614210906056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268.00000000000011</v>
      </c>
      <c r="AJ139" s="13">
        <f>AI139*VLOOKUP('Données projet'!$B$10,Paramètres!$A$1:$I$89,3,0)*VLOOKUP('Données projet'!$B$10,Paramètres!$A$1:$I$89,5,0)</f>
        <v>242.48640000000009</v>
      </c>
      <c r="AK139" s="13">
        <f t="shared" si="143"/>
        <v>58.974170235372476</v>
      </c>
      <c r="AL139" s="20">
        <f t="shared" si="112"/>
        <v>525.04382649327385</v>
      </c>
      <c r="AM139" s="59">
        <f t="shared" si="113"/>
        <v>809.89335688815913</v>
      </c>
      <c r="AN139" s="59">
        <f ca="1">AVERAGE(OFFSET($AM$3,0,0,'Données projet'!$E$10+1,1))-AVERAGE(OFFSET($H$3,0,0,'Données projet'!$E$10+1,1))</f>
        <v>406.64650428071837</v>
      </c>
      <c r="AO139" s="59">
        <f t="shared" si="144"/>
        <v>250.47702091764884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42.500133811501669</v>
      </c>
      <c r="AV139" s="21">
        <f>EXP(-LN(2)/25)*AV138+(1-EXP(-LN(2)/25))/(LN(2)/25)*Calculateur!AQ139*Calculateur!AS139*VLOOKUP('Données projet'!$B$10,Paramètres!$A$1:$I$89,3,0)*0.475*44/12</f>
        <v>1.58717663998086</v>
      </c>
      <c r="AW139" s="21">
        <f>EXP(-LN(2)/2)*AW138+(1-EXP(-LN(2)/2))/(LN(2)/2)*AQ139*AT139*VLOOKUP('Données projet'!$B$10,Paramètres!$A$1:$I$89,3,0)*0.475*44/12</f>
        <v>4.1840380104312819E-3</v>
      </c>
      <c r="AX139" s="21">
        <f t="shared" si="114"/>
        <v>44.091494489492959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290.99999999999994</v>
      </c>
      <c r="BE139" s="13">
        <f>BD139*VLOOKUP('Données projet'!$B$11,Paramètres!$A$1:$I$89,3,0)*VLOOKUP('Données projet'!$B$11,Paramètres!$A$1:$I$89,5,0)</f>
        <v>276.91559999999993</v>
      </c>
      <c r="BF139" s="13">
        <f t="shared" si="145"/>
        <v>66.314766879144742</v>
      </c>
      <c r="BG139" s="20">
        <f t="shared" si="115"/>
        <v>597.79288898117682</v>
      </c>
      <c r="BH139" s="59">
        <f t="shared" si="116"/>
        <v>882.64241937606198</v>
      </c>
      <c r="BI139" s="59">
        <f ca="1">AVERAGE(OFFSET($BH$3,0,0,'Données projet'!$E$11+1,1))-AVERAGE(OFFSET($H$3,0,0,'Données projet'!$E$11+1,1))</f>
        <v>387.78453964980849</v>
      </c>
      <c r="BJ139" s="59">
        <f t="shared" si="146"/>
        <v>395.13533152274488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12.294461822244804</v>
      </c>
      <c r="BQ139" s="21">
        <f>EXP(-LN(2)/25)*BQ138+(1-EXP(-LN(2)/25))/(LN(2)/25)*Calculateur!BL139*Calculateur!BN139*VLOOKUP('Données projet'!$B$11,Paramètres!$A$1:$I$89,3,0)*0.475*44/12</f>
        <v>0.43908815691459258</v>
      </c>
      <c r="BR139" s="21">
        <f>EXP(-LN(2)/2)*BR138+(1-EXP(-LN(2)/2))/(LN(2)/2)*BL139*BO139*VLOOKUP('Données projet'!$B$11,Paramètres!$A$1:$I$89,3,0)*0.475*44/12</f>
        <v>1.6895519857373864E-10</v>
      </c>
      <c r="BS139" s="22">
        <f t="shared" si="117"/>
        <v>12.733549979328352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">
      <c r="A140" s="10">
        <f t="shared" si="139"/>
        <v>137</v>
      </c>
      <c r="B140" s="73">
        <f>'Scénario référence'!$B$16*5+'Scénario référence'!$B$17*0+'Scénario référence'!$B$18*5</f>
        <v>5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">
        <f t="shared" si="140"/>
        <v>0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18.333333333333332</v>
      </c>
      <c r="H140" s="67">
        <f t="shared" si="110"/>
        <v>183.33333333333334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295</v>
      </c>
      <c r="O140" s="13">
        <f>N140*VLOOKUP('Données projet'!$B$9,Paramètres!$A$1:$I$89,3,0)*VLOOKUP('Données projet'!$B$9,Paramètres!$A$1:$I$89,5,0)</f>
        <v>176.41000000000003</v>
      </c>
      <c r="P140" s="13">
        <f t="shared" si="141"/>
        <v>44.522543239204609</v>
      </c>
      <c r="Q140" s="20">
        <f t="shared" si="108"/>
        <v>384.79084614161474</v>
      </c>
      <c r="R140" s="59">
        <f t="shared" si="109"/>
        <v>669.78755155054012</v>
      </c>
      <c r="S140" s="59">
        <f ca="1">AVERAGE(OFFSET($R$3,0,0,'Données projet'!$E$9+1,1))-AVERAGE(OFFSET($H$3,0,0,'Données projet'!$E$9+1,1))</f>
        <v>219.4022220248072</v>
      </c>
      <c r="T140" s="59">
        <f t="shared" si="142"/>
        <v>199.30065726913725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6.9596846046003993</v>
      </c>
      <c r="AA140" s="21">
        <f>EXP(-LN(2)/25)*AA139+(1-EXP(-LN(2)/25))/(LN(2)/25)*Calculateur!V140*Calculateur!X140*VLOOKUP('Données projet'!$B$9,Paramètres!$A$1:$I$89,3,0)*0.475*44/12</f>
        <v>0.80202396072131066</v>
      </c>
      <c r="AB140" s="21">
        <f>EXP(-LN(2)/2)*AB139+(1-EXP(-LN(2)/2))/(LN(2)/2)*V140*Y140*VLOOKUP('Données projet'!$B$9,Paramètres!$A$1:$I$89,3,0)*0.475*44/12</f>
        <v>5.1017927827839333E-12</v>
      </c>
      <c r="AC140" s="22">
        <f t="shared" si="111"/>
        <v>7.7617085653268116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268.00000000000011</v>
      </c>
      <c r="AJ140" s="13">
        <f>AI140*VLOOKUP('Données projet'!$B$10,Paramètres!$A$1:$I$89,3,0)*VLOOKUP('Données projet'!$B$10,Paramètres!$A$1:$I$89,5,0)</f>
        <v>242.48640000000009</v>
      </c>
      <c r="AK140" s="13">
        <f t="shared" si="143"/>
        <v>58.974170235372476</v>
      </c>
      <c r="AL140" s="20">
        <f t="shared" si="112"/>
        <v>525.04382649327385</v>
      </c>
      <c r="AM140" s="59">
        <f t="shared" si="113"/>
        <v>810.04053190219929</v>
      </c>
      <c r="AN140" s="59">
        <f ca="1">AVERAGE(OFFSET($AM$3,0,0,'Données projet'!$E$10+1,1))-AVERAGE(OFFSET($H$3,0,0,'Données projet'!$E$10+1,1))</f>
        <v>406.64650428071837</v>
      </c>
      <c r="AO140" s="59">
        <f t="shared" si="144"/>
        <v>250.47702091764884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41.66673210998011</v>
      </c>
      <c r="AV140" s="21">
        <f>EXP(-LN(2)/25)*AV139+(1-EXP(-LN(2)/25))/(LN(2)/25)*Calculateur!AQ140*Calculateur!AS140*VLOOKUP('Données projet'!$B$10,Paramètres!$A$1:$I$89,3,0)*0.475*44/12</f>
        <v>1.5437752112945915</v>
      </c>
      <c r="AW140" s="21">
        <f>EXP(-LN(2)/2)*AW139+(1-EXP(-LN(2)/2))/(LN(2)/2)*AQ140*AT140*VLOOKUP('Données projet'!$B$10,Paramètres!$A$1:$I$89,3,0)*0.475*44/12</f>
        <v>2.9585616499182301E-3</v>
      </c>
      <c r="AX140" s="21">
        <f t="shared" si="114"/>
        <v>43.213465882924623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290.99999999999994</v>
      </c>
      <c r="BE140" s="13">
        <f>BD140*VLOOKUP('Données projet'!$B$11,Paramètres!$A$1:$I$89,3,0)*VLOOKUP('Données projet'!$B$11,Paramètres!$A$1:$I$89,5,0)</f>
        <v>276.91559999999993</v>
      </c>
      <c r="BF140" s="13">
        <f t="shared" si="145"/>
        <v>66.314766879144742</v>
      </c>
      <c r="BG140" s="20">
        <f t="shared" si="115"/>
        <v>597.79288898117682</v>
      </c>
      <c r="BH140" s="59">
        <f t="shared" si="116"/>
        <v>882.78959439010214</v>
      </c>
      <c r="BI140" s="59">
        <f ca="1">AVERAGE(OFFSET($BH$3,0,0,'Données projet'!$E$11+1,1))-AVERAGE(OFFSET($H$3,0,0,'Données projet'!$E$11+1,1))</f>
        <v>387.78453964980849</v>
      </c>
      <c r="BJ140" s="59">
        <f t="shared" si="146"/>
        <v>395.13533152274488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12.053374924791841</v>
      </c>
      <c r="BQ140" s="21">
        <f>EXP(-LN(2)/25)*BQ139+(1-EXP(-LN(2)/25))/(LN(2)/25)*Calculateur!BL140*Calculateur!BN140*VLOOKUP('Données projet'!$B$11,Paramètres!$A$1:$I$89,3,0)*0.475*44/12</f>
        <v>0.42708126817312042</v>
      </c>
      <c r="BR140" s="21">
        <f>EXP(-LN(2)/2)*BR139+(1-EXP(-LN(2)/2))/(LN(2)/2)*BL140*BO140*VLOOKUP('Données projet'!$B$11,Paramètres!$A$1:$I$89,3,0)*0.475*44/12</f>
        <v>1.1946936662821029E-10</v>
      </c>
      <c r="BS140" s="22">
        <f t="shared" si="117"/>
        <v>12.48045619308443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">
      <c r="A141" s="10">
        <f t="shared" si="139"/>
        <v>138</v>
      </c>
      <c r="B141" s="73">
        <f>'Scénario référence'!$B$16*5+'Scénario référence'!$B$17*0+'Scénario référence'!$B$18*5</f>
        <v>5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">
        <f t="shared" si="140"/>
        <v>0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18.333333333333332</v>
      </c>
      <c r="H141" s="67">
        <f t="shared" si="110"/>
        <v>183.33333333333334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295</v>
      </c>
      <c r="O141" s="13">
        <f>N141*VLOOKUP('Données projet'!$B$9,Paramètres!$A$1:$I$89,3,0)*VLOOKUP('Données projet'!$B$9,Paramètres!$A$1:$I$89,5,0)</f>
        <v>176.41000000000003</v>
      </c>
      <c r="P141" s="13">
        <f t="shared" si="141"/>
        <v>44.522543239204609</v>
      </c>
      <c r="Q141" s="20">
        <f t="shared" si="108"/>
        <v>384.79084614161474</v>
      </c>
      <c r="R141" s="59">
        <f t="shared" si="109"/>
        <v>669.93217340712067</v>
      </c>
      <c r="S141" s="59">
        <f ca="1">AVERAGE(OFFSET($R$3,0,0,'Données projet'!$E$9+1,1))-AVERAGE(OFFSET($H$3,0,0,'Données projet'!$E$9+1,1))</f>
        <v>219.4022220248072</v>
      </c>
      <c r="T141" s="59">
        <f t="shared" si="142"/>
        <v>199.30065726913725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6.8232094344926368</v>
      </c>
      <c r="AA141" s="21">
        <f>EXP(-LN(2)/25)*AA140+(1-EXP(-LN(2)/25))/(LN(2)/25)*Calculateur!V141*Calculateur!X141*VLOOKUP('Données projet'!$B$9,Paramètres!$A$1:$I$89,3,0)*0.475*44/12</f>
        <v>0.78009257333877935</v>
      </c>
      <c r="AB141" s="21">
        <f>EXP(-LN(2)/2)*AB140+(1-EXP(-LN(2)/2))/(LN(2)/2)*V141*Y141*VLOOKUP('Données projet'!$B$9,Paramètres!$A$1:$I$89,3,0)*0.475*44/12</f>
        <v>3.6075122729151066E-12</v>
      </c>
      <c r="AC141" s="22">
        <f t="shared" si="111"/>
        <v>7.6033020078350244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268.00000000000011</v>
      </c>
      <c r="AJ141" s="13">
        <f>AI141*VLOOKUP('Données projet'!$B$10,Paramètres!$A$1:$I$89,3,0)*VLOOKUP('Données projet'!$B$10,Paramètres!$A$1:$I$89,5,0)</f>
        <v>242.48640000000009</v>
      </c>
      <c r="AK141" s="13">
        <f t="shared" si="143"/>
        <v>58.974170235372476</v>
      </c>
      <c r="AL141" s="20">
        <f t="shared" si="112"/>
        <v>525.04382649327385</v>
      </c>
      <c r="AM141" s="59">
        <f t="shared" si="113"/>
        <v>810.18515375877973</v>
      </c>
      <c r="AN141" s="59">
        <f ca="1">AVERAGE(OFFSET($AM$3,0,0,'Données projet'!$E$10+1,1))-AVERAGE(OFFSET($H$3,0,0,'Données projet'!$E$10+1,1))</f>
        <v>406.64650428071837</v>
      </c>
      <c r="AO141" s="59">
        <f t="shared" si="144"/>
        <v>250.47702091764884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40.84967290750054</v>
      </c>
      <c r="AV141" s="21">
        <f>EXP(-LN(2)/25)*AV140+(1-EXP(-LN(2)/25))/(LN(2)/25)*Calculateur!AQ141*Calculateur!AS141*VLOOKUP('Données projet'!$B$10,Paramètres!$A$1:$I$89,3,0)*0.475*44/12</f>
        <v>1.5015605969581309</v>
      </c>
      <c r="AW141" s="21">
        <f>EXP(-LN(2)/2)*AW140+(1-EXP(-LN(2)/2))/(LN(2)/2)*AQ141*AT141*VLOOKUP('Données projet'!$B$10,Paramètres!$A$1:$I$89,3,0)*0.475*44/12</f>
        <v>2.0920190052156409E-3</v>
      </c>
      <c r="AX141" s="21">
        <f t="shared" si="114"/>
        <v>42.353325523463887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290.99999999999994</v>
      </c>
      <c r="BE141" s="13">
        <f>BD141*VLOOKUP('Données projet'!$B$11,Paramètres!$A$1:$I$89,3,0)*VLOOKUP('Données projet'!$B$11,Paramètres!$A$1:$I$89,5,0)</f>
        <v>276.91559999999993</v>
      </c>
      <c r="BF141" s="13">
        <f t="shared" si="145"/>
        <v>66.314766879144742</v>
      </c>
      <c r="BG141" s="20">
        <f t="shared" si="115"/>
        <v>597.79288898117682</v>
      </c>
      <c r="BH141" s="59">
        <f t="shared" si="116"/>
        <v>882.93421624668281</v>
      </c>
      <c r="BI141" s="59">
        <f ca="1">AVERAGE(OFFSET($BH$3,0,0,'Données projet'!$E$11+1,1))-AVERAGE(OFFSET($H$3,0,0,'Données projet'!$E$11+1,1))</f>
        <v>387.78453964980849</v>
      </c>
      <c r="BJ141" s="59">
        <f t="shared" si="146"/>
        <v>395.13533152274488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11.817015594349444</v>
      </c>
      <c r="BQ141" s="21">
        <f>EXP(-LN(2)/25)*BQ140+(1-EXP(-LN(2)/25))/(LN(2)/25)*Calculateur!BL141*Calculateur!BN141*VLOOKUP('Données projet'!$B$11,Paramètres!$A$1:$I$89,3,0)*0.475*44/12</f>
        <v>0.41540270843569865</v>
      </c>
      <c r="BR141" s="21">
        <f>EXP(-LN(2)/2)*BR140+(1-EXP(-LN(2)/2))/(LN(2)/2)*BL141*BO141*VLOOKUP('Données projet'!$B$11,Paramètres!$A$1:$I$89,3,0)*0.475*44/12</f>
        <v>8.4477599286869318E-11</v>
      </c>
      <c r="BS141" s="22">
        <f t="shared" si="117"/>
        <v>12.23241830286962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">
      <c r="A142" s="10">
        <f t="shared" si="139"/>
        <v>139</v>
      </c>
      <c r="B142" s="73">
        <f>'Scénario référence'!$B$16*5+'Scénario référence'!$B$17*0+'Scénario référence'!$B$18*5</f>
        <v>5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">
        <f t="shared" si="140"/>
        <v>0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18.333333333333332</v>
      </c>
      <c r="H142" s="67">
        <f t="shared" si="110"/>
        <v>183.33333333333334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295</v>
      </c>
      <c r="O142" s="13">
        <f>N142*VLOOKUP('Données projet'!$B$9,Paramètres!$A$1:$I$89,3,0)*VLOOKUP('Données projet'!$B$9,Paramètres!$A$1:$I$89,5,0)</f>
        <v>176.41000000000003</v>
      </c>
      <c r="P142" s="13">
        <f t="shared" si="141"/>
        <v>44.522543239204609</v>
      </c>
      <c r="Q142" s="20">
        <f t="shared" si="108"/>
        <v>384.79084614161474</v>
      </c>
      <c r="R142" s="59">
        <f t="shared" si="109"/>
        <v>670.07428639781563</v>
      </c>
      <c r="S142" s="59">
        <f ca="1">AVERAGE(OFFSET($R$3,0,0,'Données projet'!$E$9+1,1))-AVERAGE(OFFSET($H$3,0,0,'Données projet'!$E$9+1,1))</f>
        <v>219.4022220248072</v>
      </c>
      <c r="T142" s="59">
        <f t="shared" si="142"/>
        <v>199.30065726913725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6.6894104592290526</v>
      </c>
      <c r="AA142" s="21">
        <f>EXP(-LN(2)/25)*AA141+(1-EXP(-LN(2)/25))/(LN(2)/25)*Calculateur!V142*Calculateur!X142*VLOOKUP('Données projet'!$B$9,Paramètres!$A$1:$I$89,3,0)*0.475*44/12</f>
        <v>0.75876090089754489</v>
      </c>
      <c r="AB142" s="21">
        <f>EXP(-LN(2)/2)*AB141+(1-EXP(-LN(2)/2))/(LN(2)/2)*V142*Y142*VLOOKUP('Données projet'!$B$9,Paramètres!$A$1:$I$89,3,0)*0.475*44/12</f>
        <v>2.5508963913919671E-12</v>
      </c>
      <c r="AC142" s="22">
        <f t="shared" si="111"/>
        <v>7.4481713601291482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268.00000000000011</v>
      </c>
      <c r="AJ142" s="13">
        <f>AI142*VLOOKUP('Données projet'!$B$10,Paramètres!$A$1:$I$89,3,0)*VLOOKUP('Données projet'!$B$10,Paramètres!$A$1:$I$89,5,0)</f>
        <v>242.48640000000009</v>
      </c>
      <c r="AK142" s="13">
        <f t="shared" si="143"/>
        <v>58.974170235372476</v>
      </c>
      <c r="AL142" s="20">
        <f t="shared" si="112"/>
        <v>525.04382649327385</v>
      </c>
      <c r="AM142" s="59">
        <f t="shared" si="113"/>
        <v>810.3272667494748</v>
      </c>
      <c r="AN142" s="59">
        <f ca="1">AVERAGE(OFFSET($AM$3,0,0,'Données projet'!$E$10+1,1))-AVERAGE(OFFSET($H$3,0,0,'Données projet'!$E$10+1,1))</f>
        <v>406.64650428071837</v>
      </c>
      <c r="AO142" s="59">
        <f t="shared" si="144"/>
        <v>250.47702091764884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40.048635737624693</v>
      </c>
      <c r="AV142" s="21">
        <f>EXP(-LN(2)/25)*AV141+(1-EXP(-LN(2)/25))/(LN(2)/25)*Calculateur!AQ142*Calculateur!AS142*VLOOKUP('Données projet'!$B$10,Paramètres!$A$1:$I$89,3,0)*0.475*44/12</f>
        <v>1.4605003434706709</v>
      </c>
      <c r="AW142" s="21">
        <f>EXP(-LN(2)/2)*AW141+(1-EXP(-LN(2)/2))/(LN(2)/2)*AQ142*AT142*VLOOKUP('Données projet'!$B$10,Paramètres!$A$1:$I$89,3,0)*0.475*44/12</f>
        <v>1.479280824959115E-3</v>
      </c>
      <c r="AX142" s="21">
        <f t="shared" si="114"/>
        <v>41.510615361920323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290.99999999999994</v>
      </c>
      <c r="BE142" s="13">
        <f>BD142*VLOOKUP('Données projet'!$B$11,Paramètres!$A$1:$I$89,3,0)*VLOOKUP('Données projet'!$B$11,Paramètres!$A$1:$I$89,5,0)</f>
        <v>276.91559999999993</v>
      </c>
      <c r="BF142" s="13">
        <f t="shared" si="145"/>
        <v>66.314766879144742</v>
      </c>
      <c r="BG142" s="20">
        <f t="shared" si="115"/>
        <v>597.79288898117682</v>
      </c>
      <c r="BH142" s="59">
        <f t="shared" si="116"/>
        <v>883.07632923737765</v>
      </c>
      <c r="BI142" s="59">
        <f ca="1">AVERAGE(OFFSET($BH$3,0,0,'Données projet'!$E$11+1,1))-AVERAGE(OFFSET($H$3,0,0,'Données projet'!$E$11+1,1))</f>
        <v>387.78453964980849</v>
      </c>
      <c r="BJ142" s="59">
        <f t="shared" si="146"/>
        <v>395.13533152274488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11.585291126212066</v>
      </c>
      <c r="BQ142" s="21">
        <f>EXP(-LN(2)/25)*BQ141+(1-EXP(-LN(2)/25))/(LN(2)/25)*Calculateur!BL142*Calculateur!BN142*VLOOKUP('Données projet'!$B$11,Paramètres!$A$1:$I$89,3,0)*0.475*44/12</f>
        <v>0.40404349952844543</v>
      </c>
      <c r="BR142" s="21">
        <f>EXP(-LN(2)/2)*BR141+(1-EXP(-LN(2)/2))/(LN(2)/2)*BL142*BO142*VLOOKUP('Données projet'!$B$11,Paramètres!$A$1:$I$89,3,0)*0.475*44/12</f>
        <v>5.9734683314105144E-11</v>
      </c>
      <c r="BS142" s="22">
        <f t="shared" si="117"/>
        <v>11.989334625800247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">
      <c r="A143" s="10">
        <f t="shared" si="139"/>
        <v>140</v>
      </c>
      <c r="B143" s="73">
        <f>'Scénario référence'!$B$16*5+'Scénario référence'!$B$17*0+'Scénario référence'!$B$18*5</f>
        <v>5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">
        <f t="shared" si="140"/>
        <v>0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18.333333333333332</v>
      </c>
      <c r="H143" s="67">
        <f t="shared" si="110"/>
        <v>183.33333333333334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295</v>
      </c>
      <c r="O143" s="13">
        <f>N143*VLOOKUP('Données projet'!$B$9,Paramètres!$A$1:$I$89,3,0)*VLOOKUP('Données projet'!$B$9,Paramètres!$A$1:$I$89,5,0)</f>
        <v>176.41000000000003</v>
      </c>
      <c r="P143" s="13">
        <f t="shared" si="141"/>
        <v>44.522543239204609</v>
      </c>
      <c r="Q143" s="20">
        <f t="shared" si="108"/>
        <v>384.79084614161474</v>
      </c>
      <c r="R143" s="59">
        <f t="shared" si="109"/>
        <v>670.2139340458391</v>
      </c>
      <c r="S143" s="59">
        <f ca="1">AVERAGE(OFFSET($R$3,0,0,'Données projet'!$E$9+1,1))-AVERAGE(OFFSET($H$3,0,0,'Données projet'!$E$9+1,1))</f>
        <v>219.4022220248072</v>
      </c>
      <c r="T143" s="59">
        <f t="shared" si="142"/>
        <v>199.30065726913725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6.5582352002610707</v>
      </c>
      <c r="AA143" s="21">
        <f>EXP(-LN(2)/25)*AA142+(1-EXP(-LN(2)/25))/(LN(2)/25)*Calculateur!V143*Calculateur!X143*VLOOKUP('Données projet'!$B$9,Paramètres!$A$1:$I$89,3,0)*0.475*44/12</f>
        <v>0.73801254416099993</v>
      </c>
      <c r="AB143" s="21">
        <f>EXP(-LN(2)/2)*AB142+(1-EXP(-LN(2)/2))/(LN(2)/2)*V143*Y143*VLOOKUP('Données projet'!$B$9,Paramètres!$A$1:$I$89,3,0)*0.475*44/12</f>
        <v>1.8037561364575535E-12</v>
      </c>
      <c r="AC143" s="22">
        <f t="shared" si="111"/>
        <v>7.2962477444238747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268.00000000000011</v>
      </c>
      <c r="AJ143" s="13">
        <f>AI143*VLOOKUP('Données projet'!$B$10,Paramètres!$A$1:$I$89,3,0)*VLOOKUP('Données projet'!$B$10,Paramètres!$A$1:$I$89,5,0)</f>
        <v>242.48640000000009</v>
      </c>
      <c r="AK143" s="13">
        <f t="shared" si="143"/>
        <v>58.974170235372476</v>
      </c>
      <c r="AL143" s="20">
        <f t="shared" si="112"/>
        <v>525.04382649327385</v>
      </c>
      <c r="AM143" s="59">
        <f t="shared" si="113"/>
        <v>810.46691439749816</v>
      </c>
      <c r="AN143" s="59">
        <f ca="1">AVERAGE(OFFSET($AM$3,0,0,'Données projet'!$E$10+1,1))-AVERAGE(OFFSET($H$3,0,0,'Données projet'!$E$10+1,1))</f>
        <v>406.64650428071837</v>
      </c>
      <c r="AO143" s="59">
        <f t="shared" si="144"/>
        <v>250.47702091764884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39.263306418065682</v>
      </c>
      <c r="AV143" s="21">
        <f>EXP(-LN(2)/25)*AV142+(1-EXP(-LN(2)/25))/(LN(2)/25)*Calculateur!AQ143*Calculateur!AS143*VLOOKUP('Données projet'!$B$10,Paramètres!$A$1:$I$89,3,0)*0.475*44/12</f>
        <v>1.4205628847740903</v>
      </c>
      <c r="AW143" s="21">
        <f>EXP(-LN(2)/2)*AW142+(1-EXP(-LN(2)/2))/(LN(2)/2)*AQ143*AT143*VLOOKUP('Données projet'!$B$10,Paramètres!$A$1:$I$89,3,0)*0.475*44/12</f>
        <v>1.0460095026078205E-3</v>
      </c>
      <c r="AX143" s="21">
        <f t="shared" si="114"/>
        <v>40.684915312342383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290.99999999999994</v>
      </c>
      <c r="BE143" s="13">
        <f>BD143*VLOOKUP('Données projet'!$B$11,Paramètres!$A$1:$I$89,3,0)*VLOOKUP('Données projet'!$B$11,Paramètres!$A$1:$I$89,5,0)</f>
        <v>276.91559999999993</v>
      </c>
      <c r="BF143" s="13">
        <f t="shared" si="145"/>
        <v>66.314766879144742</v>
      </c>
      <c r="BG143" s="20">
        <f t="shared" si="115"/>
        <v>597.79288898117682</v>
      </c>
      <c r="BH143" s="59">
        <f t="shared" si="116"/>
        <v>883.21597688540123</v>
      </c>
      <c r="BI143" s="59">
        <f ca="1">AVERAGE(OFFSET($BH$3,0,0,'Données projet'!$E$11+1,1))-AVERAGE(OFFSET($H$3,0,0,'Données projet'!$E$11+1,1))</f>
        <v>387.78453964980849</v>
      </c>
      <c r="BJ143" s="59">
        <f t="shared" si="146"/>
        <v>395.13533152274488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11.358110633556892</v>
      </c>
      <c r="BQ143" s="21">
        <f>EXP(-LN(2)/25)*BQ142+(1-EXP(-LN(2)/25))/(LN(2)/25)*Calculateur!BL143*Calculateur!BN143*VLOOKUP('Données projet'!$B$11,Paramètres!$A$1:$I$89,3,0)*0.475*44/12</f>
        <v>0.39299490878611593</v>
      </c>
      <c r="BR143" s="21">
        <f>EXP(-LN(2)/2)*BR142+(1-EXP(-LN(2)/2))/(LN(2)/2)*BL143*BO143*VLOOKUP('Données projet'!$B$11,Paramètres!$A$1:$I$89,3,0)*0.475*44/12</f>
        <v>4.2238799643434659E-11</v>
      </c>
      <c r="BS143" s="22">
        <f t="shared" si="117"/>
        <v>11.751105542385247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">
      <c r="A144" s="10">
        <f t="shared" si="139"/>
        <v>141</v>
      </c>
      <c r="B144" s="73">
        <f>'Scénario référence'!$B$16*5+'Scénario référence'!$B$17*0+'Scénario référence'!$B$18*5</f>
        <v>5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">
        <f t="shared" si="140"/>
        <v>0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18.333333333333332</v>
      </c>
      <c r="H144" s="67">
        <f t="shared" si="110"/>
        <v>183.33333333333334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295</v>
      </c>
      <c r="O144" s="13">
        <f>N144*VLOOKUP('Données projet'!$B$9,Paramètres!$A$1:$I$89,3,0)*VLOOKUP('Données projet'!$B$9,Paramètres!$A$1:$I$89,5,0)</f>
        <v>176.41000000000003</v>
      </c>
      <c r="P144" s="13">
        <f t="shared" si="141"/>
        <v>44.522543239204609</v>
      </c>
      <c r="Q144" s="20">
        <f t="shared" si="108"/>
        <v>384.79084614161474</v>
      </c>
      <c r="R144" s="59">
        <f t="shared" si="109"/>
        <v>670.35115911937476</v>
      </c>
      <c r="S144" s="59">
        <f ca="1">AVERAGE(OFFSET($R$3,0,0,'Données projet'!$E$9+1,1))-AVERAGE(OFFSET($H$3,0,0,'Données projet'!$E$9+1,1))</f>
        <v>219.4022220248072</v>
      </c>
      <c r="T144" s="59">
        <f t="shared" si="142"/>
        <v>199.30065726913725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6.4296322081124435</v>
      </c>
      <c r="AA144" s="21">
        <f>EXP(-LN(2)/25)*AA143+(1-EXP(-LN(2)/25))/(LN(2)/25)*Calculateur!V144*Calculateur!X144*VLOOKUP('Données projet'!$B$9,Paramètres!$A$1:$I$89,3,0)*0.475*44/12</f>
        <v>0.71783155233052443</v>
      </c>
      <c r="AB144" s="21">
        <f>EXP(-LN(2)/2)*AB143+(1-EXP(-LN(2)/2))/(LN(2)/2)*V144*Y144*VLOOKUP('Données projet'!$B$9,Paramètres!$A$1:$I$89,3,0)*0.475*44/12</f>
        <v>1.2754481956959837E-12</v>
      </c>
      <c r="AC144" s="22">
        <f t="shared" si="111"/>
        <v>7.1474637604442437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268.00000000000011</v>
      </c>
      <c r="AJ144" s="13">
        <f>AI144*VLOOKUP('Données projet'!$B$10,Paramètres!$A$1:$I$89,3,0)*VLOOKUP('Données projet'!$B$10,Paramètres!$A$1:$I$89,5,0)</f>
        <v>242.48640000000009</v>
      </c>
      <c r="AK144" s="13">
        <f t="shared" si="143"/>
        <v>58.974170235372476</v>
      </c>
      <c r="AL144" s="20">
        <f t="shared" si="112"/>
        <v>525.04382649327385</v>
      </c>
      <c r="AM144" s="59">
        <f t="shared" si="113"/>
        <v>810.60413947103393</v>
      </c>
      <c r="AN144" s="59">
        <f ca="1">AVERAGE(OFFSET($AM$3,0,0,'Données projet'!$E$10+1,1))-AVERAGE(OFFSET($H$3,0,0,'Données projet'!$E$10+1,1))</f>
        <v>406.64650428071837</v>
      </c>
      <c r="AO144" s="59">
        <f t="shared" si="144"/>
        <v>250.47702091764884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38.493376927459636</v>
      </c>
      <c r="AV144" s="21">
        <f>EXP(-LN(2)/25)*AV143+(1-EXP(-LN(2)/25))/(LN(2)/25)*Calculateur!AQ144*Calculateur!AS144*VLOOKUP('Données projet'!$B$10,Paramètres!$A$1:$I$89,3,0)*0.475*44/12</f>
        <v>1.3817175179857875</v>
      </c>
      <c r="AW144" s="21">
        <f>EXP(-LN(2)/2)*AW143+(1-EXP(-LN(2)/2))/(LN(2)/2)*AQ144*AT144*VLOOKUP('Données projet'!$B$10,Paramètres!$A$1:$I$89,3,0)*0.475*44/12</f>
        <v>7.3964041247955752E-4</v>
      </c>
      <c r="AX144" s="21">
        <f t="shared" si="114"/>
        <v>39.875834085857896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290.99999999999994</v>
      </c>
      <c r="BE144" s="13">
        <f>BD144*VLOOKUP('Données projet'!$B$11,Paramètres!$A$1:$I$89,3,0)*VLOOKUP('Données projet'!$B$11,Paramètres!$A$1:$I$89,5,0)</f>
        <v>276.91559999999993</v>
      </c>
      <c r="BF144" s="13">
        <f t="shared" si="145"/>
        <v>66.314766879144742</v>
      </c>
      <c r="BG144" s="20">
        <f t="shared" si="115"/>
        <v>597.79288898117682</v>
      </c>
      <c r="BH144" s="59">
        <f t="shared" si="116"/>
        <v>883.35320195893678</v>
      </c>
      <c r="BI144" s="59">
        <f ca="1">AVERAGE(OFFSET($BH$3,0,0,'Données projet'!$E$11+1,1))-AVERAGE(OFFSET($H$3,0,0,'Données projet'!$E$11+1,1))</f>
        <v>387.78453964980849</v>
      </c>
      <c r="BJ144" s="59">
        <f t="shared" si="146"/>
        <v>395.13533152274488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11.135385011796268</v>
      </c>
      <c r="BQ144" s="21">
        <f>EXP(-LN(2)/25)*BQ143+(1-EXP(-LN(2)/25))/(LN(2)/25)*Calculateur!BL144*Calculateur!BN144*VLOOKUP('Données projet'!$B$11,Paramètres!$A$1:$I$89,3,0)*0.475*44/12</f>
        <v>0.38224844233865551</v>
      </c>
      <c r="BR144" s="21">
        <f>EXP(-LN(2)/2)*BR143+(1-EXP(-LN(2)/2))/(LN(2)/2)*BL144*BO144*VLOOKUP('Données projet'!$B$11,Paramètres!$A$1:$I$89,3,0)*0.475*44/12</f>
        <v>2.9867341657052572E-11</v>
      </c>
      <c r="BS144" s="22">
        <f t="shared" si="117"/>
        <v>11.517633454164791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">
      <c r="A145" s="10">
        <f t="shared" si="139"/>
        <v>142</v>
      </c>
      <c r="B145" s="73">
        <f>'Scénario référence'!$B$16*5+'Scénario référence'!$B$17*0+'Scénario référence'!$B$18*5</f>
        <v>5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">
        <f t="shared" si="140"/>
        <v>0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18.333333333333332</v>
      </c>
      <c r="H145" s="67">
        <f t="shared" si="110"/>
        <v>183.33333333333334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295</v>
      </c>
      <c r="O145" s="13">
        <f>N145*VLOOKUP('Données projet'!$B$9,Paramètres!$A$1:$I$89,3,0)*VLOOKUP('Données projet'!$B$9,Paramètres!$A$1:$I$89,5,0)</f>
        <v>176.41000000000003</v>
      </c>
      <c r="P145" s="13">
        <f t="shared" si="141"/>
        <v>44.522543239204609</v>
      </c>
      <c r="Q145" s="20">
        <f t="shared" si="108"/>
        <v>384.79084614161474</v>
      </c>
      <c r="R145" s="59">
        <f t="shared" si="109"/>
        <v>670.48600364467381</v>
      </c>
      <c r="S145" s="59">
        <f ca="1">AVERAGE(OFFSET($R$3,0,0,'Données projet'!$E$9+1,1))-AVERAGE(OFFSET($H$3,0,0,'Données projet'!$E$9+1,1))</f>
        <v>219.4022220248072</v>
      </c>
      <c r="T145" s="59">
        <f t="shared" si="142"/>
        <v>199.30065726913725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6.3035510421997705</v>
      </c>
      <c r="AA145" s="21">
        <f>EXP(-LN(2)/25)*AA144+(1-EXP(-LN(2)/25))/(LN(2)/25)*Calculateur!V145*Calculateur!X145*VLOOKUP('Données projet'!$B$9,Paramètres!$A$1:$I$89,3,0)*0.475*44/12</f>
        <v>0.69820241078292555</v>
      </c>
      <c r="AB145" s="21">
        <f>EXP(-LN(2)/2)*AB144+(1-EXP(-LN(2)/2))/(LN(2)/2)*V145*Y145*VLOOKUP('Données projet'!$B$9,Paramètres!$A$1:$I$89,3,0)*0.475*44/12</f>
        <v>9.0187806822877684E-13</v>
      </c>
      <c r="AC145" s="22">
        <f t="shared" si="111"/>
        <v>7.0017534529835972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268.00000000000011</v>
      </c>
      <c r="AJ145" s="13">
        <f>AI145*VLOOKUP('Données projet'!$B$10,Paramètres!$A$1:$I$89,3,0)*VLOOKUP('Données projet'!$B$10,Paramètres!$A$1:$I$89,5,0)</f>
        <v>242.48640000000009</v>
      </c>
      <c r="AK145" s="13">
        <f t="shared" si="143"/>
        <v>58.974170235372476</v>
      </c>
      <c r="AL145" s="20">
        <f t="shared" si="112"/>
        <v>525.04382649327385</v>
      </c>
      <c r="AM145" s="59">
        <f t="shared" si="113"/>
        <v>810.73898399633299</v>
      </c>
      <c r="AN145" s="59">
        <f ca="1">AVERAGE(OFFSET($AM$3,0,0,'Données projet'!$E$10+1,1))-AVERAGE(OFFSET($H$3,0,0,'Données projet'!$E$10+1,1))</f>
        <v>406.64650428071837</v>
      </c>
      <c r="AO145" s="59">
        <f t="shared" si="144"/>
        <v>250.47702091764884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37.738545284553751</v>
      </c>
      <c r="AV145" s="21">
        <f>EXP(-LN(2)/25)*AV144+(1-EXP(-LN(2)/25))/(LN(2)/25)*Calculateur!AQ145*Calculateur!AS145*VLOOKUP('Données projet'!$B$10,Paramètres!$A$1:$I$89,3,0)*0.475*44/12</f>
        <v>1.3439343797950998</v>
      </c>
      <c r="AW145" s="21">
        <f>EXP(-LN(2)/2)*AW144+(1-EXP(-LN(2)/2))/(LN(2)/2)*AQ145*AT145*VLOOKUP('Données projet'!$B$10,Paramètres!$A$1:$I$89,3,0)*0.475*44/12</f>
        <v>5.2300475130391023E-4</v>
      </c>
      <c r="AX145" s="21">
        <f t="shared" si="114"/>
        <v>39.083002669100154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290.99999999999994</v>
      </c>
      <c r="BE145" s="13">
        <f>BD145*VLOOKUP('Données projet'!$B$11,Paramètres!$A$1:$I$89,3,0)*VLOOKUP('Données projet'!$B$11,Paramètres!$A$1:$I$89,5,0)</f>
        <v>276.91559999999993</v>
      </c>
      <c r="BF145" s="13">
        <f t="shared" si="145"/>
        <v>66.314766879144742</v>
      </c>
      <c r="BG145" s="20">
        <f t="shared" si="115"/>
        <v>597.79288898117682</v>
      </c>
      <c r="BH145" s="59">
        <f t="shared" si="116"/>
        <v>883.48804648423584</v>
      </c>
      <c r="BI145" s="59">
        <f ca="1">AVERAGE(OFFSET($BH$3,0,0,'Données projet'!$E$11+1,1))-AVERAGE(OFFSET($H$3,0,0,'Données projet'!$E$11+1,1))</f>
        <v>387.78453964980849</v>
      </c>
      <c r="BJ145" s="59">
        <f t="shared" si="146"/>
        <v>395.13533152274488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10.917026903629155</v>
      </c>
      <c r="BQ145" s="21">
        <f>EXP(-LN(2)/25)*BQ144+(1-EXP(-LN(2)/25))/(LN(2)/25)*Calculateur!BL145*Calculateur!BN145*VLOOKUP('Données projet'!$B$11,Paramètres!$A$1:$I$89,3,0)*0.475*44/12</f>
        <v>0.37179583858133303</v>
      </c>
      <c r="BR145" s="21">
        <f>EXP(-LN(2)/2)*BR144+(1-EXP(-LN(2)/2))/(LN(2)/2)*BL145*BO145*VLOOKUP('Données projet'!$B$11,Paramètres!$A$1:$I$89,3,0)*0.475*44/12</f>
        <v>2.1119399821717329E-11</v>
      </c>
      <c r="BS145" s="22">
        <f t="shared" si="117"/>
        <v>11.288822742231607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">
      <c r="A146" s="10">
        <f t="shared" si="139"/>
        <v>143</v>
      </c>
      <c r="B146" s="73">
        <f>'Scénario référence'!$B$16*5+'Scénario référence'!$B$17*0+'Scénario référence'!$B$18*5</f>
        <v>5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">
        <f t="shared" si="140"/>
        <v>0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18.333333333333332</v>
      </c>
      <c r="H146" s="67">
        <f t="shared" si="110"/>
        <v>183.33333333333334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295</v>
      </c>
      <c r="O146" s="13">
        <f>N146*VLOOKUP('Données projet'!$B$9,Paramètres!$A$1:$I$89,3,0)*VLOOKUP('Données projet'!$B$9,Paramètres!$A$1:$I$89,5,0)</f>
        <v>176.41000000000003</v>
      </c>
      <c r="P146" s="13">
        <f t="shared" si="141"/>
        <v>44.522543239204609</v>
      </c>
      <c r="Q146" s="20">
        <f t="shared" si="108"/>
        <v>384.79084614161474</v>
      </c>
      <c r="R146" s="59">
        <f t="shared" si="109"/>
        <v>670.61850891892618</v>
      </c>
      <c r="S146" s="59">
        <f ca="1">AVERAGE(OFFSET($R$3,0,0,'Données projet'!$E$9+1,1))-AVERAGE(OFFSET($H$3,0,0,'Données projet'!$E$9+1,1))</f>
        <v>219.4022220248072</v>
      </c>
      <c r="T146" s="59">
        <f t="shared" si="142"/>
        <v>199.30065726913725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6.1799422510487272</v>
      </c>
      <c r="AA146" s="21">
        <f>EXP(-LN(2)/25)*AA145+(1-EXP(-LN(2)/25))/(LN(2)/25)*Calculateur!V146*Calculateur!X146*VLOOKUP('Données projet'!$B$9,Paramètres!$A$1:$I$89,3,0)*0.475*44/12</f>
        <v>0.6791100291431974</v>
      </c>
      <c r="AB146" s="21">
        <f>EXP(-LN(2)/2)*AB145+(1-EXP(-LN(2)/2))/(LN(2)/2)*V146*Y146*VLOOKUP('Données projet'!$B$9,Paramètres!$A$1:$I$89,3,0)*0.475*44/12</f>
        <v>6.3772409784799197E-13</v>
      </c>
      <c r="AC146" s="22">
        <f t="shared" si="111"/>
        <v>6.8590522801925626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268.00000000000011</v>
      </c>
      <c r="AJ146" s="13">
        <f>AI146*VLOOKUP('Données projet'!$B$10,Paramètres!$A$1:$I$89,3,0)*VLOOKUP('Données projet'!$B$10,Paramètres!$A$1:$I$89,5,0)</f>
        <v>242.48640000000009</v>
      </c>
      <c r="AK146" s="13">
        <f t="shared" si="143"/>
        <v>58.974170235372476</v>
      </c>
      <c r="AL146" s="20">
        <f t="shared" si="112"/>
        <v>525.04382649327385</v>
      </c>
      <c r="AM146" s="59">
        <f t="shared" si="113"/>
        <v>810.87148927058524</v>
      </c>
      <c r="AN146" s="59">
        <f ca="1">AVERAGE(OFFSET($AM$3,0,0,'Données projet'!$E$10+1,1))-AVERAGE(OFFSET($H$3,0,0,'Données projet'!$E$10+1,1))</f>
        <v>406.64650428071837</v>
      </c>
      <c r="AO146" s="59">
        <f t="shared" si="144"/>
        <v>250.47702091764884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36.998515429763415</v>
      </c>
      <c r="AV146" s="21">
        <f>EXP(-LN(2)/25)*AV145+(1-EXP(-LN(2)/25))/(LN(2)/25)*Calculateur!AQ146*Calculateur!AS146*VLOOKUP('Données projet'!$B$10,Paramètres!$A$1:$I$89,3,0)*0.475*44/12</f>
        <v>1.3071844235051653</v>
      </c>
      <c r="AW146" s="21">
        <f>EXP(-LN(2)/2)*AW145+(1-EXP(-LN(2)/2))/(LN(2)/2)*AQ146*AT146*VLOOKUP('Données projet'!$B$10,Paramètres!$A$1:$I$89,3,0)*0.475*44/12</f>
        <v>3.6982020623977876E-4</v>
      </c>
      <c r="AX146" s="21">
        <f t="shared" si="114"/>
        <v>38.306069673474816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290.99999999999994</v>
      </c>
      <c r="BE146" s="13">
        <f>BD146*VLOOKUP('Données projet'!$B$11,Paramètres!$A$1:$I$89,3,0)*VLOOKUP('Données projet'!$B$11,Paramètres!$A$1:$I$89,5,0)</f>
        <v>276.91559999999993</v>
      </c>
      <c r="BF146" s="13">
        <f t="shared" si="145"/>
        <v>66.314766879144742</v>
      </c>
      <c r="BG146" s="20">
        <f t="shared" si="115"/>
        <v>597.79288898117682</v>
      </c>
      <c r="BH146" s="59">
        <f t="shared" si="116"/>
        <v>883.62055175848832</v>
      </c>
      <c r="BI146" s="59">
        <f ca="1">AVERAGE(OFFSET($BH$3,0,0,'Données projet'!$E$11+1,1))-AVERAGE(OFFSET($H$3,0,0,'Données projet'!$E$11+1,1))</f>
        <v>387.78453964980849</v>
      </c>
      <c r="BJ146" s="59">
        <f t="shared" si="146"/>
        <v>395.13533152274488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10.702950664777903</v>
      </c>
      <c r="BQ146" s="21">
        <f>EXP(-LN(2)/25)*BQ145+(1-EXP(-LN(2)/25))/(LN(2)/25)*Calculateur!BL146*Calculateur!BN146*VLOOKUP('Données projet'!$B$11,Paramètres!$A$1:$I$89,3,0)*0.475*44/12</f>
        <v>0.36162906182343307</v>
      </c>
      <c r="BR146" s="21">
        <f>EXP(-LN(2)/2)*BR145+(1-EXP(-LN(2)/2))/(LN(2)/2)*BL146*BO146*VLOOKUP('Données projet'!$B$11,Paramètres!$A$1:$I$89,3,0)*0.475*44/12</f>
        <v>1.4933670828526286E-11</v>
      </c>
      <c r="BS146" s="22">
        <f t="shared" si="117"/>
        <v>11.06457972661627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">
      <c r="A147" s="10">
        <f t="shared" si="139"/>
        <v>144</v>
      </c>
      <c r="B147" s="73">
        <f>'Scénario référence'!$B$16*5+'Scénario référence'!$B$17*0+'Scénario référence'!$B$18*5</f>
        <v>5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">
        <f t="shared" si="140"/>
        <v>0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18.333333333333332</v>
      </c>
      <c r="H147" s="67">
        <f t="shared" si="110"/>
        <v>183.33333333333334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295</v>
      </c>
      <c r="O147" s="13">
        <f>N147*VLOOKUP('Données projet'!$B$9,Paramètres!$A$1:$I$89,3,0)*VLOOKUP('Données projet'!$B$9,Paramètres!$A$1:$I$89,5,0)</f>
        <v>176.41000000000003</v>
      </c>
      <c r="P147" s="13">
        <f t="shared" si="141"/>
        <v>44.522543239204609</v>
      </c>
      <c r="Q147" s="20">
        <f t="shared" si="108"/>
        <v>384.79084614161474</v>
      </c>
      <c r="R147" s="59">
        <f t="shared" si="109"/>
        <v>670.74871552290756</v>
      </c>
      <c r="S147" s="59">
        <f ca="1">AVERAGE(OFFSET($R$3,0,0,'Données projet'!$E$9+1,1))-AVERAGE(OFFSET($H$3,0,0,'Données projet'!$E$9+1,1))</f>
        <v>219.4022220248072</v>
      </c>
      <c r="T147" s="59">
        <f t="shared" si="142"/>
        <v>199.30065726913725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6.0587573528982386</v>
      </c>
      <c r="AA147" s="21">
        <f>EXP(-LN(2)/25)*AA146+(1-EXP(-LN(2)/25))/(LN(2)/25)*Calculateur!V147*Calculateur!X147*VLOOKUP('Données projet'!$B$9,Paramètres!$A$1:$I$89,3,0)*0.475*44/12</f>
        <v>0.66053972968343233</v>
      </c>
      <c r="AB147" s="21">
        <f>EXP(-LN(2)/2)*AB146+(1-EXP(-LN(2)/2))/(LN(2)/2)*V147*Y147*VLOOKUP('Données projet'!$B$9,Paramètres!$A$1:$I$89,3,0)*0.475*44/12</f>
        <v>4.5093903411438852E-13</v>
      </c>
      <c r="AC147" s="22">
        <f t="shared" si="111"/>
        <v>6.7192970825821217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268.00000000000011</v>
      </c>
      <c r="AJ147" s="13">
        <f>AI147*VLOOKUP('Données projet'!$B$10,Paramètres!$A$1:$I$89,3,0)*VLOOKUP('Données projet'!$B$10,Paramètres!$A$1:$I$89,5,0)</f>
        <v>242.48640000000009</v>
      </c>
      <c r="AK147" s="13">
        <f t="shared" si="143"/>
        <v>58.974170235372476</v>
      </c>
      <c r="AL147" s="20">
        <f t="shared" si="112"/>
        <v>525.04382649327385</v>
      </c>
      <c r="AM147" s="59">
        <f t="shared" si="113"/>
        <v>811.00169587456674</v>
      </c>
      <c r="AN147" s="59">
        <f ca="1">AVERAGE(OFFSET($AM$3,0,0,'Données projet'!$E$10+1,1))-AVERAGE(OFFSET($H$3,0,0,'Données projet'!$E$10+1,1))</f>
        <v>406.64650428071837</v>
      </c>
      <c r="AO147" s="59">
        <f t="shared" si="144"/>
        <v>250.47702091764884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36.272997109051872</v>
      </c>
      <c r="AV147" s="21">
        <f>EXP(-LN(2)/25)*AV146+(1-EXP(-LN(2)/25))/(LN(2)/25)*Calculateur!AQ147*Calculateur!AS147*VLOOKUP('Données projet'!$B$10,Paramètres!$A$1:$I$89,3,0)*0.475*44/12</f>
        <v>1.2714393967025752</v>
      </c>
      <c r="AW147" s="21">
        <f>EXP(-LN(2)/2)*AW146+(1-EXP(-LN(2)/2))/(LN(2)/2)*AQ147*AT147*VLOOKUP('Données projet'!$B$10,Paramètres!$A$1:$I$89,3,0)*0.475*44/12</f>
        <v>2.6150237565195512E-4</v>
      </c>
      <c r="AX147" s="21">
        <f t="shared" si="114"/>
        <v>37.544698008130098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290.99999999999994</v>
      </c>
      <c r="BE147" s="13">
        <f>BD147*VLOOKUP('Données projet'!$B$11,Paramètres!$A$1:$I$89,3,0)*VLOOKUP('Données projet'!$B$11,Paramètres!$A$1:$I$89,5,0)</f>
        <v>276.91559999999993</v>
      </c>
      <c r="BF147" s="13">
        <f t="shared" si="145"/>
        <v>66.314766879144742</v>
      </c>
      <c r="BG147" s="20">
        <f t="shared" si="115"/>
        <v>597.79288898117682</v>
      </c>
      <c r="BH147" s="59">
        <f t="shared" si="116"/>
        <v>883.7507583624697</v>
      </c>
      <c r="BI147" s="59">
        <f ca="1">AVERAGE(OFFSET($BH$3,0,0,'Données projet'!$E$11+1,1))-AVERAGE(OFFSET($H$3,0,0,'Données projet'!$E$11+1,1))</f>
        <v>387.78453964980849</v>
      </c>
      <c r="BJ147" s="59">
        <f t="shared" si="146"/>
        <v>395.13533152274488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10.493072330396913</v>
      </c>
      <c r="BQ147" s="21">
        <f>EXP(-LN(2)/25)*BQ146+(1-EXP(-LN(2)/25))/(LN(2)/25)*Calculateur!BL147*Calculateur!BN147*VLOOKUP('Données projet'!$B$11,Paramètres!$A$1:$I$89,3,0)*0.475*44/12</f>
        <v>0.35174029611062546</v>
      </c>
      <c r="BR147" s="21">
        <f>EXP(-LN(2)/2)*BR146+(1-EXP(-LN(2)/2))/(LN(2)/2)*BL147*BO147*VLOOKUP('Données projet'!$B$11,Paramètres!$A$1:$I$89,3,0)*0.475*44/12</f>
        <v>1.0559699910858665E-11</v>
      </c>
      <c r="BS147" s="22">
        <f t="shared" si="117"/>
        <v>10.844812626518099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">
      <c r="A148" s="10">
        <f t="shared" si="139"/>
        <v>145</v>
      </c>
      <c r="B148" s="73">
        <f>'Scénario référence'!$B$16*5+'Scénario référence'!$B$17*0+'Scénario référence'!$B$18*5</f>
        <v>5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">
        <f t="shared" si="140"/>
        <v>0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18.333333333333332</v>
      </c>
      <c r="H148" s="67">
        <f t="shared" si="110"/>
        <v>183.33333333333334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295</v>
      </c>
      <c r="O148" s="13">
        <f>N148*VLOOKUP('Données projet'!$B$9,Paramètres!$A$1:$I$89,3,0)*VLOOKUP('Données projet'!$B$9,Paramètres!$A$1:$I$89,5,0)</f>
        <v>176.41000000000003</v>
      </c>
      <c r="P148" s="13">
        <f t="shared" si="141"/>
        <v>44.522543239204609</v>
      </c>
      <c r="Q148" s="20">
        <f t="shared" si="108"/>
        <v>384.79084614161474</v>
      </c>
      <c r="R148" s="59">
        <f t="shared" si="109"/>
        <v>670.87666333340826</v>
      </c>
      <c r="S148" s="59">
        <f ca="1">AVERAGE(OFFSET($R$3,0,0,'Données projet'!$E$9+1,1))-AVERAGE(OFFSET($H$3,0,0,'Données projet'!$E$9+1,1))</f>
        <v>219.4022220248072</v>
      </c>
      <c r="T148" s="59">
        <f t="shared" si="142"/>
        <v>199.30065726913725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5.939948816684991</v>
      </c>
      <c r="AA148" s="21">
        <f>EXP(-LN(2)/25)*AA147+(1-EXP(-LN(2)/25))/(LN(2)/25)*Calculateur!V148*Calculateur!X148*VLOOKUP('Données projet'!$B$9,Paramètres!$A$1:$I$89,3,0)*0.475*44/12</f>
        <v>0.64247723603896423</v>
      </c>
      <c r="AB148" s="21">
        <f>EXP(-LN(2)/2)*AB147+(1-EXP(-LN(2)/2))/(LN(2)/2)*V148*Y148*VLOOKUP('Données projet'!$B$9,Paramètres!$A$1:$I$89,3,0)*0.475*44/12</f>
        <v>3.1886204892399604E-13</v>
      </c>
      <c r="AC148" s="22">
        <f t="shared" si="111"/>
        <v>6.5824260527242737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268.00000000000011</v>
      </c>
      <c r="AJ148" s="13">
        <f>AI148*VLOOKUP('Données projet'!$B$10,Paramètres!$A$1:$I$89,3,0)*VLOOKUP('Données projet'!$B$10,Paramètres!$A$1:$I$89,5,0)</f>
        <v>242.48640000000009</v>
      </c>
      <c r="AK148" s="13">
        <f t="shared" si="143"/>
        <v>58.974170235372476</v>
      </c>
      <c r="AL148" s="20">
        <f t="shared" si="112"/>
        <v>525.04382649327385</v>
      </c>
      <c r="AM148" s="59">
        <f t="shared" si="113"/>
        <v>811.12964368506744</v>
      </c>
      <c r="AN148" s="59">
        <f ca="1">AVERAGE(OFFSET($AM$3,0,0,'Données projet'!$E$10+1,1))-AVERAGE(OFFSET($H$3,0,0,'Données projet'!$E$10+1,1))</f>
        <v>406.64650428071837</v>
      </c>
      <c r="AO148" s="59">
        <f t="shared" si="144"/>
        <v>250.47702091764884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35.561705760087001</v>
      </c>
      <c r="AV148" s="21">
        <f>EXP(-LN(2)/25)*AV147+(1-EXP(-LN(2)/25))/(LN(2)/25)*Calculateur!AQ148*Calculateur!AS148*VLOOKUP('Données projet'!$B$10,Paramètres!$A$1:$I$89,3,0)*0.475*44/12</f>
        <v>1.2366718195376514</v>
      </c>
      <c r="AW148" s="21">
        <f>EXP(-LN(2)/2)*AW147+(1-EXP(-LN(2)/2))/(LN(2)/2)*AQ148*AT148*VLOOKUP('Données projet'!$B$10,Paramètres!$A$1:$I$89,3,0)*0.475*44/12</f>
        <v>1.8491010311988938E-4</v>
      </c>
      <c r="AX148" s="21">
        <f t="shared" si="114"/>
        <v>36.798562489727779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290.99999999999994</v>
      </c>
      <c r="BE148" s="13">
        <f>BD148*VLOOKUP('Données projet'!$B$11,Paramètres!$A$1:$I$89,3,0)*VLOOKUP('Données projet'!$B$11,Paramètres!$A$1:$I$89,5,0)</f>
        <v>276.91559999999993</v>
      </c>
      <c r="BF148" s="13">
        <f t="shared" si="145"/>
        <v>66.314766879144742</v>
      </c>
      <c r="BG148" s="20">
        <f t="shared" si="115"/>
        <v>597.79288898117682</v>
      </c>
      <c r="BH148" s="59">
        <f t="shared" si="116"/>
        <v>883.8787061729704</v>
      </c>
      <c r="BI148" s="59">
        <f ca="1">AVERAGE(OFFSET($BH$3,0,0,'Données projet'!$E$11+1,1))-AVERAGE(OFFSET($H$3,0,0,'Données projet'!$E$11+1,1))</f>
        <v>387.78453964980849</v>
      </c>
      <c r="BJ148" s="59">
        <f t="shared" si="146"/>
        <v>395.13533152274488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10.28730958213999</v>
      </c>
      <c r="BQ148" s="21">
        <f>EXP(-LN(2)/25)*BQ147+(1-EXP(-LN(2)/25))/(LN(2)/25)*Calculateur!BL148*Calculateur!BN148*VLOOKUP('Données projet'!$B$11,Paramètres!$A$1:$I$89,3,0)*0.475*44/12</f>
        <v>0.34212193921626216</v>
      </c>
      <c r="BR148" s="21">
        <f>EXP(-LN(2)/2)*BR147+(1-EXP(-LN(2)/2))/(LN(2)/2)*BL148*BO148*VLOOKUP('Données projet'!$B$11,Paramètres!$A$1:$I$89,3,0)*0.475*44/12</f>
        <v>7.466835414263143E-12</v>
      </c>
      <c r="BS148" s="22">
        <f t="shared" si="117"/>
        <v>10.629431521363719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">
      <c r="A149" s="10">
        <f t="shared" si="139"/>
        <v>146</v>
      </c>
      <c r="B149" s="73">
        <f>'Scénario référence'!$B$16*5+'Scénario référence'!$B$17*0+'Scénario référence'!$B$18*5</f>
        <v>5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">
        <f t="shared" si="140"/>
        <v>0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18.333333333333332</v>
      </c>
      <c r="H149" s="67">
        <f t="shared" si="110"/>
        <v>183.33333333333334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295</v>
      </c>
      <c r="O149" s="13">
        <f>N149*VLOOKUP('Données projet'!$B$9,Paramètres!$A$1:$I$89,3,0)*VLOOKUP('Données projet'!$B$9,Paramètres!$A$1:$I$89,5,0)</f>
        <v>176.41000000000003</v>
      </c>
      <c r="P149" s="13">
        <f t="shared" si="141"/>
        <v>44.522543239204609</v>
      </c>
      <c r="Q149" s="20">
        <f t="shared" si="108"/>
        <v>384.79084614161474</v>
      </c>
      <c r="R149" s="59">
        <f t="shared" si="109"/>
        <v>671.00239153544544</v>
      </c>
      <c r="S149" s="59">
        <f ca="1">AVERAGE(OFFSET($R$3,0,0,'Données projet'!$E$9+1,1))-AVERAGE(OFFSET($H$3,0,0,'Données projet'!$E$9+1,1))</f>
        <v>219.4022220248072</v>
      </c>
      <c r="T149" s="59">
        <f t="shared" si="142"/>
        <v>199.30065726913725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5.8234700434008335</v>
      </c>
      <c r="AA149" s="21">
        <f>EXP(-LN(2)/25)*AA148+(1-EXP(-LN(2)/25))/(LN(2)/25)*Calculateur!V149*Calculateur!X149*VLOOKUP('Données projet'!$B$9,Paramètres!$A$1:$I$89,3,0)*0.475*44/12</f>
        <v>0.62490866223306929</v>
      </c>
      <c r="AB149" s="21">
        <f>EXP(-LN(2)/2)*AB148+(1-EXP(-LN(2)/2))/(LN(2)/2)*V149*Y149*VLOOKUP('Données projet'!$B$9,Paramètres!$A$1:$I$89,3,0)*0.475*44/12</f>
        <v>2.2546951705719429E-13</v>
      </c>
      <c r="AC149" s="22">
        <f t="shared" si="111"/>
        <v>6.4483787056341288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268.00000000000011</v>
      </c>
      <c r="AJ149" s="13">
        <f>AI149*VLOOKUP('Données projet'!$B$10,Paramètres!$A$1:$I$89,3,0)*VLOOKUP('Données projet'!$B$10,Paramètres!$A$1:$I$89,5,0)</f>
        <v>242.48640000000009</v>
      </c>
      <c r="AK149" s="13">
        <f t="shared" si="143"/>
        <v>58.974170235372476</v>
      </c>
      <c r="AL149" s="20">
        <f t="shared" si="112"/>
        <v>525.04382649327385</v>
      </c>
      <c r="AM149" s="59">
        <f t="shared" si="113"/>
        <v>811.2553718871045</v>
      </c>
      <c r="AN149" s="59">
        <f ca="1">AVERAGE(OFFSET($AM$3,0,0,'Données projet'!$E$10+1,1))-AVERAGE(OFFSET($H$3,0,0,'Données projet'!$E$10+1,1))</f>
        <v>406.64650428071837</v>
      </c>
      <c r="AO149" s="59">
        <f t="shared" si="144"/>
        <v>250.47702091764884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34.864362400630448</v>
      </c>
      <c r="AV149" s="21">
        <f>EXP(-LN(2)/25)*AV148+(1-EXP(-LN(2)/25))/(LN(2)/25)*Calculateur!AQ149*Calculateur!AS149*VLOOKUP('Données projet'!$B$10,Paramètres!$A$1:$I$89,3,0)*0.475*44/12</f>
        <v>1.2028549635986499</v>
      </c>
      <c r="AW149" s="21">
        <f>EXP(-LN(2)/2)*AW148+(1-EXP(-LN(2)/2))/(LN(2)/2)*AQ149*AT149*VLOOKUP('Données projet'!$B$10,Paramètres!$A$1:$I$89,3,0)*0.475*44/12</f>
        <v>1.3075118782597756E-4</v>
      </c>
      <c r="AX149" s="21">
        <f t="shared" si="114"/>
        <v>36.06734811541692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290.99999999999994</v>
      </c>
      <c r="BE149" s="13">
        <f>BD149*VLOOKUP('Données projet'!$B$11,Paramètres!$A$1:$I$89,3,0)*VLOOKUP('Données projet'!$B$11,Paramètres!$A$1:$I$89,5,0)</f>
        <v>276.91559999999993</v>
      </c>
      <c r="BF149" s="13">
        <f t="shared" si="145"/>
        <v>66.314766879144742</v>
      </c>
      <c r="BG149" s="20">
        <f t="shared" si="115"/>
        <v>597.79288898117682</v>
      </c>
      <c r="BH149" s="59">
        <f t="shared" si="116"/>
        <v>884.00443437500746</v>
      </c>
      <c r="BI149" s="59">
        <f ca="1">AVERAGE(OFFSET($BH$3,0,0,'Données projet'!$E$11+1,1))-AVERAGE(OFFSET($H$3,0,0,'Données projet'!$E$11+1,1))</f>
        <v>387.78453964980849</v>
      </c>
      <c r="BJ149" s="59">
        <f t="shared" si="146"/>
        <v>395.13533152274488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10.0855817158735</v>
      </c>
      <c r="BQ149" s="21">
        <f>EXP(-LN(2)/25)*BQ148+(1-EXP(-LN(2)/25))/(LN(2)/25)*Calculateur!BL149*Calculateur!BN149*VLOOKUP('Données projet'!$B$11,Paramètres!$A$1:$I$89,3,0)*0.475*44/12</f>
        <v>0.33276659679698262</v>
      </c>
      <c r="BR149" s="21">
        <f>EXP(-LN(2)/2)*BR148+(1-EXP(-LN(2)/2))/(LN(2)/2)*BL149*BO149*VLOOKUP('Données projet'!$B$11,Paramètres!$A$1:$I$89,3,0)*0.475*44/12</f>
        <v>5.2798499554293324E-12</v>
      </c>
      <c r="BS149" s="22">
        <f t="shared" si="117"/>
        <v>10.418348312675763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">
      <c r="A150" s="10">
        <f t="shared" si="139"/>
        <v>147</v>
      </c>
      <c r="B150" s="73">
        <f>'Scénario référence'!$B$16*5+'Scénario référence'!$B$17*0+'Scénario référence'!$B$18*5</f>
        <v>5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">
        <f t="shared" si="140"/>
        <v>0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18.333333333333332</v>
      </c>
      <c r="H150" s="67">
        <f t="shared" si="110"/>
        <v>183.33333333333334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295</v>
      </c>
      <c r="O150" s="13">
        <f>N150*VLOOKUP('Données projet'!$B$9,Paramètres!$A$1:$I$89,3,0)*VLOOKUP('Données projet'!$B$9,Paramètres!$A$1:$I$89,5,0)</f>
        <v>176.41000000000003</v>
      </c>
      <c r="P150" s="13">
        <f t="shared" si="141"/>
        <v>44.522543239204609</v>
      </c>
      <c r="Q150" s="20">
        <f t="shared" si="108"/>
        <v>384.79084614161474</v>
      </c>
      <c r="R150" s="59">
        <f t="shared" si="109"/>
        <v>671.12593863426309</v>
      </c>
      <c r="S150" s="59">
        <f ca="1">AVERAGE(OFFSET($R$3,0,0,'Données projet'!$E$9+1,1))-AVERAGE(OFFSET($H$3,0,0,'Données projet'!$E$9+1,1))</f>
        <v>219.4022220248072</v>
      </c>
      <c r="T150" s="59">
        <f t="shared" si="142"/>
        <v>199.30065726913725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5.7092753478157423</v>
      </c>
      <c r="AA150" s="21">
        <f>EXP(-LN(2)/25)*AA149+(1-EXP(-LN(2)/25))/(LN(2)/25)*Calculateur!V150*Calculateur!X150*VLOOKUP('Données projet'!$B$9,Paramètres!$A$1:$I$89,3,0)*0.475*44/12</f>
        <v>0.60782050200178772</v>
      </c>
      <c r="AB150" s="21">
        <f>EXP(-LN(2)/2)*AB149+(1-EXP(-LN(2)/2))/(LN(2)/2)*V150*Y150*VLOOKUP('Données projet'!$B$9,Paramètres!$A$1:$I$89,3,0)*0.475*44/12</f>
        <v>1.5943102446199804E-13</v>
      </c>
      <c r="AC150" s="22">
        <f t="shared" si="111"/>
        <v>6.3170958498176901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268.00000000000011</v>
      </c>
      <c r="AJ150" s="13">
        <f>AI150*VLOOKUP('Données projet'!$B$10,Paramètres!$A$1:$I$89,3,0)*VLOOKUP('Données projet'!$B$10,Paramètres!$A$1:$I$89,5,0)</f>
        <v>242.48640000000009</v>
      </c>
      <c r="AK150" s="13">
        <f t="shared" si="143"/>
        <v>58.974170235372476</v>
      </c>
      <c r="AL150" s="20">
        <f t="shared" si="112"/>
        <v>525.04382649327385</v>
      </c>
      <c r="AM150" s="59">
        <f t="shared" si="113"/>
        <v>811.37891898592227</v>
      </c>
      <c r="AN150" s="59">
        <f ca="1">AVERAGE(OFFSET($AM$3,0,0,'Données projet'!$E$10+1,1))-AVERAGE(OFFSET($H$3,0,0,'Données projet'!$E$10+1,1))</f>
        <v>406.64650428071837</v>
      </c>
      <c r="AO150" s="59">
        <f t="shared" si="144"/>
        <v>250.47702091764884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34.180693519115387</v>
      </c>
      <c r="AV150" s="21">
        <f>EXP(-LN(2)/25)*AV149+(1-EXP(-LN(2)/25))/(LN(2)/25)*Calculateur!AQ150*Calculateur!AS150*VLOOKUP('Données projet'!$B$10,Paramètres!$A$1:$I$89,3,0)*0.475*44/12</f>
        <v>1.1699628313636514</v>
      </c>
      <c r="AW150" s="21">
        <f>EXP(-LN(2)/2)*AW149+(1-EXP(-LN(2)/2))/(LN(2)/2)*AQ150*AT150*VLOOKUP('Données projet'!$B$10,Paramètres!$A$1:$I$89,3,0)*0.475*44/12</f>
        <v>9.245505155994469E-5</v>
      </c>
      <c r="AX150" s="21">
        <f t="shared" si="114"/>
        <v>35.350748805530593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290.99999999999994</v>
      </c>
      <c r="BE150" s="13">
        <f>BD150*VLOOKUP('Données projet'!$B$11,Paramètres!$A$1:$I$89,3,0)*VLOOKUP('Données projet'!$B$11,Paramètres!$A$1:$I$89,5,0)</f>
        <v>276.91559999999993</v>
      </c>
      <c r="BF150" s="13">
        <f t="shared" si="145"/>
        <v>66.314766879144742</v>
      </c>
      <c r="BG150" s="20">
        <f t="shared" si="115"/>
        <v>597.79288898117682</v>
      </c>
      <c r="BH150" s="59">
        <f t="shared" si="116"/>
        <v>884.12798147382523</v>
      </c>
      <c r="BI150" s="59">
        <f ca="1">AVERAGE(OFFSET($BH$3,0,0,'Données projet'!$E$11+1,1))-AVERAGE(OFFSET($H$3,0,0,'Données projet'!$E$11+1,1))</f>
        <v>387.78453964980849</v>
      </c>
      <c r="BJ150" s="59">
        <f t="shared" si="146"/>
        <v>395.13533152274488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9.8878096100226482</v>
      </c>
      <c r="BQ150" s="21">
        <f>EXP(-LN(2)/25)*BQ149+(1-EXP(-LN(2)/25))/(LN(2)/25)*Calculateur!BL150*Calculateur!BN150*VLOOKUP('Données projet'!$B$11,Paramètres!$A$1:$I$89,3,0)*0.475*44/12</f>
        <v>0.32366707670813433</v>
      </c>
      <c r="BR150" s="21">
        <f>EXP(-LN(2)/2)*BR149+(1-EXP(-LN(2)/2))/(LN(2)/2)*BL150*BO150*VLOOKUP('Données projet'!$B$11,Paramètres!$A$1:$I$89,3,0)*0.475*44/12</f>
        <v>3.7334177071315715E-12</v>
      </c>
      <c r="BS150" s="22">
        <f t="shared" si="117"/>
        <v>10.211476686734516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">
      <c r="A151" s="10">
        <f t="shared" si="139"/>
        <v>148</v>
      </c>
      <c r="B151" s="73">
        <f>'Scénario référence'!$B$16*5+'Scénario référence'!$B$17*0+'Scénario référence'!$B$18*5</f>
        <v>5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">
        <f t="shared" si="140"/>
        <v>0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18.333333333333332</v>
      </c>
      <c r="H151" s="67">
        <f t="shared" si="110"/>
        <v>183.33333333333334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295</v>
      </c>
      <c r="O151" s="13">
        <f>N151*VLOOKUP('Données projet'!$B$9,Paramètres!$A$1:$I$89,3,0)*VLOOKUP('Données projet'!$B$9,Paramètres!$A$1:$I$89,5,0)</f>
        <v>176.41000000000003</v>
      </c>
      <c r="P151" s="13">
        <f t="shared" si="141"/>
        <v>44.522543239204609</v>
      </c>
      <c r="Q151" s="20">
        <f t="shared" si="108"/>
        <v>384.79084614161474</v>
      </c>
      <c r="R151" s="59">
        <f t="shared" si="109"/>
        <v>671.24734246712637</v>
      </c>
      <c r="S151" s="59">
        <f ca="1">AVERAGE(OFFSET($R$3,0,0,'Données projet'!$E$9+1,1))-AVERAGE(OFFSET($H$3,0,0,'Données projet'!$E$9+1,1))</f>
        <v>219.4022220248072</v>
      </c>
      <c r="T151" s="59">
        <f t="shared" si="142"/>
        <v>199.30065726913725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5.5973199405591876</v>
      </c>
      <c r="AA151" s="21">
        <f>EXP(-LN(2)/25)*AA150+(1-EXP(-LN(2)/25))/(LN(2)/25)*Calculateur!V151*Calculateur!X151*VLOOKUP('Données projet'!$B$9,Paramètres!$A$1:$I$89,3,0)*0.475*44/12</f>
        <v>0.59119961841065782</v>
      </c>
      <c r="AB151" s="21">
        <f>EXP(-LN(2)/2)*AB150+(1-EXP(-LN(2)/2))/(LN(2)/2)*V151*Y151*VLOOKUP('Données projet'!$B$9,Paramètres!$A$1:$I$89,3,0)*0.475*44/12</f>
        <v>1.1273475852859717E-13</v>
      </c>
      <c r="AC151" s="22">
        <f t="shared" si="111"/>
        <v>6.1885195589699586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268.00000000000011</v>
      </c>
      <c r="AJ151" s="13">
        <f>AI151*VLOOKUP('Données projet'!$B$10,Paramètres!$A$1:$I$89,3,0)*VLOOKUP('Données projet'!$B$10,Paramètres!$A$1:$I$89,5,0)</f>
        <v>242.48640000000009</v>
      </c>
      <c r="AK151" s="13">
        <f t="shared" si="143"/>
        <v>58.974170235372476</v>
      </c>
      <c r="AL151" s="20">
        <f t="shared" si="112"/>
        <v>525.04382649327385</v>
      </c>
      <c r="AM151" s="59">
        <f t="shared" si="113"/>
        <v>811.50032281878555</v>
      </c>
      <c r="AN151" s="59">
        <f ca="1">AVERAGE(OFFSET($AM$3,0,0,'Données projet'!$E$10+1,1))-AVERAGE(OFFSET($H$3,0,0,'Données projet'!$E$10+1,1))</f>
        <v>406.64650428071837</v>
      </c>
      <c r="AO151" s="59">
        <f t="shared" si="144"/>
        <v>250.47702091764884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33.510430967369999</v>
      </c>
      <c r="AV151" s="21">
        <f>EXP(-LN(2)/25)*AV150+(1-EXP(-LN(2)/25))/(LN(2)/25)*Calculateur!AQ151*Calculateur!AS151*VLOOKUP('Données projet'!$B$10,Paramètres!$A$1:$I$89,3,0)*0.475*44/12</f>
        <v>1.1379701362143411</v>
      </c>
      <c r="AW151" s="21">
        <f>EXP(-LN(2)/2)*AW150+(1-EXP(-LN(2)/2))/(LN(2)/2)*AQ151*AT151*VLOOKUP('Données projet'!$B$10,Paramètres!$A$1:$I$89,3,0)*0.475*44/12</f>
        <v>6.5375593912988779E-5</v>
      </c>
      <c r="AX151" s="21">
        <f t="shared" si="114"/>
        <v>34.648466479178254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290.99999999999994</v>
      </c>
      <c r="BE151" s="13">
        <f>BD151*VLOOKUP('Données projet'!$B$11,Paramètres!$A$1:$I$89,3,0)*VLOOKUP('Données projet'!$B$11,Paramètres!$A$1:$I$89,5,0)</f>
        <v>276.91559999999993</v>
      </c>
      <c r="BF151" s="13">
        <f t="shared" si="145"/>
        <v>66.314766879144742</v>
      </c>
      <c r="BG151" s="20">
        <f t="shared" si="115"/>
        <v>597.79288898117682</v>
      </c>
      <c r="BH151" s="59">
        <f t="shared" si="116"/>
        <v>884.24938530668851</v>
      </c>
      <c r="BI151" s="59">
        <f ca="1">AVERAGE(OFFSET($BH$3,0,0,'Données projet'!$E$11+1,1))-AVERAGE(OFFSET($H$3,0,0,'Données projet'!$E$11+1,1))</f>
        <v>387.78453964980849</v>
      </c>
      <c r="BJ151" s="59">
        <f t="shared" si="146"/>
        <v>395.13533152274488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9.6939156945384575</v>
      </c>
      <c r="BQ151" s="21">
        <f>EXP(-LN(2)/25)*BQ150+(1-EXP(-LN(2)/25))/(LN(2)/25)*Calculateur!BL151*Calculateur!BN151*VLOOKUP('Données projet'!$B$11,Paramètres!$A$1:$I$89,3,0)*0.475*44/12</f>
        <v>0.31481638347463858</v>
      </c>
      <c r="BR151" s="21">
        <f>EXP(-LN(2)/2)*BR150+(1-EXP(-LN(2)/2))/(LN(2)/2)*BL151*BO151*VLOOKUP('Données projet'!$B$11,Paramètres!$A$1:$I$89,3,0)*0.475*44/12</f>
        <v>2.6399249777146662E-12</v>
      </c>
      <c r="BS151" s="22">
        <f t="shared" si="117"/>
        <v>10.008732078015736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">
      <c r="A152" s="10">
        <f t="shared" si="139"/>
        <v>149</v>
      </c>
      <c r="B152" s="73">
        <f>'Scénario référence'!$B$16*5+'Scénario référence'!$B$17*0+'Scénario référence'!$B$18*5</f>
        <v>5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">
        <f t="shared" si="140"/>
        <v>0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18.333333333333332</v>
      </c>
      <c r="H152" s="67">
        <f t="shared" si="110"/>
        <v>183.33333333333334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295</v>
      </c>
      <c r="O152" s="13">
        <f>N152*VLOOKUP('Données projet'!$B$9,Paramètres!$A$1:$I$89,3,0)*VLOOKUP('Données projet'!$B$9,Paramètres!$A$1:$I$89,5,0)</f>
        <v>176.41000000000003</v>
      </c>
      <c r="P152" s="13">
        <f t="shared" si="141"/>
        <v>44.522543239204609</v>
      </c>
      <c r="Q152" s="20">
        <f t="shared" si="108"/>
        <v>384.79084614161474</v>
      </c>
      <c r="R152" s="59">
        <f t="shared" si="109"/>
        <v>671.36664021490787</v>
      </c>
      <c r="S152" s="59">
        <f ca="1">AVERAGE(OFFSET($R$3,0,0,'Données projet'!$E$9+1,1))-AVERAGE(OFFSET($H$3,0,0,'Données projet'!$E$9+1,1))</f>
        <v>219.4022220248072</v>
      </c>
      <c r="T152" s="59">
        <f t="shared" si="142"/>
        <v>199.30065726913725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5.4875599105528785</v>
      </c>
      <c r="AA152" s="21">
        <f>EXP(-LN(2)/25)*AA151+(1-EXP(-LN(2)/25))/(LN(2)/25)*Calculateur!V152*Calculateur!X152*VLOOKUP('Données projet'!$B$9,Paramètres!$A$1:$I$89,3,0)*0.475*44/12</f>
        <v>0.57503323375538162</v>
      </c>
      <c r="AB152" s="21">
        <f>EXP(-LN(2)/2)*AB151+(1-EXP(-LN(2)/2))/(LN(2)/2)*V152*Y152*VLOOKUP('Données projet'!$B$9,Paramètres!$A$1:$I$89,3,0)*0.475*44/12</f>
        <v>7.9715512230999034E-14</v>
      </c>
      <c r="AC152" s="22">
        <f t="shared" si="111"/>
        <v>6.0625931443083401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268.00000000000011</v>
      </c>
      <c r="AJ152" s="13">
        <f>AI152*VLOOKUP('Données projet'!$B$10,Paramètres!$A$1:$I$89,3,0)*VLOOKUP('Données projet'!$B$10,Paramètres!$A$1:$I$89,5,0)</f>
        <v>242.48640000000009</v>
      </c>
      <c r="AK152" s="13">
        <f t="shared" si="143"/>
        <v>58.974170235372476</v>
      </c>
      <c r="AL152" s="20">
        <f t="shared" si="112"/>
        <v>525.04382649327385</v>
      </c>
      <c r="AM152" s="59">
        <f t="shared" si="113"/>
        <v>811.61962056656694</v>
      </c>
      <c r="AN152" s="59">
        <f ca="1">AVERAGE(OFFSET($AM$3,0,0,'Données projet'!$E$10+1,1))-AVERAGE(OFFSET($H$3,0,0,'Données projet'!$E$10+1,1))</f>
        <v>406.64650428071837</v>
      </c>
      <c r="AO152" s="59">
        <f t="shared" si="144"/>
        <v>250.47702091764884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32.853311855444545</v>
      </c>
      <c r="AV152" s="21">
        <f>EXP(-LN(2)/25)*AV151+(1-EXP(-LN(2)/25))/(LN(2)/25)*Calculateur!AQ152*Calculateur!AS152*VLOOKUP('Données projet'!$B$10,Paramètres!$A$1:$I$89,3,0)*0.475*44/12</f>
        <v>1.1068522829963112</v>
      </c>
      <c r="AW152" s="21">
        <f>EXP(-LN(2)/2)*AW151+(1-EXP(-LN(2)/2))/(LN(2)/2)*AQ152*AT152*VLOOKUP('Données projet'!$B$10,Paramètres!$A$1:$I$89,3,0)*0.475*44/12</f>
        <v>4.6227525779972345E-5</v>
      </c>
      <c r="AX152" s="21">
        <f t="shared" si="114"/>
        <v>33.960210365966638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290.99999999999994</v>
      </c>
      <c r="BE152" s="13">
        <f>BD152*VLOOKUP('Données projet'!$B$11,Paramètres!$A$1:$I$89,3,0)*VLOOKUP('Données projet'!$B$11,Paramètres!$A$1:$I$89,5,0)</f>
        <v>276.91559999999993</v>
      </c>
      <c r="BF152" s="13">
        <f t="shared" si="145"/>
        <v>66.314766879144742</v>
      </c>
      <c r="BG152" s="20">
        <f t="shared" si="115"/>
        <v>597.79288898117682</v>
      </c>
      <c r="BH152" s="59">
        <f t="shared" si="116"/>
        <v>884.3686830544699</v>
      </c>
      <c r="BI152" s="59">
        <f ca="1">AVERAGE(OFFSET($BH$3,0,0,'Données projet'!$E$11+1,1))-AVERAGE(OFFSET($H$3,0,0,'Données projet'!$E$11+1,1))</f>
        <v>387.78453964980849</v>
      </c>
      <c r="BJ152" s="59">
        <f t="shared" si="146"/>
        <v>395.13533152274488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9.5038239204733017</v>
      </c>
      <c r="BQ152" s="21">
        <f>EXP(-LN(2)/25)*BQ151+(1-EXP(-LN(2)/25))/(LN(2)/25)*Calculateur!BL152*Calculateur!BN152*VLOOKUP('Données projet'!$B$11,Paramètres!$A$1:$I$89,3,0)*0.475*44/12</f>
        <v>0.30620771291305049</v>
      </c>
      <c r="BR152" s="21">
        <f>EXP(-LN(2)/2)*BR151+(1-EXP(-LN(2)/2))/(LN(2)/2)*BL152*BO152*VLOOKUP('Données projet'!$B$11,Paramètres!$A$1:$I$89,3,0)*0.475*44/12</f>
        <v>1.8667088535657858E-12</v>
      </c>
      <c r="BS152" s="22">
        <f t="shared" si="117"/>
        <v>9.8100316333882187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">
      <c r="A153" s="10">
        <f>A152+1</f>
        <v>150</v>
      </c>
      <c r="B153" s="73">
        <f>'Scénario référence'!$B$16*5+'Scénario référence'!$B$17*0+'Scénario référence'!$B$18*5</f>
        <v>5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">
        <f t="shared" si="140"/>
        <v>0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18.333333333333332</v>
      </c>
      <c r="H153" s="67">
        <f t="shared" si="110"/>
        <v>183.33333333333334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295</v>
      </c>
      <c r="O153" s="13">
        <f>N153*VLOOKUP('Données projet'!$B$9,Paramètres!$A$1:$I$89,3,0)*VLOOKUP('Données projet'!$B$9,Paramètres!$A$1:$I$89,5,0)</f>
        <v>176.41000000000003</v>
      </c>
      <c r="P153" s="13">
        <f t="shared" si="141"/>
        <v>44.522543239204609</v>
      </c>
      <c r="Q153" s="20">
        <f t="shared" si="108"/>
        <v>384.79084614161474</v>
      </c>
      <c r="R153" s="59">
        <f t="shared" si="109"/>
        <v>671.48386841347508</v>
      </c>
      <c r="S153" s="59">
        <f ca="1">AVERAGE(OFFSET($R$3,0,0,'Données projet'!$E$9+1,1))-AVERAGE(OFFSET($H$3,0,0,'Données projet'!$E$9+1,1))</f>
        <v>219.4022220248072</v>
      </c>
      <c r="T153" s="59">
        <f t="shared" si="142"/>
        <v>199.30065726913725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5.3799522077879853</v>
      </c>
      <c r="AA153" s="21">
        <f>EXP(-LN(2)/25)*AA152+(1-EXP(-LN(2)/25))/(LN(2)/25)*Calculateur!V153*Calculateur!X153*VLOOKUP('Données projet'!$B$9,Paramètres!$A$1:$I$89,3,0)*0.475*44/12</f>
        <v>0.55930891973865715</v>
      </c>
      <c r="AB153" s="21">
        <f>EXP(-LN(2)/2)*AB152+(1-EXP(-LN(2)/2))/(LN(2)/2)*V153*Y153*VLOOKUP('Données projet'!$B$9,Paramètres!$A$1:$I$89,3,0)*0.475*44/12</f>
        <v>5.636737926429859E-14</v>
      </c>
      <c r="AC153" s="22">
        <f t="shared" si="111"/>
        <v>5.9392611275266987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268.00000000000011</v>
      </c>
      <c r="AJ153" s="13">
        <f>AI153*VLOOKUP('Données projet'!$B$10,Paramètres!$A$1:$I$89,3,0)*VLOOKUP('Données projet'!$B$10,Paramètres!$A$1:$I$89,5,0)</f>
        <v>242.48640000000009</v>
      </c>
      <c r="AK153" s="13">
        <f t="shared" si="143"/>
        <v>58.974170235372476</v>
      </c>
      <c r="AL153" s="20">
        <f t="shared" si="112"/>
        <v>525.04382649327385</v>
      </c>
      <c r="AM153" s="59">
        <f t="shared" si="113"/>
        <v>811.73684876513425</v>
      </c>
      <c r="AN153" s="59">
        <f ca="1">AVERAGE(OFFSET($AM$3,0,0,'Données projet'!$E$10+1,1))-AVERAGE(OFFSET($H$3,0,0,'Données projet'!$E$10+1,1))</f>
        <v>406.64650428071837</v>
      </c>
      <c r="AO153" s="59">
        <f t="shared" si="144"/>
        <v>250.47702091764884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32.209078448500868</v>
      </c>
      <c r="AV153" s="21">
        <f>EXP(-LN(2)/25)*AV152+(1-EXP(-LN(2)/25))/(LN(2)/25)*Calculateur!AQ153*Calculateur!AS153*VLOOKUP('Données projet'!$B$10,Paramètres!$A$1:$I$89,3,0)*0.475*44/12</f>
        <v>1.0765853491109452</v>
      </c>
      <c r="AW153" s="21">
        <f>EXP(-LN(2)/2)*AW152+(1-EXP(-LN(2)/2))/(LN(2)/2)*AQ153*AT153*VLOOKUP('Données projet'!$B$10,Paramètres!$A$1:$I$89,3,0)*0.475*44/12</f>
        <v>3.268779695649439E-5</v>
      </c>
      <c r="AX153" s="21">
        <f t="shared" si="114"/>
        <v>33.285696485408771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290.99999999999994</v>
      </c>
      <c r="BE153" s="13">
        <f>BD153*VLOOKUP('Données projet'!$B$11,Paramètres!$A$1:$I$89,3,0)*VLOOKUP('Données projet'!$B$11,Paramètres!$A$1:$I$89,5,0)</f>
        <v>276.91559999999993</v>
      </c>
      <c r="BF153" s="13">
        <f t="shared" si="145"/>
        <v>66.314766879144742</v>
      </c>
      <c r="BG153" s="20">
        <f t="shared" si="115"/>
        <v>597.79288898117682</v>
      </c>
      <c r="BH153" s="59">
        <f t="shared" si="116"/>
        <v>884.4859112530371</v>
      </c>
      <c r="BI153" s="59">
        <f ca="1">AVERAGE(OFFSET($BH$3,0,0,'Données projet'!$E$11+1,1))-AVERAGE(OFFSET($H$3,0,0,'Données projet'!$E$11+1,1))</f>
        <v>387.78453964980849</v>
      </c>
      <c r="BJ153" s="59">
        <f t="shared" si="146"/>
        <v>395.13533152274488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9.3174597301530291</v>
      </c>
      <c r="BQ153" s="21">
        <f>EXP(-LN(2)/25)*BQ152+(1-EXP(-LN(2)/25))/(LN(2)/25)*Calculateur!BL153*Calculateur!BN153*VLOOKUP('Données projet'!$B$11,Paramètres!$A$1:$I$89,3,0)*0.475*44/12</f>
        <v>0.29783444690067934</v>
      </c>
      <c r="BR153" s="21">
        <f>EXP(-LN(2)/2)*BR152+(1-EXP(-LN(2)/2))/(LN(2)/2)*BL153*BO153*VLOOKUP('Données projet'!$B$11,Paramètres!$A$1:$I$89,3,0)*0.475*44/12</f>
        <v>1.3199624888573331E-12</v>
      </c>
      <c r="BS153" s="22">
        <f t="shared" si="117"/>
        <v>9.6152941770550289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">
      <c r="A154" s="10">
        <f t="shared" ref="A154:A202" si="161">A153+1</f>
        <v>151</v>
      </c>
      <c r="B154" s="73">
        <f>'Scénario référence'!$B$16*5+'Scénario référence'!$B$17*0+'Scénario référence'!$B$18*5</f>
        <v>5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">
        <f t="shared" si="140"/>
        <v>0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18.333333333333332</v>
      </c>
      <c r="H154" s="67">
        <f t="shared" si="110"/>
        <v>183.33333333333334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295</v>
      </c>
      <c r="O154" s="13">
        <f>N154*VLOOKUP('Données projet'!$B$9,Paramètres!$A$1:$I$89,3,0)*VLOOKUP('Données projet'!$B$9,Paramètres!$A$1:$I$89,5,0)</f>
        <v>176.41000000000003</v>
      </c>
      <c r="P154" s="13">
        <f t="shared" si="141"/>
        <v>44.522543239204609</v>
      </c>
      <c r="Q154" s="20">
        <f t="shared" ref="Q154:Q203" si="162">(O154+P154)*0.475*44/12</f>
        <v>384.79084614161474</v>
      </c>
      <c r="R154" s="59">
        <f t="shared" si="109"/>
        <v>671.59906296488009</v>
      </c>
      <c r="S154" s="59">
        <f ca="1">AVERAGE(OFFSET($R$3,0,0,'Données projet'!$E$9+1,1))-AVERAGE(OFFSET($H$3,0,0,'Données projet'!$E$9+1,1))</f>
        <v>219.4022220248072</v>
      </c>
      <c r="T154" s="59">
        <f t="shared" si="142"/>
        <v>199.30065726913725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5.274454626440094</v>
      </c>
      <c r="AA154" s="21">
        <f>EXP(-LN(2)/25)*AA153+(1-EXP(-LN(2)/25))/(LN(2)/25)*Calculateur!V154*Calculateur!X154*VLOOKUP('Données projet'!$B$9,Paramètres!$A$1:$I$89,3,0)*0.475*44/12</f>
        <v>0.54401458791562585</v>
      </c>
      <c r="AB154" s="21">
        <f>EXP(-LN(2)/2)*AB153+(1-EXP(-LN(2)/2))/(LN(2)/2)*V154*Y154*VLOOKUP('Données projet'!$B$9,Paramètres!$A$1:$I$89,3,0)*0.475*44/12</f>
        <v>3.9857756115499523E-14</v>
      </c>
      <c r="AC154" s="22">
        <f t="shared" ref="AC154:AC203" si="163">SUM(Z154:AB154)</f>
        <v>5.8184692143557601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268.00000000000011</v>
      </c>
      <c r="AJ154" s="13">
        <f>AI154*VLOOKUP('Données projet'!$B$10,Paramètres!$A$1:$I$89,3,0)*VLOOKUP('Données projet'!$B$10,Paramètres!$A$1:$I$89,5,0)</f>
        <v>242.48640000000009</v>
      </c>
      <c r="AK154" s="13">
        <f t="shared" ref="AK154:AK203" si="164">EXP(-1.0587+0.8836*LN(AJ154)+0.284)</f>
        <v>58.974170235372476</v>
      </c>
      <c r="AL154" s="20">
        <f t="shared" ref="AL154:AL203" si="165">(AJ154+AK154)*0.475*44/12</f>
        <v>525.04382649327385</v>
      </c>
      <c r="AM154" s="59">
        <f t="shared" si="113"/>
        <v>811.85204331653927</v>
      </c>
      <c r="AN154" s="59">
        <f ca="1">AVERAGE(OFFSET($AM$3,0,0,'Données projet'!$E$10+1,1))-AVERAGE(OFFSET($H$3,0,0,'Données projet'!$E$10+1,1))</f>
        <v>406.64650428071837</v>
      </c>
      <c r="AO154" s="59">
        <f t="shared" si="144"/>
        <v>250.47702091764884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31.577478065723778</v>
      </c>
      <c r="AV154" s="21">
        <f>EXP(-LN(2)/25)*AV153+(1-EXP(-LN(2)/25))/(LN(2)/25)*Calculateur!AQ154*Calculateur!AS154*VLOOKUP('Données projet'!$B$10,Paramètres!$A$1:$I$89,3,0)*0.475*44/12</f>
        <v>1.0471460661243435</v>
      </c>
      <c r="AW154" s="21">
        <f>EXP(-LN(2)/2)*AW153+(1-EXP(-LN(2)/2))/(LN(2)/2)*AQ154*AT154*VLOOKUP('Données projet'!$B$10,Paramètres!$A$1:$I$89,3,0)*0.475*44/12</f>
        <v>2.3113762889986173E-5</v>
      </c>
      <c r="AX154" s="21">
        <f t="shared" ref="AX154:AX203" si="166">SUM(AU154:AW154)</f>
        <v>32.624647245611015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290.99999999999994</v>
      </c>
      <c r="BE154" s="13">
        <f>BD154*VLOOKUP('Données projet'!$B$11,Paramètres!$A$1:$I$89,3,0)*VLOOKUP('Données projet'!$B$11,Paramètres!$A$1:$I$89,5,0)</f>
        <v>276.91559999999993</v>
      </c>
      <c r="BF154" s="13">
        <f t="shared" ref="BF154:BF203" si="167">EXP(-1.0587+0.8836*LN(BE154)+0.284)</f>
        <v>66.314766879144742</v>
      </c>
      <c r="BG154" s="20">
        <f t="shared" ref="BG154:BG203" si="168">(BE154+BF154)*0.475*44/12</f>
        <v>597.79288898117682</v>
      </c>
      <c r="BH154" s="59">
        <f t="shared" si="116"/>
        <v>884.60110580444211</v>
      </c>
      <c r="BI154" s="59">
        <f ca="1">AVERAGE(OFFSET($BH$3,0,0,'Données projet'!$E$11+1,1))-AVERAGE(OFFSET($H$3,0,0,'Données projet'!$E$11+1,1))</f>
        <v>387.78453964980849</v>
      </c>
      <c r="BJ154" s="59">
        <f t="shared" si="146"/>
        <v>395.13533152274488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9.1347500279340057</v>
      </c>
      <c r="BQ154" s="21">
        <f>EXP(-LN(2)/25)*BQ153+(1-EXP(-LN(2)/25))/(LN(2)/25)*Calculateur!BL154*Calculateur!BN154*VLOOKUP('Données projet'!$B$11,Paramètres!$A$1:$I$89,3,0)*0.475*44/12</f>
        <v>0.28969014828774742</v>
      </c>
      <c r="BR154" s="21">
        <f>EXP(-LN(2)/2)*BR153+(1-EXP(-LN(2)/2))/(LN(2)/2)*BL154*BO154*VLOOKUP('Données projet'!$B$11,Paramètres!$A$1:$I$89,3,0)*0.475*44/12</f>
        <v>9.3335442678289288E-13</v>
      </c>
      <c r="BS154" s="22">
        <f t="shared" ref="BS154:BS203" si="169">SUM(BP154:BR154)</f>
        <v>9.424440176222685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">
      <c r="A155" s="10">
        <f t="shared" si="161"/>
        <v>152</v>
      </c>
      <c r="B155" s="73">
        <f>'Scénario référence'!$B$16*5+'Scénario référence'!$B$17*0+'Scénario référence'!$B$18*5</f>
        <v>5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">
        <f t="shared" si="140"/>
        <v>0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18.333333333333332</v>
      </c>
      <c r="H155" s="67">
        <f t="shared" si="110"/>
        <v>183.33333333333334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295</v>
      </c>
      <c r="O155" s="13">
        <f>N155*VLOOKUP('Données projet'!$B$9,Paramètres!$A$1:$I$89,3,0)*VLOOKUP('Données projet'!$B$9,Paramètres!$A$1:$I$89,5,0)</f>
        <v>176.41000000000003</v>
      </c>
      <c r="P155" s="13">
        <f t="shared" si="141"/>
        <v>44.522543239204609</v>
      </c>
      <c r="Q155" s="20">
        <f t="shared" si="162"/>
        <v>384.79084614161474</v>
      </c>
      <c r="R155" s="59">
        <f t="shared" si="109"/>
        <v>671.71225914835463</v>
      </c>
      <c r="S155" s="59">
        <f ca="1">AVERAGE(OFFSET($R$3,0,0,'Données projet'!$E$9+1,1))-AVERAGE(OFFSET($H$3,0,0,'Données projet'!$E$9+1,1))</f>
        <v>219.4022220248072</v>
      </c>
      <c r="T155" s="59">
        <f t="shared" si="142"/>
        <v>199.30065726913725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5.1710257883152639</v>
      </c>
      <c r="AA155" s="21">
        <f>EXP(-LN(2)/25)*AA154+(1-EXP(-LN(2)/25))/(LN(2)/25)*Calculateur!V155*Calculateur!X155*VLOOKUP('Données projet'!$B$9,Paramètres!$A$1:$I$89,3,0)*0.475*44/12</f>
        <v>0.5291384804005892</v>
      </c>
      <c r="AB155" s="21">
        <f>EXP(-LN(2)/2)*AB154+(1-EXP(-LN(2)/2))/(LN(2)/2)*V155*Y155*VLOOKUP('Données projet'!$B$9,Paramètres!$A$1:$I$89,3,0)*0.475*44/12</f>
        <v>2.8183689632149298E-14</v>
      </c>
      <c r="AC155" s="22">
        <f t="shared" si="163"/>
        <v>5.7001642687158816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268.00000000000011</v>
      </c>
      <c r="AJ155" s="13">
        <f>AI155*VLOOKUP('Données projet'!$B$10,Paramètres!$A$1:$I$89,3,0)*VLOOKUP('Données projet'!$B$10,Paramètres!$A$1:$I$89,5,0)</f>
        <v>242.48640000000009</v>
      </c>
      <c r="AK155" s="13">
        <f t="shared" si="164"/>
        <v>58.974170235372476</v>
      </c>
      <c r="AL155" s="20">
        <f t="shared" si="165"/>
        <v>525.04382649327385</v>
      </c>
      <c r="AM155" s="59">
        <f t="shared" si="113"/>
        <v>811.96523950001369</v>
      </c>
      <c r="AN155" s="59">
        <f ca="1">AVERAGE(OFFSET($AM$3,0,0,'Données projet'!$E$10+1,1))-AVERAGE(OFFSET($H$3,0,0,'Données projet'!$E$10+1,1))</f>
        <v>406.64650428071837</v>
      </c>
      <c r="AO155" s="59">
        <f t="shared" si="144"/>
        <v>250.47702091764884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30.958262981214752</v>
      </c>
      <c r="AV155" s="21">
        <f>EXP(-LN(2)/25)*AV154+(1-EXP(-LN(2)/25))/(LN(2)/25)*Calculateur!AQ155*Calculateur!AS155*VLOOKUP('Données projet'!$B$10,Paramètres!$A$1:$I$89,3,0)*0.475*44/12</f>
        <v>1.018511801879155</v>
      </c>
      <c r="AW155" s="21">
        <f>EXP(-LN(2)/2)*AW154+(1-EXP(-LN(2)/2))/(LN(2)/2)*AQ155*AT155*VLOOKUP('Données projet'!$B$10,Paramètres!$A$1:$I$89,3,0)*0.475*44/12</f>
        <v>1.6343898478247195E-5</v>
      </c>
      <c r="AX155" s="21">
        <f t="shared" si="166"/>
        <v>31.976791126992385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290.99999999999994</v>
      </c>
      <c r="BE155" s="13">
        <f>BD155*VLOOKUP('Données projet'!$B$11,Paramètres!$A$1:$I$89,3,0)*VLOOKUP('Données projet'!$B$11,Paramètres!$A$1:$I$89,5,0)</f>
        <v>276.91559999999993</v>
      </c>
      <c r="BF155" s="13">
        <f t="shared" si="167"/>
        <v>66.314766879144742</v>
      </c>
      <c r="BG155" s="20">
        <f t="shared" si="168"/>
        <v>597.79288898117682</v>
      </c>
      <c r="BH155" s="59">
        <f t="shared" si="116"/>
        <v>884.71430198791677</v>
      </c>
      <c r="BI155" s="59">
        <f ca="1">AVERAGE(OFFSET($BH$3,0,0,'Données projet'!$E$11+1,1))-AVERAGE(OFFSET($H$3,0,0,'Données projet'!$E$11+1,1))</f>
        <v>387.78453964980849</v>
      </c>
      <c r="BJ155" s="59">
        <f t="shared" si="146"/>
        <v>395.13533152274488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8.9556231515335831</v>
      </c>
      <c r="BQ155" s="21">
        <f>EXP(-LN(2)/25)*BQ154+(1-EXP(-LN(2)/25))/(LN(2)/25)*Calculateur!BL155*Calculateur!BN155*VLOOKUP('Données projet'!$B$11,Paramètres!$A$1:$I$89,3,0)*0.475*44/12</f>
        <v>0.28176855594867617</v>
      </c>
      <c r="BR155" s="21">
        <f>EXP(-LN(2)/2)*BR154+(1-EXP(-LN(2)/2))/(LN(2)/2)*BL155*BO155*VLOOKUP('Données projet'!$B$11,Paramètres!$A$1:$I$89,3,0)*0.475*44/12</f>
        <v>6.5998124442866655E-13</v>
      </c>
      <c r="BS155" s="22">
        <f t="shared" si="169"/>
        <v>9.2373917074829208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">
      <c r="A156" s="10">
        <f t="shared" si="161"/>
        <v>153</v>
      </c>
      <c r="B156" s="73">
        <f>'Scénario référence'!$B$16*5+'Scénario référence'!$B$17*0+'Scénario référence'!$B$18*5</f>
        <v>5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">
        <f t="shared" si="140"/>
        <v>0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18.333333333333332</v>
      </c>
      <c r="H156" s="67">
        <f t="shared" si="110"/>
        <v>183.33333333333334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295</v>
      </c>
      <c r="O156" s="13">
        <f>N156*VLOOKUP('Données projet'!$B$9,Paramètres!$A$1:$I$89,3,0)*VLOOKUP('Données projet'!$B$9,Paramètres!$A$1:$I$89,5,0)</f>
        <v>176.41000000000003</v>
      </c>
      <c r="P156" s="13">
        <f t="shared" si="141"/>
        <v>44.522543239204609</v>
      </c>
      <c r="Q156" s="20">
        <f t="shared" si="162"/>
        <v>384.79084614161474</v>
      </c>
      <c r="R156" s="59">
        <f t="shared" si="109"/>
        <v>671.82349163111473</v>
      </c>
      <c r="S156" s="59">
        <f ca="1">AVERAGE(OFFSET($R$3,0,0,'Données projet'!$E$9+1,1))-AVERAGE(OFFSET($H$3,0,0,'Données projet'!$E$9+1,1))</f>
        <v>219.4022220248072</v>
      </c>
      <c r="T156" s="59">
        <f t="shared" si="142"/>
        <v>199.30065726913725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5.0696251266206991</v>
      </c>
      <c r="AA156" s="21">
        <f>EXP(-LN(2)/25)*AA155+(1-EXP(-LN(2)/25))/(LN(2)/25)*Calculateur!V156*Calculateur!X156*VLOOKUP('Données projet'!$B$9,Paramètres!$A$1:$I$89,3,0)*0.475*44/12</f>
        <v>0.51466916082785175</v>
      </c>
      <c r="AB156" s="21">
        <f>EXP(-LN(2)/2)*AB155+(1-EXP(-LN(2)/2))/(LN(2)/2)*V156*Y156*VLOOKUP('Données projet'!$B$9,Paramètres!$A$1:$I$89,3,0)*0.475*44/12</f>
        <v>1.9928878057749765E-14</v>
      </c>
      <c r="AC156" s="22">
        <f t="shared" si="163"/>
        <v>5.5842942874485706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268.00000000000011</v>
      </c>
      <c r="AJ156" s="13">
        <f>AI156*VLOOKUP('Données projet'!$B$10,Paramètres!$A$1:$I$89,3,0)*VLOOKUP('Données projet'!$B$10,Paramètres!$A$1:$I$89,5,0)</f>
        <v>242.48640000000009</v>
      </c>
      <c r="AK156" s="13">
        <f t="shared" si="164"/>
        <v>58.974170235372476</v>
      </c>
      <c r="AL156" s="20">
        <f t="shared" si="165"/>
        <v>525.04382649327385</v>
      </c>
      <c r="AM156" s="59">
        <f t="shared" si="113"/>
        <v>812.07647198277391</v>
      </c>
      <c r="AN156" s="59">
        <f ca="1">AVERAGE(OFFSET($AM$3,0,0,'Données projet'!$E$10+1,1))-AVERAGE(OFFSET($H$3,0,0,'Données projet'!$E$10+1,1))</f>
        <v>406.64650428071837</v>
      </c>
      <c r="AO156" s="59">
        <f t="shared" si="144"/>
        <v>250.47702091764884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30.351190326829041</v>
      </c>
      <c r="AV156" s="21">
        <f>EXP(-LN(2)/25)*AV155+(1-EXP(-LN(2)/25))/(LN(2)/25)*Calculateur!AQ156*Calculateur!AS156*VLOOKUP('Données projet'!$B$10,Paramètres!$A$1:$I$89,3,0)*0.475*44/12</f>
        <v>0.99066054309556173</v>
      </c>
      <c r="AW156" s="21">
        <f>EXP(-LN(2)/2)*AW155+(1-EXP(-LN(2)/2))/(LN(2)/2)*AQ156*AT156*VLOOKUP('Données projet'!$B$10,Paramètres!$A$1:$I$89,3,0)*0.475*44/12</f>
        <v>1.1556881444993086E-5</v>
      </c>
      <c r="AX156" s="21">
        <f t="shared" si="166"/>
        <v>31.341862426806049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290.99999999999994</v>
      </c>
      <c r="BE156" s="13">
        <f>BD156*VLOOKUP('Données projet'!$B$11,Paramètres!$A$1:$I$89,3,0)*VLOOKUP('Données projet'!$B$11,Paramètres!$A$1:$I$89,5,0)</f>
        <v>276.91559999999993</v>
      </c>
      <c r="BF156" s="13">
        <f t="shared" si="167"/>
        <v>66.314766879144742</v>
      </c>
      <c r="BG156" s="20">
        <f t="shared" si="168"/>
        <v>597.79288898117682</v>
      </c>
      <c r="BH156" s="59">
        <f t="shared" si="116"/>
        <v>884.82553447067676</v>
      </c>
      <c r="BI156" s="59">
        <f ca="1">AVERAGE(OFFSET($BH$3,0,0,'Données projet'!$E$11+1,1))-AVERAGE(OFFSET($H$3,0,0,'Données projet'!$E$11+1,1))</f>
        <v>387.78453964980849</v>
      </c>
      <c r="BJ156" s="59">
        <f t="shared" si="146"/>
        <v>395.13533152274488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8.780008843922765</v>
      </c>
      <c r="BQ156" s="21">
        <f>EXP(-LN(2)/25)*BQ155+(1-EXP(-LN(2)/25))/(LN(2)/25)*Calculateur!BL156*Calculateur!BN156*VLOOKUP('Données projet'!$B$11,Paramètres!$A$1:$I$89,3,0)*0.475*44/12</f>
        <v>0.27406357996869524</v>
      </c>
      <c r="BR156" s="21">
        <f>EXP(-LN(2)/2)*BR155+(1-EXP(-LN(2)/2))/(LN(2)/2)*BL156*BO156*VLOOKUP('Données projet'!$B$11,Paramètres!$A$1:$I$89,3,0)*0.475*44/12</f>
        <v>4.6667721339144644E-13</v>
      </c>
      <c r="BS156" s="22">
        <f t="shared" si="169"/>
        <v>9.0540724238919275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">
      <c r="A157" s="10">
        <f t="shared" si="161"/>
        <v>154</v>
      </c>
      <c r="B157" s="73">
        <f>'Scénario référence'!$B$16*5+'Scénario référence'!$B$17*0+'Scénario référence'!$B$18*5</f>
        <v>5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">
        <f t="shared" si="140"/>
        <v>0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18.333333333333332</v>
      </c>
      <c r="H157" s="67">
        <f t="shared" si="110"/>
        <v>183.33333333333334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295</v>
      </c>
      <c r="O157" s="13">
        <f>N157*VLOOKUP('Données projet'!$B$9,Paramètres!$A$1:$I$89,3,0)*VLOOKUP('Données projet'!$B$9,Paramètres!$A$1:$I$89,5,0)</f>
        <v>176.41000000000003</v>
      </c>
      <c r="P157" s="13">
        <f t="shared" si="141"/>
        <v>44.522543239204609</v>
      </c>
      <c r="Q157" s="20">
        <f t="shared" si="162"/>
        <v>384.79084614161474</v>
      </c>
      <c r="R157" s="59">
        <f t="shared" si="109"/>
        <v>671.93279447897748</v>
      </c>
      <c r="S157" s="59">
        <f ca="1">AVERAGE(OFFSET($R$3,0,0,'Données projet'!$E$9+1,1))-AVERAGE(OFFSET($H$3,0,0,'Données projet'!$E$9+1,1))</f>
        <v>219.4022220248072</v>
      </c>
      <c r="T157" s="59">
        <f t="shared" si="142"/>
        <v>199.30065726913725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4.9702128700536683</v>
      </c>
      <c r="AA157" s="21">
        <f>EXP(-LN(2)/25)*AA156+(1-EXP(-LN(2)/25))/(LN(2)/25)*Calculateur!V157*Calculateur!X157*VLOOKUP('Données projet'!$B$9,Paramètres!$A$1:$I$89,3,0)*0.475*44/12</f>
        <v>0.50059550555973931</v>
      </c>
      <c r="AB157" s="21">
        <f>EXP(-LN(2)/2)*AB156+(1-EXP(-LN(2)/2))/(LN(2)/2)*V157*Y157*VLOOKUP('Données projet'!$B$9,Paramètres!$A$1:$I$89,3,0)*0.475*44/12</f>
        <v>1.4091844816074652E-14</v>
      </c>
      <c r="AC157" s="22">
        <f t="shared" si="163"/>
        <v>5.470808375613422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268.00000000000011</v>
      </c>
      <c r="AJ157" s="13">
        <f>AI157*VLOOKUP('Données projet'!$B$10,Paramètres!$A$1:$I$89,3,0)*VLOOKUP('Données projet'!$B$10,Paramètres!$A$1:$I$89,5,0)</f>
        <v>242.48640000000009</v>
      </c>
      <c r="AK157" s="13">
        <f t="shared" si="164"/>
        <v>58.974170235372476</v>
      </c>
      <c r="AL157" s="20">
        <f t="shared" si="165"/>
        <v>525.04382649327385</v>
      </c>
      <c r="AM157" s="59">
        <f t="shared" si="113"/>
        <v>812.18577483063655</v>
      </c>
      <c r="AN157" s="59">
        <f ca="1">AVERAGE(OFFSET($AM$3,0,0,'Données projet'!$E$10+1,1))-AVERAGE(OFFSET($H$3,0,0,'Données projet'!$E$10+1,1))</f>
        <v>406.64650428071837</v>
      </c>
      <c r="AO157" s="59">
        <f t="shared" si="144"/>
        <v>250.47702091764884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29.756021996918076</v>
      </c>
      <c r="AV157" s="21">
        <f>EXP(-LN(2)/25)*AV156+(1-EXP(-LN(2)/25))/(LN(2)/25)*Calculateur!AQ157*Calculateur!AS157*VLOOKUP('Données projet'!$B$10,Paramètres!$A$1:$I$89,3,0)*0.475*44/12</f>
        <v>0.96357087844803979</v>
      </c>
      <c r="AW157" s="21">
        <f>EXP(-LN(2)/2)*AW156+(1-EXP(-LN(2)/2))/(LN(2)/2)*AQ157*AT157*VLOOKUP('Données projet'!$B$10,Paramètres!$A$1:$I$89,3,0)*0.475*44/12</f>
        <v>8.1719492391235974E-6</v>
      </c>
      <c r="AX157" s="21">
        <f t="shared" si="166"/>
        <v>30.719601047315354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290.99999999999994</v>
      </c>
      <c r="BE157" s="13">
        <f>BD157*VLOOKUP('Données projet'!$B$11,Paramètres!$A$1:$I$89,3,0)*VLOOKUP('Données projet'!$B$11,Paramètres!$A$1:$I$89,5,0)</f>
        <v>276.91559999999993</v>
      </c>
      <c r="BF157" s="13">
        <f t="shared" si="167"/>
        <v>66.314766879144742</v>
      </c>
      <c r="BG157" s="20">
        <f t="shared" si="168"/>
        <v>597.79288898117682</v>
      </c>
      <c r="BH157" s="59">
        <f t="shared" si="116"/>
        <v>884.93483731853962</v>
      </c>
      <c r="BI157" s="59">
        <f ca="1">AVERAGE(OFFSET($BH$3,0,0,'Données projet'!$E$11+1,1))-AVERAGE(OFFSET($H$3,0,0,'Données projet'!$E$11+1,1))</f>
        <v>387.78453964980849</v>
      </c>
      <c r="BJ157" s="59">
        <f t="shared" si="146"/>
        <v>395.13533152274488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8.6078382257700454</v>
      </c>
      <c r="BQ157" s="21">
        <f>EXP(-LN(2)/25)*BQ156+(1-EXP(-LN(2)/25))/(LN(2)/25)*Calculateur!BL157*Calculateur!BN157*VLOOKUP('Données projet'!$B$11,Paramètres!$A$1:$I$89,3,0)*0.475*44/12</f>
        <v>0.26656929696207399</v>
      </c>
      <c r="BR157" s="21">
        <f>EXP(-LN(2)/2)*BR156+(1-EXP(-LN(2)/2))/(LN(2)/2)*BL157*BO157*VLOOKUP('Données projet'!$B$11,Paramètres!$A$1:$I$89,3,0)*0.475*44/12</f>
        <v>3.2999062221433327E-13</v>
      </c>
      <c r="BS157" s="22">
        <f t="shared" si="169"/>
        <v>8.874407522732449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">
      <c r="A158" s="10">
        <f t="shared" si="161"/>
        <v>155</v>
      </c>
      <c r="B158" s="73">
        <f>'Scénario référence'!$B$16*5+'Scénario référence'!$B$17*0+'Scénario référence'!$B$18*5</f>
        <v>5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">
        <f t="shared" si="140"/>
        <v>0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18.333333333333332</v>
      </c>
      <c r="H158" s="67">
        <f t="shared" si="110"/>
        <v>183.33333333333334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295</v>
      </c>
      <c r="O158" s="13">
        <f>N158*VLOOKUP('Données projet'!$B$9,Paramètres!$A$1:$I$89,3,0)*VLOOKUP('Données projet'!$B$9,Paramètres!$A$1:$I$89,5,0)</f>
        <v>176.41000000000003</v>
      </c>
      <c r="P158" s="13">
        <f t="shared" si="141"/>
        <v>44.522543239204609</v>
      </c>
      <c r="Q158" s="20">
        <f t="shared" si="162"/>
        <v>384.79084614161474</v>
      </c>
      <c r="R158" s="59">
        <f t="shared" si="109"/>
        <v>672.04020116679442</v>
      </c>
      <c r="S158" s="59">
        <f ca="1">AVERAGE(OFFSET($R$3,0,0,'Données projet'!$E$9+1,1))-AVERAGE(OFFSET($H$3,0,0,'Données projet'!$E$9+1,1))</f>
        <v>219.4022220248072</v>
      </c>
      <c r="T158" s="59">
        <f t="shared" si="142"/>
        <v>199.30065726913725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4.8727500272024278</v>
      </c>
      <c r="AA158" s="21">
        <f>EXP(-LN(2)/25)*AA157+(1-EXP(-LN(2)/25))/(LN(2)/25)*Calculateur!V158*Calculateur!X158*VLOOKUP('Données projet'!$B$9,Paramètres!$A$1:$I$89,3,0)*0.475*44/12</f>
        <v>0.48690669513503471</v>
      </c>
      <c r="AB158" s="21">
        <f>EXP(-LN(2)/2)*AB157+(1-EXP(-LN(2)/2))/(LN(2)/2)*V158*Y158*VLOOKUP('Données projet'!$B$9,Paramètres!$A$1:$I$89,3,0)*0.475*44/12</f>
        <v>9.964439028874884E-15</v>
      </c>
      <c r="AC158" s="22">
        <f t="shared" si="163"/>
        <v>5.3596567223374718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268.00000000000011</v>
      </c>
      <c r="AJ158" s="13">
        <f>AI158*VLOOKUP('Données projet'!$B$10,Paramètres!$A$1:$I$89,3,0)*VLOOKUP('Données projet'!$B$10,Paramètres!$A$1:$I$89,5,0)</f>
        <v>242.48640000000009</v>
      </c>
      <c r="AK158" s="13">
        <f t="shared" si="164"/>
        <v>58.974170235372476</v>
      </c>
      <c r="AL158" s="20">
        <f t="shared" si="165"/>
        <v>525.04382649327385</v>
      </c>
      <c r="AM158" s="59">
        <f t="shared" si="113"/>
        <v>812.29318151845359</v>
      </c>
      <c r="AN158" s="59">
        <f ca="1">AVERAGE(OFFSET($AM$3,0,0,'Données projet'!$E$10+1,1))-AVERAGE(OFFSET($H$3,0,0,'Données projet'!$E$10+1,1))</f>
        <v>406.64650428071837</v>
      </c>
      <c r="AO158" s="59">
        <f t="shared" si="144"/>
        <v>250.47702091764884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29.172524554939827</v>
      </c>
      <c r="AV158" s="21">
        <f>EXP(-LN(2)/25)*AV157+(1-EXP(-LN(2)/25))/(LN(2)/25)*Calculateur!AQ158*Calculateur!AS158*VLOOKUP('Données projet'!$B$10,Paramètres!$A$1:$I$89,3,0)*0.475*44/12</f>
        <v>0.93722198210488794</v>
      </c>
      <c r="AW158" s="21">
        <f>EXP(-LN(2)/2)*AW157+(1-EXP(-LN(2)/2))/(LN(2)/2)*AQ158*AT158*VLOOKUP('Données projet'!$B$10,Paramètres!$A$1:$I$89,3,0)*0.475*44/12</f>
        <v>5.7784407224965431E-6</v>
      </c>
      <c r="AX158" s="21">
        <f t="shared" si="166"/>
        <v>30.109752315485437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290.99999999999994</v>
      </c>
      <c r="BE158" s="13">
        <f>BD158*VLOOKUP('Données projet'!$B$11,Paramètres!$A$1:$I$89,3,0)*VLOOKUP('Données projet'!$B$11,Paramètres!$A$1:$I$89,5,0)</f>
        <v>276.91559999999993</v>
      </c>
      <c r="BF158" s="13">
        <f t="shared" si="167"/>
        <v>66.314766879144742</v>
      </c>
      <c r="BG158" s="20">
        <f t="shared" si="168"/>
        <v>597.79288898117682</v>
      </c>
      <c r="BH158" s="59">
        <f t="shared" si="116"/>
        <v>885.04224400635644</v>
      </c>
      <c r="BI158" s="59">
        <f ca="1">AVERAGE(OFFSET($BH$3,0,0,'Données projet'!$E$11+1,1))-AVERAGE(OFFSET($H$3,0,0,'Données projet'!$E$11+1,1))</f>
        <v>387.78453964980849</v>
      </c>
      <c r="BJ158" s="59">
        <f t="shared" si="146"/>
        <v>395.13533152274488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8.4390437684255915</v>
      </c>
      <c r="BQ158" s="21">
        <f>EXP(-LN(2)/25)*BQ157+(1-EXP(-LN(2)/25))/(LN(2)/25)*Calculateur!BL158*Calculateur!BN158*VLOOKUP('Données projet'!$B$11,Paramètres!$A$1:$I$89,3,0)*0.475*44/12</f>
        <v>0.25927994551837602</v>
      </c>
      <c r="BR158" s="21">
        <f>EXP(-LN(2)/2)*BR157+(1-EXP(-LN(2)/2))/(LN(2)/2)*BL158*BO158*VLOOKUP('Données projet'!$B$11,Paramètres!$A$1:$I$89,3,0)*0.475*44/12</f>
        <v>2.3333860669572322E-13</v>
      </c>
      <c r="BS158" s="22">
        <f t="shared" si="169"/>
        <v>8.6983237139442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">
      <c r="A159" s="10">
        <f t="shared" si="161"/>
        <v>156</v>
      </c>
      <c r="B159" s="73">
        <f>'Scénario référence'!$B$16*5+'Scénario référence'!$B$17*0+'Scénario référence'!$B$18*5</f>
        <v>5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">
        <f t="shared" si="140"/>
        <v>0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18.333333333333332</v>
      </c>
      <c r="H159" s="67">
        <f t="shared" si="110"/>
        <v>183.33333333333334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295</v>
      </c>
      <c r="O159" s="13">
        <f>N159*VLOOKUP('Données projet'!$B$9,Paramètres!$A$1:$I$89,3,0)*VLOOKUP('Données projet'!$B$9,Paramètres!$A$1:$I$89,5,0)</f>
        <v>176.41000000000003</v>
      </c>
      <c r="P159" s="13">
        <f t="shared" si="141"/>
        <v>44.522543239204609</v>
      </c>
      <c r="Q159" s="20">
        <f t="shared" si="162"/>
        <v>384.79084614161474</v>
      </c>
      <c r="R159" s="59">
        <f t="shared" si="109"/>
        <v>672.14574458870311</v>
      </c>
      <c r="S159" s="59">
        <f ca="1">AVERAGE(OFFSET($R$3,0,0,'Données projet'!$E$9+1,1))-AVERAGE(OFFSET($H$3,0,0,'Données projet'!$E$9+1,1))</f>
        <v>219.4022220248072</v>
      </c>
      <c r="T159" s="59">
        <f t="shared" si="142"/>
        <v>199.30065726913725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4.7771983712530357</v>
      </c>
      <c r="AA159" s="21">
        <f>EXP(-LN(2)/25)*AA158+(1-EXP(-LN(2)/25))/(LN(2)/25)*Calculateur!V159*Calculateur!X159*VLOOKUP('Données projet'!$B$9,Paramètres!$A$1:$I$89,3,0)*0.475*44/12</f>
        <v>0.47359220595125695</v>
      </c>
      <c r="AB159" s="21">
        <f>EXP(-LN(2)/2)*AB158+(1-EXP(-LN(2)/2))/(LN(2)/2)*V159*Y159*VLOOKUP('Données projet'!$B$9,Paramètres!$A$1:$I$89,3,0)*0.475*44/12</f>
        <v>7.045922408037327E-15</v>
      </c>
      <c r="AC159" s="22">
        <f t="shared" si="163"/>
        <v>5.2507905772042998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268.00000000000011</v>
      </c>
      <c r="AJ159" s="13">
        <f>AI159*VLOOKUP('Données projet'!$B$10,Paramètres!$A$1:$I$89,3,0)*VLOOKUP('Données projet'!$B$10,Paramètres!$A$1:$I$89,5,0)</f>
        <v>242.48640000000009</v>
      </c>
      <c r="AK159" s="13">
        <f t="shared" si="164"/>
        <v>58.974170235372476</v>
      </c>
      <c r="AL159" s="20">
        <f t="shared" si="165"/>
        <v>525.04382649327385</v>
      </c>
      <c r="AM159" s="59">
        <f t="shared" si="113"/>
        <v>812.39872494036217</v>
      </c>
      <c r="AN159" s="59">
        <f ca="1">AVERAGE(OFFSET($AM$3,0,0,'Données projet'!$E$10+1,1))-AVERAGE(OFFSET($H$3,0,0,'Données projet'!$E$10+1,1))</f>
        <v>406.64650428071837</v>
      </c>
      <c r="AO159" s="59">
        <f t="shared" si="144"/>
        <v>250.47702091764884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28.600469141900476</v>
      </c>
      <c r="AV159" s="21">
        <f>EXP(-LN(2)/25)*AV158+(1-EXP(-LN(2)/25))/(LN(2)/25)*Calculateur!AQ159*Calculateur!AS159*VLOOKUP('Données projet'!$B$10,Paramètres!$A$1:$I$89,3,0)*0.475*44/12</f>
        <v>0.91159359771786774</v>
      </c>
      <c r="AW159" s="21">
        <f>EXP(-LN(2)/2)*AW158+(1-EXP(-LN(2)/2))/(LN(2)/2)*AQ159*AT159*VLOOKUP('Données projet'!$B$10,Paramètres!$A$1:$I$89,3,0)*0.475*44/12</f>
        <v>4.0859746195617987E-6</v>
      </c>
      <c r="AX159" s="21">
        <f t="shared" si="166"/>
        <v>29.512066825592964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290.99999999999994</v>
      </c>
      <c r="BE159" s="13">
        <f>BD159*VLOOKUP('Données projet'!$B$11,Paramètres!$A$1:$I$89,3,0)*VLOOKUP('Données projet'!$B$11,Paramètres!$A$1:$I$89,5,0)</f>
        <v>276.91559999999993</v>
      </c>
      <c r="BF159" s="13">
        <f t="shared" si="167"/>
        <v>66.314766879144742</v>
      </c>
      <c r="BG159" s="20">
        <f t="shared" si="168"/>
        <v>597.79288898117682</v>
      </c>
      <c r="BH159" s="59">
        <f t="shared" si="116"/>
        <v>885.14778742826513</v>
      </c>
      <c r="BI159" s="59">
        <f ca="1">AVERAGE(OFFSET($BH$3,0,0,'Données projet'!$E$11+1,1))-AVERAGE(OFFSET($H$3,0,0,'Données projet'!$E$11+1,1))</f>
        <v>387.78453964980849</v>
      </c>
      <c r="BJ159" s="59">
        <f t="shared" si="146"/>
        <v>395.13533152274488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8.2735592674352105</v>
      </c>
      <c r="BQ159" s="21">
        <f>EXP(-LN(2)/25)*BQ158+(1-EXP(-LN(2)/25))/(LN(2)/25)*Calculateur!BL159*Calculateur!BN159*VLOOKUP('Données projet'!$B$11,Paramètres!$A$1:$I$89,3,0)*0.475*44/12</f>
        <v>0.25218992177323629</v>
      </c>
      <c r="BR159" s="21">
        <f>EXP(-LN(2)/2)*BR158+(1-EXP(-LN(2)/2))/(LN(2)/2)*BL159*BO159*VLOOKUP('Données projet'!$B$11,Paramètres!$A$1:$I$89,3,0)*0.475*44/12</f>
        <v>1.6499531110716664E-13</v>
      </c>
      <c r="BS159" s="22">
        <f t="shared" si="169"/>
        <v>8.5257491892086126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">
      <c r="A160" s="10">
        <f t="shared" si="161"/>
        <v>157</v>
      </c>
      <c r="B160" s="73">
        <f>'Scénario référence'!$B$16*5+'Scénario référence'!$B$17*0+'Scénario référence'!$B$18*5</f>
        <v>5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">
        <f t="shared" si="140"/>
        <v>0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18.333333333333332</v>
      </c>
      <c r="H160" s="67">
        <f t="shared" si="110"/>
        <v>183.33333333333334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295</v>
      </c>
      <c r="O160" s="13">
        <f>N160*VLOOKUP('Données projet'!$B$9,Paramètres!$A$1:$I$89,3,0)*VLOOKUP('Données projet'!$B$9,Paramètres!$A$1:$I$89,5,0)</f>
        <v>176.41000000000003</v>
      </c>
      <c r="P160" s="13">
        <f t="shared" si="141"/>
        <v>44.522543239204609</v>
      </c>
      <c r="Q160" s="20">
        <f t="shared" si="162"/>
        <v>384.79084614161474</v>
      </c>
      <c r="R160" s="59">
        <f t="shared" si="109"/>
        <v>672.24945706820131</v>
      </c>
      <c r="S160" s="59">
        <f ca="1">AVERAGE(OFFSET($R$3,0,0,'Données projet'!$E$9+1,1))-AVERAGE(OFFSET($H$3,0,0,'Données projet'!$E$9+1,1))</f>
        <v>219.4022220248072</v>
      </c>
      <c r="T160" s="59">
        <f t="shared" si="142"/>
        <v>199.30065726913725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4.6835204249960558</v>
      </c>
      <c r="AA160" s="21">
        <f>EXP(-LN(2)/25)*AA159+(1-EXP(-LN(2)/25))/(LN(2)/25)*Calculateur!V160*Calculateur!X160*VLOOKUP('Données projet'!$B$9,Paramètres!$A$1:$I$89,3,0)*0.475*44/12</f>
        <v>0.4606418021743881</v>
      </c>
      <c r="AB160" s="21">
        <f>EXP(-LN(2)/2)*AB159+(1-EXP(-LN(2)/2))/(LN(2)/2)*V160*Y160*VLOOKUP('Données projet'!$B$9,Paramètres!$A$1:$I$89,3,0)*0.475*44/12</f>
        <v>4.9822195144374428E-15</v>
      </c>
      <c r="AC160" s="22">
        <f t="shared" si="163"/>
        <v>5.1441622271704492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268.00000000000011</v>
      </c>
      <c r="AJ160" s="13">
        <f>AI160*VLOOKUP('Données projet'!$B$10,Paramètres!$A$1:$I$89,3,0)*VLOOKUP('Données projet'!$B$10,Paramètres!$A$1:$I$89,5,0)</f>
        <v>242.48640000000009</v>
      </c>
      <c r="AK160" s="13">
        <f t="shared" si="164"/>
        <v>58.974170235372476</v>
      </c>
      <c r="AL160" s="20">
        <f t="shared" si="165"/>
        <v>525.04382649327385</v>
      </c>
      <c r="AM160" s="59">
        <f t="shared" si="113"/>
        <v>812.50243741986037</v>
      </c>
      <c r="AN160" s="59">
        <f ca="1">AVERAGE(OFFSET($AM$3,0,0,'Données projet'!$E$10+1,1))-AVERAGE(OFFSET($H$3,0,0,'Données projet'!$E$10+1,1))</f>
        <v>406.64650428071837</v>
      </c>
      <c r="AO160" s="59">
        <f t="shared" si="144"/>
        <v>250.47702091764884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28.039631386591477</v>
      </c>
      <c r="AV160" s="21">
        <f>EXP(-LN(2)/25)*AV159+(1-EXP(-LN(2)/25))/(LN(2)/25)*Calculateur!AQ160*Calculateur!AS160*VLOOKUP('Données projet'!$B$10,Paramètres!$A$1:$I$89,3,0)*0.475*44/12</f>
        <v>0.88666602284964879</v>
      </c>
      <c r="AW160" s="21">
        <f>EXP(-LN(2)/2)*AW159+(1-EXP(-LN(2)/2))/(LN(2)/2)*AQ160*AT160*VLOOKUP('Données projet'!$B$10,Paramètres!$A$1:$I$89,3,0)*0.475*44/12</f>
        <v>2.8892203612482716E-6</v>
      </c>
      <c r="AX160" s="21">
        <f t="shared" si="166"/>
        <v>28.926300298661488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290.99999999999994</v>
      </c>
      <c r="BE160" s="13">
        <f>BD160*VLOOKUP('Données projet'!$B$11,Paramètres!$A$1:$I$89,3,0)*VLOOKUP('Données projet'!$B$11,Paramètres!$A$1:$I$89,5,0)</f>
        <v>276.91559999999993</v>
      </c>
      <c r="BF160" s="13">
        <f t="shared" si="167"/>
        <v>66.314766879144742</v>
      </c>
      <c r="BG160" s="20">
        <f t="shared" si="168"/>
        <v>597.79288898117682</v>
      </c>
      <c r="BH160" s="59">
        <f t="shared" si="116"/>
        <v>885.25149990776345</v>
      </c>
      <c r="BI160" s="59">
        <f ca="1">AVERAGE(OFFSET($BH$3,0,0,'Données projet'!$E$11+1,1))-AVERAGE(OFFSET($H$3,0,0,'Données projet'!$E$11+1,1))</f>
        <v>387.78453964980849</v>
      </c>
      <c r="BJ160" s="59">
        <f t="shared" si="146"/>
        <v>395.13533152274488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8.1113198165736708</v>
      </c>
      <c r="BQ160" s="21">
        <f>EXP(-LN(2)/25)*BQ159+(1-EXP(-LN(2)/25))/(LN(2)/25)*Calculateur!BL160*Calculateur!BN160*VLOOKUP('Données projet'!$B$11,Paramètres!$A$1:$I$89,3,0)*0.475*44/12</f>
        <v>0.24529377510025555</v>
      </c>
      <c r="BR160" s="21">
        <f>EXP(-LN(2)/2)*BR159+(1-EXP(-LN(2)/2))/(LN(2)/2)*BL160*BO160*VLOOKUP('Données projet'!$B$11,Paramètres!$A$1:$I$89,3,0)*0.475*44/12</f>
        <v>1.1666930334786161E-13</v>
      </c>
      <c r="BS160" s="22">
        <f t="shared" si="169"/>
        <v>8.3566135916740443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">
      <c r="A161" s="10">
        <f t="shared" si="161"/>
        <v>158</v>
      </c>
      <c r="B161" s="73">
        <f>'Scénario référence'!$B$16*5+'Scénario référence'!$B$17*0+'Scénario référence'!$B$18*5</f>
        <v>5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">
        <f t="shared" si="140"/>
        <v>0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18.333333333333332</v>
      </c>
      <c r="H161" s="67">
        <f t="shared" si="110"/>
        <v>183.33333333333334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295</v>
      </c>
      <c r="O161" s="13">
        <f>N161*VLOOKUP('Données projet'!$B$9,Paramètres!$A$1:$I$89,3,0)*VLOOKUP('Données projet'!$B$9,Paramètres!$A$1:$I$89,5,0)</f>
        <v>176.41000000000003</v>
      </c>
      <c r="P161" s="13">
        <f t="shared" si="141"/>
        <v>44.522543239204609</v>
      </c>
      <c r="Q161" s="20">
        <f t="shared" si="162"/>
        <v>384.79084614161474</v>
      </c>
      <c r="R161" s="59">
        <f t="shared" si="109"/>
        <v>672.35137036804667</v>
      </c>
      <c r="S161" s="59">
        <f ca="1">AVERAGE(OFFSET($R$3,0,0,'Données projet'!$E$9+1,1))-AVERAGE(OFFSET($H$3,0,0,'Données projet'!$E$9+1,1))</f>
        <v>219.4022220248072</v>
      </c>
      <c r="T161" s="59">
        <f t="shared" si="142"/>
        <v>199.30065726913725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4.5916794461272703</v>
      </c>
      <c r="AA161" s="21">
        <f>EXP(-LN(2)/25)*AA160+(1-EXP(-LN(2)/25))/(LN(2)/25)*Calculateur!V161*Calculateur!X161*VLOOKUP('Données projet'!$B$9,Paramètres!$A$1:$I$89,3,0)*0.475*44/12</f>
        <v>0.44804552786982987</v>
      </c>
      <c r="AB161" s="21">
        <f>EXP(-LN(2)/2)*AB160+(1-EXP(-LN(2)/2))/(LN(2)/2)*V161*Y161*VLOOKUP('Données projet'!$B$9,Paramètres!$A$1:$I$89,3,0)*0.475*44/12</f>
        <v>3.5229612040186643E-15</v>
      </c>
      <c r="AC161" s="22">
        <f t="shared" si="163"/>
        <v>5.039724973997104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268.00000000000011</v>
      </c>
      <c r="AJ161" s="13">
        <f>AI161*VLOOKUP('Données projet'!$B$10,Paramètres!$A$1:$I$89,3,0)*VLOOKUP('Données projet'!$B$10,Paramètres!$A$1:$I$89,5,0)</f>
        <v>242.48640000000009</v>
      </c>
      <c r="AK161" s="13">
        <f t="shared" si="164"/>
        <v>58.974170235372476</v>
      </c>
      <c r="AL161" s="20">
        <f t="shared" si="165"/>
        <v>525.04382649327385</v>
      </c>
      <c r="AM161" s="59">
        <f t="shared" si="113"/>
        <v>812.60435071970585</v>
      </c>
      <c r="AN161" s="59">
        <f ca="1">AVERAGE(OFFSET($AM$3,0,0,'Données projet'!$E$10+1,1))-AVERAGE(OFFSET($H$3,0,0,'Données projet'!$E$10+1,1))</f>
        <v>406.64650428071837</v>
      </c>
      <c r="AO161" s="59">
        <f t="shared" si="144"/>
        <v>250.47702091764884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27.489791317586835</v>
      </c>
      <c r="AV161" s="21">
        <f>EXP(-LN(2)/25)*AV160+(1-EXP(-LN(2)/25))/(LN(2)/25)*Calculateur!AQ161*Calculateur!AS161*VLOOKUP('Données projet'!$B$10,Paramètres!$A$1:$I$89,3,0)*0.475*44/12</f>
        <v>0.86242009382708551</v>
      </c>
      <c r="AW161" s="21">
        <f>EXP(-LN(2)/2)*AW160+(1-EXP(-LN(2)/2))/(LN(2)/2)*AQ161*AT161*VLOOKUP('Données projet'!$B$10,Paramètres!$A$1:$I$89,3,0)*0.475*44/12</f>
        <v>2.0429873097808994E-6</v>
      </c>
      <c r="AX161" s="21">
        <f t="shared" si="166"/>
        <v>28.35221345440123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290.99999999999994</v>
      </c>
      <c r="BE161" s="13">
        <f>BD161*VLOOKUP('Données projet'!$B$11,Paramètres!$A$1:$I$89,3,0)*VLOOKUP('Données projet'!$B$11,Paramètres!$A$1:$I$89,5,0)</f>
        <v>276.91559999999993</v>
      </c>
      <c r="BF161" s="13">
        <f t="shared" si="167"/>
        <v>66.314766879144742</v>
      </c>
      <c r="BG161" s="20">
        <f t="shared" si="168"/>
        <v>597.79288898117682</v>
      </c>
      <c r="BH161" s="59">
        <f t="shared" si="116"/>
        <v>885.35341320760881</v>
      </c>
      <c r="BI161" s="59">
        <f ca="1">AVERAGE(OFFSET($BH$3,0,0,'Données projet'!$E$11+1,1))-AVERAGE(OFFSET($H$3,0,0,'Données projet'!$E$11+1,1))</f>
        <v>387.78453964980849</v>
      </c>
      <c r="BJ161" s="59">
        <f t="shared" si="146"/>
        <v>395.13533152274488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7.9522617823872324</v>
      </c>
      <c r="BQ161" s="21">
        <f>EXP(-LN(2)/25)*BQ160+(1-EXP(-LN(2)/25))/(LN(2)/25)*Calculateur!BL161*Calculateur!BN161*VLOOKUP('Données projet'!$B$11,Paramètres!$A$1:$I$89,3,0)*0.475*44/12</f>
        <v>0.23858620392070004</v>
      </c>
      <c r="BR161" s="21">
        <f>EXP(-LN(2)/2)*BR160+(1-EXP(-LN(2)/2))/(LN(2)/2)*BL161*BO161*VLOOKUP('Données projet'!$B$11,Paramètres!$A$1:$I$89,3,0)*0.475*44/12</f>
        <v>8.2497655553583318E-14</v>
      </c>
      <c r="BS161" s="22">
        <f t="shared" si="169"/>
        <v>8.1908479863080146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">
      <c r="A162" s="10">
        <f t="shared" si="161"/>
        <v>159</v>
      </c>
      <c r="B162" s="73">
        <f>'Scénario référence'!$B$16*5+'Scénario référence'!$B$17*0+'Scénario référence'!$B$18*5</f>
        <v>5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">
        <f t="shared" si="140"/>
        <v>0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18.333333333333332</v>
      </c>
      <c r="H162" s="67">
        <f t="shared" si="110"/>
        <v>183.33333333333334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295</v>
      </c>
      <c r="O162" s="13">
        <f>N162*VLOOKUP('Données projet'!$B$9,Paramètres!$A$1:$I$89,3,0)*VLOOKUP('Données projet'!$B$9,Paramètres!$A$1:$I$89,5,0)</f>
        <v>176.41000000000003</v>
      </c>
      <c r="P162" s="13">
        <f t="shared" si="141"/>
        <v>44.522543239204609</v>
      </c>
      <c r="Q162" s="20">
        <f t="shared" si="162"/>
        <v>384.79084614161474</v>
      </c>
      <c r="R162" s="59">
        <f t="shared" si="109"/>
        <v>672.4515156999837</v>
      </c>
      <c r="S162" s="59">
        <f ca="1">AVERAGE(OFFSET($R$3,0,0,'Données projet'!$E$9+1,1))-AVERAGE(OFFSET($H$3,0,0,'Données projet'!$E$9+1,1))</f>
        <v>219.4022220248072</v>
      </c>
      <c r="T162" s="59">
        <f t="shared" si="142"/>
        <v>199.30065726913725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4.5016394128366359</v>
      </c>
      <c r="AA162" s="21">
        <f>EXP(-LN(2)/25)*AA161+(1-EXP(-LN(2)/25))/(LN(2)/25)*Calculateur!V162*Calculateur!X162*VLOOKUP('Données projet'!$B$9,Paramètres!$A$1:$I$89,3,0)*0.475*44/12</f>
        <v>0.43579369934853907</v>
      </c>
      <c r="AB162" s="21">
        <f>EXP(-LN(2)/2)*AB161+(1-EXP(-LN(2)/2))/(LN(2)/2)*V162*Y162*VLOOKUP('Données projet'!$B$9,Paramètres!$A$1:$I$89,3,0)*0.475*44/12</f>
        <v>2.4911097572187218E-15</v>
      </c>
      <c r="AC162" s="22">
        <f t="shared" si="163"/>
        <v>4.937433112185178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268.00000000000011</v>
      </c>
      <c r="AJ162" s="13">
        <f>AI162*VLOOKUP('Données projet'!$B$10,Paramètres!$A$1:$I$89,3,0)*VLOOKUP('Données projet'!$B$10,Paramètres!$A$1:$I$89,5,0)</f>
        <v>242.48640000000009</v>
      </c>
      <c r="AK162" s="13">
        <f t="shared" si="164"/>
        <v>58.974170235372476</v>
      </c>
      <c r="AL162" s="20">
        <f t="shared" si="165"/>
        <v>525.04382649327385</v>
      </c>
      <c r="AM162" s="59">
        <f t="shared" si="113"/>
        <v>812.70449605164276</v>
      </c>
      <c r="AN162" s="59">
        <f ca="1">AVERAGE(OFFSET($AM$3,0,0,'Données projet'!$E$10+1,1))-AVERAGE(OFFSET($H$3,0,0,'Données projet'!$E$10+1,1))</f>
        <v>406.64650428071837</v>
      </c>
      <c r="AO162" s="59">
        <f t="shared" si="144"/>
        <v>250.47702091764884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26.950733276966044</v>
      </c>
      <c r="AV162" s="21">
        <f>EXP(-LN(2)/25)*AV161+(1-EXP(-LN(2)/25))/(LN(2)/25)*Calculateur!AQ162*Calculateur!AS162*VLOOKUP('Données projet'!$B$10,Paramètres!$A$1:$I$89,3,0)*0.475*44/12</f>
        <v>0.83883717100868216</v>
      </c>
      <c r="AW162" s="21">
        <f>EXP(-LN(2)/2)*AW161+(1-EXP(-LN(2)/2))/(LN(2)/2)*AQ162*AT162*VLOOKUP('Données projet'!$B$10,Paramètres!$A$1:$I$89,3,0)*0.475*44/12</f>
        <v>1.4446101806241358E-6</v>
      </c>
      <c r="AX162" s="21">
        <f t="shared" si="166"/>
        <v>27.789571892584906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290.99999999999994</v>
      </c>
      <c r="BE162" s="13">
        <f>BD162*VLOOKUP('Données projet'!$B$11,Paramètres!$A$1:$I$89,3,0)*VLOOKUP('Données projet'!$B$11,Paramètres!$A$1:$I$89,5,0)</f>
        <v>276.91559999999993</v>
      </c>
      <c r="BF162" s="13">
        <f t="shared" si="167"/>
        <v>66.314766879144742</v>
      </c>
      <c r="BG162" s="20">
        <f t="shared" si="168"/>
        <v>597.79288898117682</v>
      </c>
      <c r="BH162" s="59">
        <f t="shared" si="116"/>
        <v>885.45355853954584</v>
      </c>
      <c r="BI162" s="59">
        <f ca="1">AVERAGE(OFFSET($BH$3,0,0,'Données projet'!$E$11+1,1))-AVERAGE(OFFSET($H$3,0,0,'Données projet'!$E$11+1,1))</f>
        <v>387.78453964980849</v>
      </c>
      <c r="BJ162" s="59">
        <f t="shared" si="146"/>
        <v>395.13533152274488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7.7963227792353686</v>
      </c>
      <c r="BQ162" s="21">
        <f>EXP(-LN(2)/25)*BQ161+(1-EXP(-LN(2)/25))/(LN(2)/25)*Calculateur!BL162*Calculateur!BN162*VLOOKUP('Données projet'!$B$11,Paramètres!$A$1:$I$89,3,0)*0.475*44/12</f>
        <v>0.23206205162778534</v>
      </c>
      <c r="BR162" s="21">
        <f>EXP(-LN(2)/2)*BR161+(1-EXP(-LN(2)/2))/(LN(2)/2)*BL162*BO162*VLOOKUP('Données projet'!$B$11,Paramètres!$A$1:$I$89,3,0)*0.475*44/12</f>
        <v>5.8334651673930805E-14</v>
      </c>
      <c r="BS162" s="22">
        <f t="shared" si="169"/>
        <v>8.028384830863212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">
      <c r="A163" s="10">
        <f t="shared" si="161"/>
        <v>160</v>
      </c>
      <c r="B163" s="73">
        <f>'Scénario référence'!$B$16*5+'Scénario référence'!$B$17*0+'Scénario référence'!$B$18*5</f>
        <v>5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">
        <f t="shared" si="140"/>
        <v>0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18.333333333333332</v>
      </c>
      <c r="H163" s="67">
        <f t="shared" si="110"/>
        <v>183.33333333333334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295</v>
      </c>
      <c r="O163" s="13">
        <f>N163*VLOOKUP('Données projet'!$B$9,Paramètres!$A$1:$I$89,3,0)*VLOOKUP('Données projet'!$B$9,Paramètres!$A$1:$I$89,5,0)</f>
        <v>176.41000000000003</v>
      </c>
      <c r="P163" s="13">
        <f t="shared" si="141"/>
        <v>44.522543239204609</v>
      </c>
      <c r="Q163" s="20">
        <f t="shared" si="162"/>
        <v>384.79084614161474</v>
      </c>
      <c r="R163" s="59">
        <f t="shared" si="109"/>
        <v>672.54992373430309</v>
      </c>
      <c r="S163" s="59">
        <f ca="1">AVERAGE(OFFSET($R$3,0,0,'Données projet'!$E$9+1,1))-AVERAGE(OFFSET($H$3,0,0,'Données projet'!$E$9+1,1))</f>
        <v>219.4022220248072</v>
      </c>
      <c r="T163" s="59">
        <f t="shared" si="142"/>
        <v>199.30065726913725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4.4133650096798327</v>
      </c>
      <c r="AA163" s="21">
        <f>EXP(-LN(2)/25)*AA162+(1-EXP(-LN(2)/25))/(LN(2)/25)*Calculateur!V163*Calculateur!X163*VLOOKUP('Données projet'!$B$9,Paramètres!$A$1:$I$89,3,0)*0.475*44/12</f>
        <v>0.42387689772245862</v>
      </c>
      <c r="AB163" s="21">
        <f>EXP(-LN(2)/2)*AB162+(1-EXP(-LN(2)/2))/(LN(2)/2)*V163*Y163*VLOOKUP('Données projet'!$B$9,Paramètres!$A$1:$I$89,3,0)*0.475*44/12</f>
        <v>1.7614806020093323E-15</v>
      </c>
      <c r="AC163" s="22">
        <f t="shared" si="163"/>
        <v>4.8372419074022934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268.00000000000011</v>
      </c>
      <c r="AJ163" s="13">
        <f>AI163*VLOOKUP('Données projet'!$B$10,Paramètres!$A$1:$I$89,3,0)*VLOOKUP('Données projet'!$B$10,Paramètres!$A$1:$I$89,5,0)</f>
        <v>242.48640000000009</v>
      </c>
      <c r="AK163" s="13">
        <f t="shared" si="164"/>
        <v>58.974170235372476</v>
      </c>
      <c r="AL163" s="20">
        <f t="shared" si="165"/>
        <v>525.04382649327385</v>
      </c>
      <c r="AM163" s="59">
        <f t="shared" si="113"/>
        <v>812.80290408596215</v>
      </c>
      <c r="AN163" s="59">
        <f ca="1">AVERAGE(OFFSET($AM$3,0,0,'Données projet'!$E$10+1,1))-AVERAGE(OFFSET($H$3,0,0,'Données projet'!$E$10+1,1))</f>
        <v>406.64650428071837</v>
      </c>
      <c r="AO163" s="59">
        <f t="shared" si="144"/>
        <v>250.47702091764884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26.422245835728891</v>
      </c>
      <c r="AV163" s="21">
        <f>EXP(-LN(2)/25)*AV162+(1-EXP(-LN(2)/25))/(LN(2)/25)*Calculateur!AQ163*Calculateur!AS163*VLOOKUP('Données projet'!$B$10,Paramètres!$A$1:$I$89,3,0)*0.475*44/12</f>
        <v>0.81589912445492008</v>
      </c>
      <c r="AW163" s="21">
        <f>EXP(-LN(2)/2)*AW162+(1-EXP(-LN(2)/2))/(LN(2)/2)*AQ163*AT163*VLOOKUP('Données projet'!$B$10,Paramètres!$A$1:$I$89,3,0)*0.475*44/12</f>
        <v>1.0214936548904497E-6</v>
      </c>
      <c r="AX163" s="21">
        <f t="shared" si="166"/>
        <v>27.238145981677466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290.99999999999994</v>
      </c>
      <c r="BE163" s="13">
        <f>BD163*VLOOKUP('Données projet'!$B$11,Paramètres!$A$1:$I$89,3,0)*VLOOKUP('Données projet'!$B$11,Paramètres!$A$1:$I$89,5,0)</f>
        <v>276.91559999999993</v>
      </c>
      <c r="BF163" s="13">
        <f t="shared" si="167"/>
        <v>66.314766879144742</v>
      </c>
      <c r="BG163" s="20">
        <f t="shared" si="168"/>
        <v>597.79288898117682</v>
      </c>
      <c r="BH163" s="59">
        <f t="shared" si="116"/>
        <v>885.55196657386523</v>
      </c>
      <c r="BI163" s="59">
        <f ca="1">AVERAGE(OFFSET($BH$3,0,0,'Données projet'!$E$11+1,1))-AVERAGE(OFFSET($H$3,0,0,'Données projet'!$E$11+1,1))</f>
        <v>387.78453964980849</v>
      </c>
      <c r="BJ163" s="59">
        <f t="shared" si="146"/>
        <v>395.13533152274488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7.6434416448219125</v>
      </c>
      <c r="BQ163" s="21">
        <f>EXP(-LN(2)/25)*BQ162+(1-EXP(-LN(2)/25))/(LN(2)/25)*Calculateur!BL163*Calculateur!BN163*VLOOKUP('Données projet'!$B$11,Paramètres!$A$1:$I$89,3,0)*0.475*44/12</f>
        <v>0.22571630262241063</v>
      </c>
      <c r="BR163" s="21">
        <f>EXP(-LN(2)/2)*BR162+(1-EXP(-LN(2)/2))/(LN(2)/2)*BL163*BO163*VLOOKUP('Données projet'!$B$11,Paramètres!$A$1:$I$89,3,0)*0.475*44/12</f>
        <v>4.1248827776791659E-14</v>
      </c>
      <c r="BS163" s="22">
        <f t="shared" si="169"/>
        <v>7.8691579474443643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">
      <c r="A164" s="10">
        <f t="shared" si="161"/>
        <v>161</v>
      </c>
      <c r="B164" s="73">
        <f>'Scénario référence'!$B$16*5+'Scénario référence'!$B$17*0+'Scénario référence'!$B$18*5</f>
        <v>5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">
        <f t="shared" si="140"/>
        <v>0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18.333333333333332</v>
      </c>
      <c r="H164" s="67">
        <f t="shared" si="110"/>
        <v>183.33333333333334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295</v>
      </c>
      <c r="O164" s="13">
        <f>N164*VLOOKUP('Données projet'!$B$9,Paramètres!$A$1:$I$89,3,0)*VLOOKUP('Données projet'!$B$9,Paramètres!$A$1:$I$89,5,0)</f>
        <v>176.41000000000003</v>
      </c>
      <c r="P164" s="13">
        <f t="shared" si="141"/>
        <v>44.522543239204609</v>
      </c>
      <c r="Q164" s="20">
        <f t="shared" si="162"/>
        <v>384.79084614161474</v>
      </c>
      <c r="R164" s="59">
        <f t="shared" si="109"/>
        <v>672.64662460923444</v>
      </c>
      <c r="S164" s="59">
        <f ca="1">AVERAGE(OFFSET($R$3,0,0,'Données projet'!$E$9+1,1))-AVERAGE(OFFSET($H$3,0,0,'Données projet'!$E$9+1,1))</f>
        <v>219.4022220248072</v>
      </c>
      <c r="T164" s="59">
        <f t="shared" si="142"/>
        <v>199.30065726913725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4.3268216137268656</v>
      </c>
      <c r="AA164" s="21">
        <f>EXP(-LN(2)/25)*AA163+(1-EXP(-LN(2)/25))/(LN(2)/25)*Calculateur!V164*Calculateur!X164*VLOOKUP('Données projet'!$B$9,Paramètres!$A$1:$I$89,3,0)*0.475*44/12</f>
        <v>0.41228596166352072</v>
      </c>
      <c r="AB164" s="21">
        <f>EXP(-LN(2)/2)*AB163+(1-EXP(-LN(2)/2))/(LN(2)/2)*V164*Y164*VLOOKUP('Données projet'!$B$9,Paramètres!$A$1:$I$89,3,0)*0.475*44/12</f>
        <v>1.2455548786093611E-15</v>
      </c>
      <c r="AC164" s="22">
        <f t="shared" si="163"/>
        <v>4.7391075753903875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268.00000000000011</v>
      </c>
      <c r="AJ164" s="13">
        <f>AI164*VLOOKUP('Données projet'!$B$10,Paramètres!$A$1:$I$89,3,0)*VLOOKUP('Données projet'!$B$10,Paramètres!$A$1:$I$89,5,0)</f>
        <v>242.48640000000009</v>
      </c>
      <c r="AK164" s="13">
        <f t="shared" si="164"/>
        <v>58.974170235372476</v>
      </c>
      <c r="AL164" s="20">
        <f t="shared" si="165"/>
        <v>525.04382649327385</v>
      </c>
      <c r="AM164" s="59">
        <f t="shared" si="113"/>
        <v>812.89960496089361</v>
      </c>
      <c r="AN164" s="59">
        <f ca="1">AVERAGE(OFFSET($AM$3,0,0,'Données projet'!$E$10+1,1))-AVERAGE(OFFSET($H$3,0,0,'Données projet'!$E$10+1,1))</f>
        <v>406.64650428071837</v>
      </c>
      <c r="AO164" s="59">
        <f t="shared" si="144"/>
        <v>250.47702091764884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25.904121710868885</v>
      </c>
      <c r="AV164" s="21">
        <f>EXP(-LN(2)/25)*AV163+(1-EXP(-LN(2)/25))/(LN(2)/25)*Calculateur!AQ164*Calculateur!AS164*VLOOKUP('Données projet'!$B$10,Paramètres!$A$1:$I$89,3,0)*0.475*44/12</f>
        <v>0.79358831999043011</v>
      </c>
      <c r="AW164" s="21">
        <f>EXP(-LN(2)/2)*AW163+(1-EXP(-LN(2)/2))/(LN(2)/2)*AQ164*AT164*VLOOKUP('Données projet'!$B$10,Paramètres!$A$1:$I$89,3,0)*0.475*44/12</f>
        <v>7.2230509031206789E-7</v>
      </c>
      <c r="AX164" s="21">
        <f t="shared" si="166"/>
        <v>26.697710753164404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290.99999999999994</v>
      </c>
      <c r="BE164" s="13">
        <f>BD164*VLOOKUP('Données projet'!$B$11,Paramètres!$A$1:$I$89,3,0)*VLOOKUP('Données projet'!$B$11,Paramètres!$A$1:$I$89,5,0)</f>
        <v>276.91559999999993</v>
      </c>
      <c r="BF164" s="13">
        <f t="shared" si="167"/>
        <v>66.314766879144742</v>
      </c>
      <c r="BG164" s="20">
        <f t="shared" si="168"/>
        <v>597.79288898117682</v>
      </c>
      <c r="BH164" s="59">
        <f t="shared" si="116"/>
        <v>885.64866744879646</v>
      </c>
      <c r="BI164" s="59">
        <f ca="1">AVERAGE(OFFSET($BH$3,0,0,'Données projet'!$E$11+1,1))-AVERAGE(OFFSET($H$3,0,0,'Données projet'!$E$11+1,1))</f>
        <v>387.78453964980849</v>
      </c>
      <c r="BJ164" s="59">
        <f t="shared" si="146"/>
        <v>395.13533152274488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7.49355841620602</v>
      </c>
      <c r="BQ164" s="21">
        <f>EXP(-LN(2)/25)*BQ163+(1-EXP(-LN(2)/25))/(LN(2)/25)*Calculateur!BL164*Calculateur!BN164*VLOOKUP('Données projet'!$B$11,Paramètres!$A$1:$I$89,3,0)*0.475*44/12</f>
        <v>0.21954407845729634</v>
      </c>
      <c r="BR164" s="21">
        <f>EXP(-LN(2)/2)*BR163+(1-EXP(-LN(2)/2))/(LN(2)/2)*BL164*BO164*VLOOKUP('Données projet'!$B$11,Paramètres!$A$1:$I$89,3,0)*0.475*44/12</f>
        <v>2.9167325836965403E-14</v>
      </c>
      <c r="BS164" s="22">
        <f t="shared" si="169"/>
        <v>7.713102494663346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">
      <c r="A165" s="10">
        <f t="shared" si="161"/>
        <v>162</v>
      </c>
      <c r="B165" s="73">
        <f>'Scénario référence'!$B$16*5+'Scénario référence'!$B$17*0+'Scénario référence'!$B$18*5</f>
        <v>5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">
        <f t="shared" si="140"/>
        <v>0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18.333333333333332</v>
      </c>
      <c r="H165" s="67">
        <f t="shared" si="110"/>
        <v>183.33333333333334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295</v>
      </c>
      <c r="O165" s="13">
        <f>N165*VLOOKUP('Données projet'!$B$9,Paramètres!$A$1:$I$89,3,0)*VLOOKUP('Données projet'!$B$9,Paramètres!$A$1:$I$89,5,0)</f>
        <v>176.41000000000003</v>
      </c>
      <c r="P165" s="13">
        <f t="shared" si="141"/>
        <v>44.522543239204609</v>
      </c>
      <c r="Q165" s="20">
        <f t="shared" si="162"/>
        <v>384.79084614161474</v>
      </c>
      <c r="R165" s="59">
        <f t="shared" si="109"/>
        <v>672.74164794017645</v>
      </c>
      <c r="S165" s="59">
        <f ca="1">AVERAGE(OFFSET($R$3,0,0,'Données projet'!$E$9+1,1))-AVERAGE(OFFSET($H$3,0,0,'Données projet'!$E$9+1,1))</f>
        <v>219.4022220248072</v>
      </c>
      <c r="T165" s="59">
        <f t="shared" si="142"/>
        <v>199.30065726913725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4.2419752809822766</v>
      </c>
      <c r="AA165" s="21">
        <f>EXP(-LN(2)/25)*AA164+(1-EXP(-LN(2)/25))/(LN(2)/25)*Calculateur!V165*Calculateur!X165*VLOOKUP('Données projet'!$B$9,Paramètres!$A$1:$I$89,3,0)*0.475*44/12</f>
        <v>0.40101198036065533</v>
      </c>
      <c r="AB165" s="21">
        <f>EXP(-LN(2)/2)*AB164+(1-EXP(-LN(2)/2))/(LN(2)/2)*V165*Y165*VLOOKUP('Données projet'!$B$9,Paramètres!$A$1:$I$89,3,0)*0.475*44/12</f>
        <v>8.8074030100466636E-16</v>
      </c>
      <c r="AC165" s="22">
        <f t="shared" si="163"/>
        <v>4.6429872613429328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268.00000000000011</v>
      </c>
      <c r="AJ165" s="13">
        <f>AI165*VLOOKUP('Données projet'!$B$10,Paramètres!$A$1:$I$89,3,0)*VLOOKUP('Données projet'!$B$10,Paramètres!$A$1:$I$89,5,0)</f>
        <v>242.48640000000009</v>
      </c>
      <c r="AK165" s="13">
        <f t="shared" si="164"/>
        <v>58.974170235372476</v>
      </c>
      <c r="AL165" s="20">
        <f t="shared" si="165"/>
        <v>525.04382649327385</v>
      </c>
      <c r="AM165" s="59">
        <f t="shared" si="113"/>
        <v>812.99462829183562</v>
      </c>
      <c r="AN165" s="59">
        <f ca="1">AVERAGE(OFFSET($AM$3,0,0,'Données projet'!$E$10+1,1))-AVERAGE(OFFSET($H$3,0,0,'Données projet'!$E$10+1,1))</f>
        <v>406.64650428071837</v>
      </c>
      <c r="AO165" s="59">
        <f t="shared" si="144"/>
        <v>250.47702091764884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25.396157684072875</v>
      </c>
      <c r="AV165" s="21">
        <f>EXP(-LN(2)/25)*AV164+(1-EXP(-LN(2)/25))/(LN(2)/25)*Calculateur!AQ165*Calculateur!AS165*VLOOKUP('Données projet'!$B$10,Paramètres!$A$1:$I$89,3,0)*0.475*44/12</f>
        <v>0.77188760564729586</v>
      </c>
      <c r="AW165" s="21">
        <f>EXP(-LN(2)/2)*AW164+(1-EXP(-LN(2)/2))/(LN(2)/2)*AQ165*AT165*VLOOKUP('Données projet'!$B$10,Paramètres!$A$1:$I$89,3,0)*0.475*44/12</f>
        <v>5.1074682744522484E-7</v>
      </c>
      <c r="AX165" s="21">
        <f t="shared" si="166"/>
        <v>26.168045800466999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290.99999999999994</v>
      </c>
      <c r="BE165" s="13">
        <f>BD165*VLOOKUP('Données projet'!$B$11,Paramètres!$A$1:$I$89,3,0)*VLOOKUP('Données projet'!$B$11,Paramètres!$A$1:$I$89,5,0)</f>
        <v>276.91559999999993</v>
      </c>
      <c r="BF165" s="13">
        <f t="shared" si="167"/>
        <v>66.314766879144742</v>
      </c>
      <c r="BG165" s="20">
        <f t="shared" si="168"/>
        <v>597.79288898117682</v>
      </c>
      <c r="BH165" s="59">
        <f t="shared" si="116"/>
        <v>885.74369077973847</v>
      </c>
      <c r="BI165" s="59">
        <f ca="1">AVERAGE(OFFSET($BH$3,0,0,'Données projet'!$E$11+1,1))-AVERAGE(OFFSET($H$3,0,0,'Données projet'!$E$11+1,1))</f>
        <v>387.78453964980849</v>
      </c>
      <c r="BJ165" s="59">
        <f t="shared" si="146"/>
        <v>395.13533152274488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7.3466143062835423</v>
      </c>
      <c r="BQ165" s="21">
        <f>EXP(-LN(2)/25)*BQ164+(1-EXP(-LN(2)/25))/(LN(2)/25)*Calculateur!BL165*Calculateur!BN165*VLOOKUP('Données projet'!$B$11,Paramètres!$A$1:$I$89,3,0)*0.475*44/12</f>
        <v>0.21354063408656027</v>
      </c>
      <c r="BR165" s="21">
        <f>EXP(-LN(2)/2)*BR164+(1-EXP(-LN(2)/2))/(LN(2)/2)*BL165*BO165*VLOOKUP('Données projet'!$B$11,Paramètres!$A$1:$I$89,3,0)*0.475*44/12</f>
        <v>2.062441388839583E-14</v>
      </c>
      <c r="BS165" s="22">
        <f t="shared" si="169"/>
        <v>7.5601549403701229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">
      <c r="A166" s="10">
        <f t="shared" si="161"/>
        <v>163</v>
      </c>
      <c r="B166" s="73">
        <f>'Scénario référence'!$B$16*5+'Scénario référence'!$B$17*0+'Scénario référence'!$B$18*5</f>
        <v>5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">
        <f t="shared" si="140"/>
        <v>0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18.333333333333332</v>
      </c>
      <c r="H166" s="67">
        <f t="shared" si="110"/>
        <v>183.33333333333334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295</v>
      </c>
      <c r="O166" s="13">
        <f>N166*VLOOKUP('Données projet'!$B$9,Paramètres!$A$1:$I$89,3,0)*VLOOKUP('Données projet'!$B$9,Paramètres!$A$1:$I$89,5,0)</f>
        <v>176.41000000000003</v>
      </c>
      <c r="P166" s="13">
        <f t="shared" si="141"/>
        <v>44.522543239204609</v>
      </c>
      <c r="Q166" s="20">
        <f t="shared" si="162"/>
        <v>384.79084614161474</v>
      </c>
      <c r="R166" s="59">
        <f t="shared" si="109"/>
        <v>672.83502282876702</v>
      </c>
      <c r="S166" s="59">
        <f ca="1">AVERAGE(OFFSET($R$3,0,0,'Données projet'!$E$9+1,1))-AVERAGE(OFFSET($H$3,0,0,'Données projet'!$E$9+1,1))</f>
        <v>219.4022220248072</v>
      </c>
      <c r="T166" s="59">
        <f t="shared" si="142"/>
        <v>199.30065726913725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4.1587927330716559</v>
      </c>
      <c r="AA166" s="21">
        <f>EXP(-LN(2)/25)*AA165+(1-EXP(-LN(2)/25))/(LN(2)/25)*Calculateur!V166*Calculateur!X166*VLOOKUP('Données projet'!$B$9,Paramètres!$A$1:$I$89,3,0)*0.475*44/12</f>
        <v>0.39004628666938967</v>
      </c>
      <c r="AB166" s="21">
        <f>EXP(-LN(2)/2)*AB165+(1-EXP(-LN(2)/2))/(LN(2)/2)*V166*Y166*VLOOKUP('Données projet'!$B$9,Paramètres!$A$1:$I$89,3,0)*0.475*44/12</f>
        <v>6.2277743930468065E-16</v>
      </c>
      <c r="AC166" s="22">
        <f t="shared" si="163"/>
        <v>4.5488390197410462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268.00000000000011</v>
      </c>
      <c r="AJ166" s="13">
        <f>AI166*VLOOKUP('Données projet'!$B$10,Paramètres!$A$1:$I$89,3,0)*VLOOKUP('Données projet'!$B$10,Paramètres!$A$1:$I$89,5,0)</f>
        <v>242.48640000000009</v>
      </c>
      <c r="AK166" s="13">
        <f t="shared" si="164"/>
        <v>58.974170235372476</v>
      </c>
      <c r="AL166" s="20">
        <f t="shared" si="165"/>
        <v>525.04382649327385</v>
      </c>
      <c r="AM166" s="59">
        <f t="shared" si="113"/>
        <v>813.08800318042609</v>
      </c>
      <c r="AN166" s="59">
        <f ca="1">AVERAGE(OFFSET($AM$3,0,0,'Données projet'!$E$10+1,1))-AVERAGE(OFFSET($H$3,0,0,'Données projet'!$E$10+1,1))</f>
        <v>406.64650428071837</v>
      </c>
      <c r="AO166" s="59">
        <f t="shared" si="144"/>
        <v>250.47702091764884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24.89815452201487</v>
      </c>
      <c r="AV166" s="21">
        <f>EXP(-LN(2)/25)*AV165+(1-EXP(-LN(2)/25))/(LN(2)/25)*Calculateur!AQ166*Calculateur!AS166*VLOOKUP('Données projet'!$B$10,Paramètres!$A$1:$I$89,3,0)*0.475*44/12</f>
        <v>0.75078029847906558</v>
      </c>
      <c r="AW166" s="21">
        <f>EXP(-LN(2)/2)*AW165+(1-EXP(-LN(2)/2))/(LN(2)/2)*AQ166*AT166*VLOOKUP('Données projet'!$B$10,Paramètres!$A$1:$I$89,3,0)*0.475*44/12</f>
        <v>3.6115254515603395E-7</v>
      </c>
      <c r="AX166" s="21">
        <f t="shared" si="166"/>
        <v>25.648935181646479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290.99999999999994</v>
      </c>
      <c r="BE166" s="13">
        <f>BD166*VLOOKUP('Données projet'!$B$11,Paramètres!$A$1:$I$89,3,0)*VLOOKUP('Données projet'!$B$11,Paramètres!$A$1:$I$89,5,0)</f>
        <v>276.91559999999993</v>
      </c>
      <c r="BF166" s="13">
        <f t="shared" si="167"/>
        <v>66.314766879144742</v>
      </c>
      <c r="BG166" s="20">
        <f t="shared" si="168"/>
        <v>597.79288898117682</v>
      </c>
      <c r="BH166" s="59">
        <f t="shared" si="116"/>
        <v>885.83706566832905</v>
      </c>
      <c r="BI166" s="59">
        <f ca="1">AVERAGE(OFFSET($BH$3,0,0,'Données projet'!$E$11+1,1))-AVERAGE(OFFSET($H$3,0,0,'Données projet'!$E$11+1,1))</f>
        <v>387.78453964980849</v>
      </c>
      <c r="BJ166" s="59">
        <f t="shared" si="146"/>
        <v>395.13533152274488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7.202551680729588</v>
      </c>
      <c r="BQ166" s="21">
        <f>EXP(-LN(2)/25)*BQ165+(1-EXP(-LN(2)/25))/(LN(2)/25)*Calculateur!BL166*Calculateur!BN166*VLOOKUP('Données projet'!$B$11,Paramètres!$A$1:$I$89,3,0)*0.475*44/12</f>
        <v>0.20770135421784938</v>
      </c>
      <c r="BR166" s="21">
        <f>EXP(-LN(2)/2)*BR165+(1-EXP(-LN(2)/2))/(LN(2)/2)*BL166*BO166*VLOOKUP('Données projet'!$B$11,Paramètres!$A$1:$I$89,3,0)*0.475*44/12</f>
        <v>1.4583662918482701E-14</v>
      </c>
      <c r="BS166" s="22">
        <f t="shared" si="169"/>
        <v>7.4102530349474511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">
      <c r="A167" s="10">
        <f t="shared" si="161"/>
        <v>164</v>
      </c>
      <c r="B167" s="73">
        <f>'Scénario référence'!$B$16*5+'Scénario référence'!$B$17*0+'Scénario référence'!$B$18*5</f>
        <v>5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">
        <f t="shared" si="140"/>
        <v>0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18.333333333333332</v>
      </c>
      <c r="H167" s="67">
        <f t="shared" si="110"/>
        <v>183.33333333333334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295</v>
      </c>
      <c r="O167" s="13">
        <f>N167*VLOOKUP('Données projet'!$B$9,Paramètres!$A$1:$I$89,3,0)*VLOOKUP('Données projet'!$B$9,Paramètres!$A$1:$I$89,5,0)</f>
        <v>176.41000000000003</v>
      </c>
      <c r="P167" s="13">
        <f t="shared" si="141"/>
        <v>44.522543239204609</v>
      </c>
      <c r="Q167" s="20">
        <f t="shared" si="162"/>
        <v>384.79084614161474</v>
      </c>
      <c r="R167" s="59">
        <f t="shared" si="109"/>
        <v>672.92677787179537</v>
      </c>
      <c r="S167" s="59">
        <f ca="1">AVERAGE(OFFSET($R$3,0,0,'Données projet'!$E$9+1,1))-AVERAGE(OFFSET($H$3,0,0,'Données projet'!$E$9+1,1))</f>
        <v>219.4022220248072</v>
      </c>
      <c r="T167" s="59">
        <f t="shared" si="142"/>
        <v>199.30065726913725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4.0772413441892184</v>
      </c>
      <c r="AA167" s="21">
        <f>EXP(-LN(2)/25)*AA166+(1-EXP(-LN(2)/25))/(LN(2)/25)*Calculateur!V167*Calculateur!X167*VLOOKUP('Données projet'!$B$9,Paramètres!$A$1:$I$89,3,0)*0.475*44/12</f>
        <v>0.37938045044877244</v>
      </c>
      <c r="AB167" s="21">
        <f>EXP(-LN(2)/2)*AB166+(1-EXP(-LN(2)/2))/(LN(2)/2)*V167*Y167*VLOOKUP('Données projet'!$B$9,Paramètres!$A$1:$I$89,3,0)*0.475*44/12</f>
        <v>4.4037015050233323E-16</v>
      </c>
      <c r="AC167" s="22">
        <f t="shared" si="163"/>
        <v>4.4566217946379911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268.00000000000011</v>
      </c>
      <c r="AJ167" s="13">
        <f>AI167*VLOOKUP('Données projet'!$B$10,Paramètres!$A$1:$I$89,3,0)*VLOOKUP('Données projet'!$B$10,Paramètres!$A$1:$I$89,5,0)</f>
        <v>242.48640000000009</v>
      </c>
      <c r="AK167" s="13">
        <f t="shared" si="164"/>
        <v>58.974170235372476</v>
      </c>
      <c r="AL167" s="20">
        <f t="shared" si="165"/>
        <v>525.04382649327385</v>
      </c>
      <c r="AM167" s="59">
        <f t="shared" si="113"/>
        <v>813.17975822345454</v>
      </c>
      <c r="AN167" s="59">
        <f ca="1">AVERAGE(OFFSET($AM$3,0,0,'Données projet'!$E$10+1,1))-AVERAGE(OFFSET($H$3,0,0,'Données projet'!$E$10+1,1))</f>
        <v>406.64650428071837</v>
      </c>
      <c r="AO167" s="59">
        <f t="shared" si="144"/>
        <v>250.47702091764884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24.409916898212888</v>
      </c>
      <c r="AV167" s="21">
        <f>EXP(-LN(2)/25)*AV166+(1-EXP(-LN(2)/25))/(LN(2)/25)*Calculateur!AQ167*Calculateur!AS167*VLOOKUP('Données projet'!$B$10,Paramètres!$A$1:$I$89,3,0)*0.475*44/12</f>
        <v>0.73025017173533557</v>
      </c>
      <c r="AW167" s="21">
        <f>EXP(-LN(2)/2)*AW166+(1-EXP(-LN(2)/2))/(LN(2)/2)*AQ167*AT167*VLOOKUP('Données projet'!$B$10,Paramètres!$A$1:$I$89,3,0)*0.475*44/12</f>
        <v>2.5537341372261242E-7</v>
      </c>
      <c r="AX167" s="21">
        <f t="shared" si="166"/>
        <v>25.140167325321638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290.99999999999994</v>
      </c>
      <c r="BE167" s="13">
        <f>BD167*VLOOKUP('Données projet'!$B$11,Paramètres!$A$1:$I$89,3,0)*VLOOKUP('Données projet'!$B$11,Paramètres!$A$1:$I$89,5,0)</f>
        <v>276.91559999999993</v>
      </c>
      <c r="BF167" s="13">
        <f t="shared" si="167"/>
        <v>66.314766879144742</v>
      </c>
      <c r="BG167" s="20">
        <f t="shared" si="168"/>
        <v>597.79288898117682</v>
      </c>
      <c r="BH167" s="59">
        <f t="shared" si="116"/>
        <v>885.9288207113575</v>
      </c>
      <c r="BI167" s="59">
        <f ca="1">AVERAGE(OFFSET($BH$3,0,0,'Données projet'!$E$11+1,1))-AVERAGE(OFFSET($H$3,0,0,'Données projet'!$E$11+1,1))</f>
        <v>387.78453964980849</v>
      </c>
      <c r="BJ167" s="59">
        <f t="shared" si="146"/>
        <v>395.13533152274488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7.0613140353932211</v>
      </c>
      <c r="BQ167" s="21">
        <f>EXP(-LN(2)/25)*BQ166+(1-EXP(-LN(2)/25))/(LN(2)/25)*Calculateur!BL167*Calculateur!BN167*VLOOKUP('Données projet'!$B$11,Paramètres!$A$1:$I$89,3,0)*0.475*44/12</f>
        <v>0.20202174976422277</v>
      </c>
      <c r="BR167" s="21">
        <f>EXP(-LN(2)/2)*BR166+(1-EXP(-LN(2)/2))/(LN(2)/2)*BL167*BO167*VLOOKUP('Données projet'!$B$11,Paramètres!$A$1:$I$89,3,0)*0.475*44/12</f>
        <v>1.0312206944197915E-14</v>
      </c>
      <c r="BS167" s="22">
        <f t="shared" si="169"/>
        <v>7.2633357851574543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">
      <c r="A168" s="10">
        <f t="shared" si="161"/>
        <v>165</v>
      </c>
      <c r="B168" s="73">
        <f>'Scénario référence'!$B$16*5+'Scénario référence'!$B$17*0+'Scénario référence'!$B$18*5</f>
        <v>5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">
        <f t="shared" si="140"/>
        <v>0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18.333333333333332</v>
      </c>
      <c r="H168" s="67">
        <f t="shared" si="110"/>
        <v>183.33333333333334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295</v>
      </c>
      <c r="O168" s="13">
        <f>N168*VLOOKUP('Données projet'!$B$9,Paramètres!$A$1:$I$89,3,0)*VLOOKUP('Données projet'!$B$9,Paramètres!$A$1:$I$89,5,0)</f>
        <v>176.41000000000003</v>
      </c>
      <c r="P168" s="13">
        <f t="shared" si="141"/>
        <v>44.522543239204609</v>
      </c>
      <c r="Q168" s="20">
        <f t="shared" si="162"/>
        <v>384.79084614161474</v>
      </c>
      <c r="R168" s="59">
        <f t="shared" si="109"/>
        <v>673.01694116996089</v>
      </c>
      <c r="S168" s="59">
        <f ca="1">AVERAGE(OFFSET($R$3,0,0,'Données projet'!$E$9+1,1))-AVERAGE(OFFSET($H$3,0,0,'Données projet'!$E$9+1,1))</f>
        <v>219.4022220248072</v>
      </c>
      <c r="T168" s="59">
        <f t="shared" si="142"/>
        <v>199.30065726913725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3.9972891283013294</v>
      </c>
      <c r="AA168" s="21">
        <f>EXP(-LN(2)/25)*AA167+(1-EXP(-LN(2)/25))/(LN(2)/25)*Calculateur!V168*Calculateur!X168*VLOOKUP('Données projet'!$B$9,Paramètres!$A$1:$I$89,3,0)*0.475*44/12</f>
        <v>0.36900627208049996</v>
      </c>
      <c r="AB168" s="21">
        <f>EXP(-LN(2)/2)*AB167+(1-EXP(-LN(2)/2))/(LN(2)/2)*V168*Y168*VLOOKUP('Données projet'!$B$9,Paramètres!$A$1:$I$89,3,0)*0.475*44/12</f>
        <v>3.1138871965234037E-16</v>
      </c>
      <c r="AC168" s="22">
        <f t="shared" si="163"/>
        <v>4.3662954003818291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268.00000000000011</v>
      </c>
      <c r="AJ168" s="13">
        <f>AI168*VLOOKUP('Données projet'!$B$10,Paramètres!$A$1:$I$89,3,0)*VLOOKUP('Données projet'!$B$10,Paramètres!$A$1:$I$89,5,0)</f>
        <v>242.48640000000009</v>
      </c>
      <c r="AK168" s="13">
        <f t="shared" si="164"/>
        <v>58.974170235372476</v>
      </c>
      <c r="AL168" s="20">
        <f t="shared" si="165"/>
        <v>525.04382649327385</v>
      </c>
      <c r="AM168" s="59">
        <f t="shared" si="113"/>
        <v>813.26992152162006</v>
      </c>
      <c r="AN168" s="59">
        <f ca="1">AVERAGE(OFFSET($AM$3,0,0,'Données projet'!$E$10+1,1))-AVERAGE(OFFSET($H$3,0,0,'Données projet'!$E$10+1,1))</f>
        <v>406.64650428071837</v>
      </c>
      <c r="AO168" s="59">
        <f t="shared" si="144"/>
        <v>250.47702091764884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23.931253316418115</v>
      </c>
      <c r="AV168" s="21">
        <f>EXP(-LN(2)/25)*AV167+(1-EXP(-LN(2)/25))/(LN(2)/25)*Calculateur!AQ168*Calculateur!AS168*VLOOKUP('Données projet'!$B$10,Paramètres!$A$1:$I$89,3,0)*0.475*44/12</f>
        <v>0.71028144238704527</v>
      </c>
      <c r="AW168" s="21">
        <f>EXP(-LN(2)/2)*AW167+(1-EXP(-LN(2)/2))/(LN(2)/2)*AQ168*AT168*VLOOKUP('Données projet'!$B$10,Paramètres!$A$1:$I$89,3,0)*0.475*44/12</f>
        <v>1.8057627257801697E-7</v>
      </c>
      <c r="AX168" s="21">
        <f t="shared" si="166"/>
        <v>24.641534939381433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290.99999999999994</v>
      </c>
      <c r="BE168" s="13">
        <f>BD168*VLOOKUP('Données projet'!$B$11,Paramètres!$A$1:$I$89,3,0)*VLOOKUP('Données projet'!$B$11,Paramètres!$A$1:$I$89,5,0)</f>
        <v>276.91559999999993</v>
      </c>
      <c r="BF168" s="13">
        <f t="shared" si="167"/>
        <v>66.314766879144742</v>
      </c>
      <c r="BG168" s="20">
        <f t="shared" si="168"/>
        <v>597.79288898117682</v>
      </c>
      <c r="BH168" s="59">
        <f t="shared" si="116"/>
        <v>886.01898400952291</v>
      </c>
      <c r="BI168" s="59">
        <f ca="1">AVERAGE(OFFSET($BH$3,0,0,'Données projet'!$E$11+1,1))-AVERAGE(OFFSET($H$3,0,0,'Données projet'!$E$11+1,1))</f>
        <v>387.78453964980849</v>
      </c>
      <c r="BJ168" s="59">
        <f t="shared" si="146"/>
        <v>395.13533152274488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6.9228459741354431</v>
      </c>
      <c r="BQ168" s="21">
        <f>EXP(-LN(2)/25)*BQ167+(1-EXP(-LN(2)/25))/(LN(2)/25)*Calculateur!BL168*Calculateur!BN168*VLOOKUP('Données projet'!$B$11,Paramètres!$A$1:$I$89,3,0)*0.475*44/12</f>
        <v>0.19649745439305799</v>
      </c>
      <c r="BR168" s="21">
        <f>EXP(-LN(2)/2)*BR167+(1-EXP(-LN(2)/2))/(LN(2)/2)*BL168*BO168*VLOOKUP('Données projet'!$B$11,Paramètres!$A$1:$I$89,3,0)*0.475*44/12</f>
        <v>7.2918314592413506E-15</v>
      </c>
      <c r="BS168" s="22">
        <f t="shared" si="169"/>
        <v>7.1193434285285084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">
      <c r="A169" s="10">
        <f t="shared" si="161"/>
        <v>166</v>
      </c>
      <c r="B169" s="73">
        <f>'Scénario référence'!$B$16*5+'Scénario référence'!$B$17*0+'Scénario référence'!$B$18*5</f>
        <v>5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">
        <f t="shared" si="140"/>
        <v>0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18.333333333333332</v>
      </c>
      <c r="H169" s="67">
        <f t="shared" si="110"/>
        <v>183.33333333333334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295</v>
      </c>
      <c r="O169" s="13">
        <f>N169*VLOOKUP('Données projet'!$B$9,Paramètres!$A$1:$I$89,3,0)*VLOOKUP('Données projet'!$B$9,Paramètres!$A$1:$I$89,5,0)</f>
        <v>176.41000000000003</v>
      </c>
      <c r="P169" s="13">
        <f t="shared" si="141"/>
        <v>44.522543239204609</v>
      </c>
      <c r="Q169" s="20">
        <f t="shared" si="162"/>
        <v>384.79084614161474</v>
      </c>
      <c r="R169" s="59">
        <f t="shared" si="109"/>
        <v>673.10554033647816</v>
      </c>
      <c r="S169" s="59">
        <f ca="1">AVERAGE(OFFSET($R$3,0,0,'Données projet'!$E$9+1,1))-AVERAGE(OFFSET($H$3,0,0,'Données projet'!$E$9+1,1))</f>
        <v>219.4022220248072</v>
      </c>
      <c r="T169" s="59">
        <f t="shared" si="142"/>
        <v>199.30065726913725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3.9189047266009656</v>
      </c>
      <c r="AA169" s="21">
        <f>EXP(-LN(2)/25)*AA168+(1-EXP(-LN(2)/25))/(LN(2)/25)*Calculateur!V169*Calculateur!X169*VLOOKUP('Données projet'!$B$9,Paramètres!$A$1:$I$89,3,0)*0.475*44/12</f>
        <v>0.35891577616526221</v>
      </c>
      <c r="AB169" s="21">
        <f>EXP(-LN(2)/2)*AB168+(1-EXP(-LN(2)/2))/(LN(2)/2)*V169*Y169*VLOOKUP('Données projet'!$B$9,Paramètres!$A$1:$I$89,3,0)*0.475*44/12</f>
        <v>2.2018507525116664E-16</v>
      </c>
      <c r="AC169" s="22">
        <f t="shared" si="163"/>
        <v>4.2778205027662279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268.00000000000011</v>
      </c>
      <c r="AJ169" s="13">
        <f>AI169*VLOOKUP('Données projet'!$B$10,Paramètres!$A$1:$I$89,3,0)*VLOOKUP('Données projet'!$B$10,Paramètres!$A$1:$I$89,5,0)</f>
        <v>242.48640000000009</v>
      </c>
      <c r="AK169" s="13">
        <f t="shared" si="164"/>
        <v>58.974170235372476</v>
      </c>
      <c r="AL169" s="20">
        <f t="shared" si="165"/>
        <v>525.04382649327385</v>
      </c>
      <c r="AM169" s="59">
        <f t="shared" si="113"/>
        <v>813.35852068813733</v>
      </c>
      <c r="AN169" s="59">
        <f ca="1">AVERAGE(OFFSET($AM$3,0,0,'Données projet'!$E$10+1,1))-AVERAGE(OFFSET($H$3,0,0,'Données projet'!$E$10+1,1))</f>
        <v>406.64650428071837</v>
      </c>
      <c r="AO169" s="59">
        <f t="shared" si="144"/>
        <v>250.47702091764884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23.461976035506382</v>
      </c>
      <c r="AV169" s="21">
        <f>EXP(-LN(2)/25)*AV168+(1-EXP(-LN(2)/25))/(LN(2)/25)*Calculateur!AQ169*Calculateur!AS169*VLOOKUP('Données projet'!$B$10,Paramètres!$A$1:$I$89,3,0)*0.475*44/12</f>
        <v>0.69085875899289384</v>
      </c>
      <c r="AW169" s="21">
        <f>EXP(-LN(2)/2)*AW168+(1-EXP(-LN(2)/2))/(LN(2)/2)*AQ169*AT169*VLOOKUP('Données projet'!$B$10,Paramètres!$A$1:$I$89,3,0)*0.475*44/12</f>
        <v>1.2768670686130621E-7</v>
      </c>
      <c r="AX169" s="21">
        <f t="shared" si="166"/>
        <v>24.152834922185985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290.99999999999994</v>
      </c>
      <c r="BE169" s="13">
        <f>BD169*VLOOKUP('Données projet'!$B$11,Paramètres!$A$1:$I$89,3,0)*VLOOKUP('Données projet'!$B$11,Paramètres!$A$1:$I$89,5,0)</f>
        <v>276.91559999999993</v>
      </c>
      <c r="BF169" s="13">
        <f t="shared" si="167"/>
        <v>66.314766879144742</v>
      </c>
      <c r="BG169" s="20">
        <f t="shared" si="168"/>
        <v>597.79288898117682</v>
      </c>
      <c r="BH169" s="59">
        <f t="shared" si="116"/>
        <v>886.10758317604018</v>
      </c>
      <c r="BI169" s="59">
        <f ca="1">AVERAGE(OFFSET($BH$3,0,0,'Données projet'!$E$11+1,1))-AVERAGE(OFFSET($H$3,0,0,'Données projet'!$E$11+1,1))</f>
        <v>387.78453964980849</v>
      </c>
      <c r="BJ169" s="59">
        <f t="shared" si="146"/>
        <v>395.13533152274488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6.7870931871017524</v>
      </c>
      <c r="BQ169" s="21">
        <f>EXP(-LN(2)/25)*BQ168+(1-EXP(-LN(2)/25))/(LN(2)/25)*Calculateur!BL169*Calculateur!BN169*VLOOKUP('Données projet'!$B$11,Paramètres!$A$1:$I$89,3,0)*0.475*44/12</f>
        <v>0.19112422116932778</v>
      </c>
      <c r="BR169" s="21">
        <f>EXP(-LN(2)/2)*BR168+(1-EXP(-LN(2)/2))/(LN(2)/2)*BL169*BO169*VLOOKUP('Données projet'!$B$11,Paramètres!$A$1:$I$89,3,0)*0.475*44/12</f>
        <v>5.1561034720989574E-15</v>
      </c>
      <c r="BS169" s="22">
        <f t="shared" si="169"/>
        <v>6.9782174082710853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">
      <c r="A170" s="10">
        <f t="shared" si="161"/>
        <v>167</v>
      </c>
      <c r="B170" s="73">
        <f>'Scénario référence'!$B$16*5+'Scénario référence'!$B$17*0+'Scénario référence'!$B$18*5</f>
        <v>5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">
        <f t="shared" si="140"/>
        <v>0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18.333333333333332</v>
      </c>
      <c r="H170" s="67">
        <f t="shared" si="110"/>
        <v>183.33333333333334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295</v>
      </c>
      <c r="O170" s="13">
        <f>N170*VLOOKUP('Données projet'!$B$9,Paramètres!$A$1:$I$89,3,0)*VLOOKUP('Données projet'!$B$9,Paramètres!$A$1:$I$89,5,0)</f>
        <v>176.41000000000003</v>
      </c>
      <c r="P170" s="13">
        <f t="shared" si="141"/>
        <v>44.522543239204609</v>
      </c>
      <c r="Q170" s="20">
        <f t="shared" si="162"/>
        <v>384.79084614161474</v>
      </c>
      <c r="R170" s="59">
        <f t="shared" si="109"/>
        <v>673.1926025055343</v>
      </c>
      <c r="S170" s="59">
        <f ca="1">AVERAGE(OFFSET($R$3,0,0,'Données projet'!$E$9+1,1))-AVERAGE(OFFSET($H$3,0,0,'Données projet'!$E$9+1,1))</f>
        <v>219.4022220248072</v>
      </c>
      <c r="T170" s="59">
        <f t="shared" si="142"/>
        <v>199.30065726913725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3.8420573952081818</v>
      </c>
      <c r="AA170" s="21">
        <f>EXP(-LN(2)/25)*AA169+(1-EXP(-LN(2)/25))/(LN(2)/25)*Calculateur!V170*Calculateur!X170*VLOOKUP('Données projet'!$B$9,Paramètres!$A$1:$I$89,3,0)*0.475*44/12</f>
        <v>0.34910120539146278</v>
      </c>
      <c r="AB170" s="21">
        <f>EXP(-LN(2)/2)*AB169+(1-EXP(-LN(2)/2))/(LN(2)/2)*V170*Y170*VLOOKUP('Données projet'!$B$9,Paramètres!$A$1:$I$89,3,0)*0.475*44/12</f>
        <v>1.5569435982617021E-16</v>
      </c>
      <c r="AC170" s="22">
        <f t="shared" si="163"/>
        <v>4.1911586005996444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268.00000000000011</v>
      </c>
      <c r="AJ170" s="13">
        <f>AI170*VLOOKUP('Données projet'!$B$10,Paramètres!$A$1:$I$89,3,0)*VLOOKUP('Données projet'!$B$10,Paramètres!$A$1:$I$89,5,0)</f>
        <v>242.48640000000009</v>
      </c>
      <c r="AK170" s="13">
        <f t="shared" si="164"/>
        <v>58.974170235372476</v>
      </c>
      <c r="AL170" s="20">
        <f t="shared" si="165"/>
        <v>525.04382649327385</v>
      </c>
      <c r="AM170" s="59">
        <f t="shared" si="113"/>
        <v>813.44558285719347</v>
      </c>
      <c r="AN170" s="59">
        <f ca="1">AVERAGE(OFFSET($AM$3,0,0,'Données projet'!$E$10+1,1))-AVERAGE(OFFSET($H$3,0,0,'Données projet'!$E$10+1,1))</f>
        <v>406.64650428071837</v>
      </c>
      <c r="AO170" s="59">
        <f t="shared" si="144"/>
        <v>250.47702091764884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23.001900995842451</v>
      </c>
      <c r="AV170" s="21">
        <f>EXP(-LN(2)/25)*AV169+(1-EXP(-LN(2)/25))/(LN(2)/25)*Calculateur!AQ170*Calculateur!AS170*VLOOKUP('Données projet'!$B$10,Paramètres!$A$1:$I$89,3,0)*0.475*44/12</f>
        <v>0.67196718989755</v>
      </c>
      <c r="AW170" s="21">
        <f>EXP(-LN(2)/2)*AW169+(1-EXP(-LN(2)/2))/(LN(2)/2)*AQ170*AT170*VLOOKUP('Données projet'!$B$10,Paramètres!$A$1:$I$89,3,0)*0.475*44/12</f>
        <v>9.0288136289008487E-8</v>
      </c>
      <c r="AX170" s="21">
        <f t="shared" si="166"/>
        <v>23.673868276028138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290.99999999999994</v>
      </c>
      <c r="BE170" s="13">
        <f>BD170*VLOOKUP('Données projet'!$B$11,Paramètres!$A$1:$I$89,3,0)*VLOOKUP('Données projet'!$B$11,Paramètres!$A$1:$I$89,5,0)</f>
        <v>276.91559999999993</v>
      </c>
      <c r="BF170" s="13">
        <f t="shared" si="167"/>
        <v>66.314766879144742</v>
      </c>
      <c r="BG170" s="20">
        <f t="shared" si="168"/>
        <v>597.79288898117682</v>
      </c>
      <c r="BH170" s="59">
        <f t="shared" si="116"/>
        <v>886.19464534509643</v>
      </c>
      <c r="BI170" s="59">
        <f ca="1">AVERAGE(OFFSET($BH$3,0,0,'Données projet'!$E$11+1,1))-AVERAGE(OFFSET($H$3,0,0,'Données projet'!$E$11+1,1))</f>
        <v>387.78453964980849</v>
      </c>
      <c r="BJ170" s="59">
        <f t="shared" si="146"/>
        <v>395.13533152274488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6.6540024294207676</v>
      </c>
      <c r="BQ170" s="21">
        <f>EXP(-LN(2)/25)*BQ169+(1-EXP(-LN(2)/25))/(LN(2)/25)*Calculateur!BL170*Calculateur!BN170*VLOOKUP('Données projet'!$B$11,Paramètres!$A$1:$I$89,3,0)*0.475*44/12</f>
        <v>0.18589791929066654</v>
      </c>
      <c r="BR170" s="21">
        <f>EXP(-LN(2)/2)*BR169+(1-EXP(-LN(2)/2))/(LN(2)/2)*BL170*BO170*VLOOKUP('Données projet'!$B$11,Paramètres!$A$1:$I$89,3,0)*0.475*44/12</f>
        <v>3.6459157296206753E-15</v>
      </c>
      <c r="BS170" s="22">
        <f t="shared" si="169"/>
        <v>6.8399003487114376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">
      <c r="A171" s="10">
        <f t="shared" si="161"/>
        <v>168</v>
      </c>
      <c r="B171" s="73">
        <f>'Scénario référence'!$B$16*5+'Scénario référence'!$B$17*0+'Scénario référence'!$B$18*5</f>
        <v>5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">
        <f t="shared" si="140"/>
        <v>0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18.333333333333332</v>
      </c>
      <c r="H171" s="67">
        <f t="shared" si="110"/>
        <v>183.33333333333334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295</v>
      </c>
      <c r="O171" s="13">
        <f>N171*VLOOKUP('Données projet'!$B$9,Paramètres!$A$1:$I$89,3,0)*VLOOKUP('Données projet'!$B$9,Paramètres!$A$1:$I$89,5,0)</f>
        <v>176.41000000000003</v>
      </c>
      <c r="P171" s="13">
        <f t="shared" si="141"/>
        <v>44.522543239204609</v>
      </c>
      <c r="Q171" s="20">
        <f t="shared" si="162"/>
        <v>384.79084614161474</v>
      </c>
      <c r="R171" s="59">
        <f t="shared" si="109"/>
        <v>673.27815434059926</v>
      </c>
      <c r="S171" s="59">
        <f ca="1">AVERAGE(OFFSET($R$3,0,0,'Données projet'!$E$9+1,1))-AVERAGE(OFFSET($H$3,0,0,'Données projet'!$E$9+1,1))</f>
        <v>219.4022220248072</v>
      </c>
      <c r="T171" s="59">
        <f t="shared" si="142"/>
        <v>199.30065726913725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3.7667169931117668</v>
      </c>
      <c r="AA171" s="21">
        <f>EXP(-LN(2)/25)*AA170+(1-EXP(-LN(2)/25))/(LN(2)/25)*Calculateur!V171*Calculateur!X171*VLOOKUP('Données projet'!$B$9,Paramètres!$A$1:$I$89,3,0)*0.475*44/12</f>
        <v>0.3395550145715987</v>
      </c>
      <c r="AB171" s="21">
        <f>EXP(-LN(2)/2)*AB170+(1-EXP(-LN(2)/2))/(LN(2)/2)*V171*Y171*VLOOKUP('Données projet'!$B$9,Paramètres!$A$1:$I$89,3,0)*0.475*44/12</f>
        <v>1.1009253762558334E-16</v>
      </c>
      <c r="AC171" s="22">
        <f t="shared" si="163"/>
        <v>4.1062720076833656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268.00000000000011</v>
      </c>
      <c r="AJ171" s="13">
        <f>AI171*VLOOKUP('Données projet'!$B$10,Paramètres!$A$1:$I$89,3,0)*VLOOKUP('Données projet'!$B$10,Paramètres!$A$1:$I$89,5,0)</f>
        <v>242.48640000000009</v>
      </c>
      <c r="AK171" s="13">
        <f t="shared" si="164"/>
        <v>58.974170235372476</v>
      </c>
      <c r="AL171" s="20">
        <f t="shared" si="165"/>
        <v>525.04382649327385</v>
      </c>
      <c r="AM171" s="59">
        <f t="shared" si="113"/>
        <v>813.53113469225832</v>
      </c>
      <c r="AN171" s="59">
        <f ca="1">AVERAGE(OFFSET($AM$3,0,0,'Données projet'!$E$10+1,1))-AVERAGE(OFFSET($H$3,0,0,'Données projet'!$E$10+1,1))</f>
        <v>406.64650428071837</v>
      </c>
      <c r="AO171" s="59">
        <f t="shared" si="144"/>
        <v>250.47702091764884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22.550847747088262</v>
      </c>
      <c r="AV171" s="21">
        <f>EXP(-LN(2)/25)*AV170+(1-EXP(-LN(2)/25))/(LN(2)/25)*Calculateur!AQ171*Calculateur!AS171*VLOOKUP('Données projet'!$B$10,Paramètres!$A$1:$I$89,3,0)*0.475*44/12</f>
        <v>0.65359221175258275</v>
      </c>
      <c r="AW171" s="21">
        <f>EXP(-LN(2)/2)*AW170+(1-EXP(-LN(2)/2))/(LN(2)/2)*AQ171*AT171*VLOOKUP('Données projet'!$B$10,Paramètres!$A$1:$I$89,3,0)*0.475*44/12</f>
        <v>6.3843353430653105E-8</v>
      </c>
      <c r="AX171" s="21">
        <f t="shared" si="166"/>
        <v>23.204440022684196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290.99999999999994</v>
      </c>
      <c r="BE171" s="13">
        <f>BD171*VLOOKUP('Données projet'!$B$11,Paramètres!$A$1:$I$89,3,0)*VLOOKUP('Données projet'!$B$11,Paramètres!$A$1:$I$89,5,0)</f>
        <v>276.91559999999993</v>
      </c>
      <c r="BF171" s="13">
        <f t="shared" si="167"/>
        <v>66.314766879144742</v>
      </c>
      <c r="BG171" s="20">
        <f t="shared" si="168"/>
        <v>597.79288898117682</v>
      </c>
      <c r="BH171" s="59">
        <f t="shared" si="116"/>
        <v>886.28019718016139</v>
      </c>
      <c r="BI171" s="59">
        <f ca="1">AVERAGE(OFFSET($BH$3,0,0,'Données projet'!$E$11+1,1))-AVERAGE(OFFSET($H$3,0,0,'Données projet'!$E$11+1,1))</f>
        <v>387.78453964980849</v>
      </c>
      <c r="BJ171" s="59">
        <f t="shared" si="146"/>
        <v>395.13533152274488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6.5235215003205607</v>
      </c>
      <c r="BQ171" s="21">
        <f>EXP(-LN(2)/25)*BQ170+(1-EXP(-LN(2)/25))/(LN(2)/25)*Calculateur!BL171*Calculateur!BN171*VLOOKUP('Données projet'!$B$11,Paramètres!$A$1:$I$89,3,0)*0.475*44/12</f>
        <v>0.18081453091171656</v>
      </c>
      <c r="BR171" s="21">
        <f>EXP(-LN(2)/2)*BR170+(1-EXP(-LN(2)/2))/(LN(2)/2)*BL171*BO171*VLOOKUP('Données projet'!$B$11,Paramètres!$A$1:$I$89,3,0)*0.475*44/12</f>
        <v>2.5780517360494787E-15</v>
      </c>
      <c r="BS171" s="22">
        <f t="shared" si="169"/>
        <v>6.7043360312322795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">
      <c r="A172" s="10">
        <f t="shared" si="161"/>
        <v>169</v>
      </c>
      <c r="B172" s="73">
        <f>'Scénario référence'!$B$16*5+'Scénario référence'!$B$17*0+'Scénario référence'!$B$18*5</f>
        <v>5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">
        <f t="shared" si="140"/>
        <v>0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18.333333333333332</v>
      </c>
      <c r="H172" s="67">
        <f t="shared" si="110"/>
        <v>183.33333333333334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295</v>
      </c>
      <c r="O172" s="13">
        <f>N172*VLOOKUP('Données projet'!$B$9,Paramètres!$A$1:$I$89,3,0)*VLOOKUP('Données projet'!$B$9,Paramètres!$A$1:$I$89,5,0)</f>
        <v>176.41000000000003</v>
      </c>
      <c r="P172" s="13">
        <f t="shared" si="141"/>
        <v>44.522543239204609</v>
      </c>
      <c r="Q172" s="20">
        <f t="shared" si="162"/>
        <v>384.79084614161474</v>
      </c>
      <c r="R172" s="59">
        <f t="shared" si="109"/>
        <v>673.36222204259116</v>
      </c>
      <c r="S172" s="59">
        <f ca="1">AVERAGE(OFFSET($R$3,0,0,'Données projet'!$E$9+1,1))-AVERAGE(OFFSET($H$3,0,0,'Données projet'!$E$9+1,1))</f>
        <v>219.4022220248072</v>
      </c>
      <c r="T172" s="59">
        <f t="shared" si="142"/>
        <v>199.30065726913725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3.6928539703473544</v>
      </c>
      <c r="AA172" s="21">
        <f>EXP(-LN(2)/25)*AA171+(1-EXP(-LN(2)/25))/(LN(2)/25)*Calculateur!V172*Calculateur!X172*VLOOKUP('Données projet'!$B$9,Paramètres!$A$1:$I$89,3,0)*0.475*44/12</f>
        <v>0.33026986484171617</v>
      </c>
      <c r="AB172" s="21">
        <f>EXP(-LN(2)/2)*AB171+(1-EXP(-LN(2)/2))/(LN(2)/2)*V172*Y172*VLOOKUP('Données projet'!$B$9,Paramètres!$A$1:$I$89,3,0)*0.475*44/12</f>
        <v>7.7847179913085118E-17</v>
      </c>
      <c r="AC172" s="22">
        <f t="shared" si="163"/>
        <v>4.0231238351890708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268.00000000000011</v>
      </c>
      <c r="AJ172" s="13">
        <f>AI172*VLOOKUP('Données projet'!$B$10,Paramètres!$A$1:$I$89,3,0)*VLOOKUP('Données projet'!$B$10,Paramètres!$A$1:$I$89,5,0)</f>
        <v>242.48640000000009</v>
      </c>
      <c r="AK172" s="13">
        <f t="shared" si="164"/>
        <v>58.974170235372476</v>
      </c>
      <c r="AL172" s="20">
        <f t="shared" si="165"/>
        <v>525.04382649327385</v>
      </c>
      <c r="AM172" s="59">
        <f t="shared" si="113"/>
        <v>813.61520239425022</v>
      </c>
      <c r="AN172" s="59">
        <f ca="1">AVERAGE(OFFSET($AM$3,0,0,'Données projet'!$E$10+1,1))-AVERAGE(OFFSET($H$3,0,0,'Données projet'!$E$10+1,1))</f>
        <v>406.64650428071837</v>
      </c>
      <c r="AO172" s="59">
        <f t="shared" si="144"/>
        <v>250.47702091764884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22.108639377426826</v>
      </c>
      <c r="AV172" s="21">
        <f>EXP(-LN(2)/25)*AV171+(1-EXP(-LN(2)/25))/(LN(2)/25)*Calculateur!AQ172*Calculateur!AS172*VLOOKUP('Données projet'!$B$10,Paramètres!$A$1:$I$89,3,0)*0.475*44/12</f>
        <v>0.63571969835128772</v>
      </c>
      <c r="AW172" s="21">
        <f>EXP(-LN(2)/2)*AW171+(1-EXP(-LN(2)/2))/(LN(2)/2)*AQ172*AT172*VLOOKUP('Données projet'!$B$10,Paramètres!$A$1:$I$89,3,0)*0.475*44/12</f>
        <v>4.5144068144504243E-8</v>
      </c>
      <c r="AX172" s="21">
        <f t="shared" si="166"/>
        <v>22.744359120922184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290.99999999999994</v>
      </c>
      <c r="BE172" s="13">
        <f>BD172*VLOOKUP('Données projet'!$B$11,Paramètres!$A$1:$I$89,3,0)*VLOOKUP('Données projet'!$B$11,Paramètres!$A$1:$I$89,5,0)</f>
        <v>276.91559999999993</v>
      </c>
      <c r="BF172" s="13">
        <f t="shared" si="167"/>
        <v>66.314766879144742</v>
      </c>
      <c r="BG172" s="20">
        <f t="shared" si="168"/>
        <v>597.79288898117682</v>
      </c>
      <c r="BH172" s="59">
        <f t="shared" si="116"/>
        <v>886.36426488215329</v>
      </c>
      <c r="BI172" s="59">
        <f ca="1">AVERAGE(OFFSET($BH$3,0,0,'Données projet'!$E$11+1,1))-AVERAGE(OFFSET($H$3,0,0,'Données projet'!$E$11+1,1))</f>
        <v>387.78453964980849</v>
      </c>
      <c r="BJ172" s="59">
        <f t="shared" si="146"/>
        <v>395.13533152274488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6.3955992226545009</v>
      </c>
      <c r="BQ172" s="21">
        <f>EXP(-LN(2)/25)*BQ171+(1-EXP(-LN(2)/25))/(LN(2)/25)*Calculateur!BL172*Calculateur!BN172*VLOOKUP('Données projet'!$B$11,Paramètres!$A$1:$I$89,3,0)*0.475*44/12</f>
        <v>0.17587014805531276</v>
      </c>
      <c r="BR172" s="21">
        <f>EXP(-LN(2)/2)*BR171+(1-EXP(-LN(2)/2))/(LN(2)/2)*BL172*BO172*VLOOKUP('Données projet'!$B$11,Paramètres!$A$1:$I$89,3,0)*0.475*44/12</f>
        <v>1.8229578648103377E-15</v>
      </c>
      <c r="BS172" s="22">
        <f t="shared" si="169"/>
        <v>6.5714693707098153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">
      <c r="A173" s="10">
        <f t="shared" si="161"/>
        <v>170</v>
      </c>
      <c r="B173" s="73">
        <f>'Scénario référence'!$B$16*5+'Scénario référence'!$B$17*0+'Scénario référence'!$B$18*5</f>
        <v>5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">
        <f t="shared" si="140"/>
        <v>0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18.333333333333332</v>
      </c>
      <c r="H173" s="67">
        <f t="shared" si="110"/>
        <v>183.33333333333334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295</v>
      </c>
      <c r="O173" s="13">
        <f>N173*VLOOKUP('Données projet'!$B$9,Paramètres!$A$1:$I$89,3,0)*VLOOKUP('Données projet'!$B$9,Paramètres!$A$1:$I$89,5,0)</f>
        <v>176.41000000000003</v>
      </c>
      <c r="P173" s="13">
        <f t="shared" si="141"/>
        <v>44.522543239204609</v>
      </c>
      <c r="Q173" s="20">
        <f t="shared" si="162"/>
        <v>384.79084614161474</v>
      </c>
      <c r="R173" s="59">
        <f t="shared" si="109"/>
        <v>673.44483135790063</v>
      </c>
      <c r="S173" s="59">
        <f ca="1">AVERAGE(OFFSET($R$3,0,0,'Données projet'!$E$9+1,1))-AVERAGE(OFFSET($H$3,0,0,'Données projet'!$E$9+1,1))</f>
        <v>219.4022220248072</v>
      </c>
      <c r="T173" s="59">
        <f t="shared" si="142"/>
        <v>199.30065726913725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3.6204393564073567</v>
      </c>
      <c r="AA173" s="21">
        <f>EXP(-LN(2)/25)*AA172+(1-EXP(-LN(2)/25))/(LN(2)/25)*Calculateur!V173*Calculateur!X173*VLOOKUP('Données projet'!$B$9,Paramètres!$A$1:$I$89,3,0)*0.475*44/12</f>
        <v>0.32123861801948211</v>
      </c>
      <c r="AB173" s="21">
        <f>EXP(-LN(2)/2)*AB172+(1-EXP(-LN(2)/2))/(LN(2)/2)*V173*Y173*VLOOKUP('Données projet'!$B$9,Paramètres!$A$1:$I$89,3,0)*0.475*44/12</f>
        <v>5.5046268812791679E-17</v>
      </c>
      <c r="AC173" s="22">
        <f t="shared" si="163"/>
        <v>3.9416779744268386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268.00000000000011</v>
      </c>
      <c r="AJ173" s="13">
        <f>AI173*VLOOKUP('Données projet'!$B$10,Paramètres!$A$1:$I$89,3,0)*VLOOKUP('Données projet'!$B$10,Paramètres!$A$1:$I$89,5,0)</f>
        <v>242.48640000000009</v>
      </c>
      <c r="AK173" s="13">
        <f t="shared" si="164"/>
        <v>58.974170235372476</v>
      </c>
      <c r="AL173" s="20">
        <f t="shared" si="165"/>
        <v>525.04382649327385</v>
      </c>
      <c r="AM173" s="59">
        <f t="shared" si="113"/>
        <v>813.6978117095598</v>
      </c>
      <c r="AN173" s="59">
        <f ca="1">AVERAGE(OFFSET($AM$3,0,0,'Données projet'!$E$10+1,1))-AVERAGE(OFFSET($H$3,0,0,'Données projet'!$E$10+1,1))</f>
        <v>406.64650428071837</v>
      </c>
      <c r="AO173" s="59">
        <f t="shared" si="144"/>
        <v>250.47702091764884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21.67510244417398</v>
      </c>
      <c r="AV173" s="21">
        <f>EXP(-LN(2)/25)*AV172+(1-EXP(-LN(2)/25))/(LN(2)/25)*Calculateur!AQ173*Calculateur!AS173*VLOOKUP('Données projet'!$B$10,Paramètres!$A$1:$I$89,3,0)*0.475*44/12</f>
        <v>0.6183359097688258</v>
      </c>
      <c r="AW173" s="21">
        <f>EXP(-LN(2)/2)*AW172+(1-EXP(-LN(2)/2))/(LN(2)/2)*AQ173*AT173*VLOOKUP('Données projet'!$B$10,Paramètres!$A$1:$I$89,3,0)*0.475*44/12</f>
        <v>3.1921676715326552E-8</v>
      </c>
      <c r="AX173" s="21">
        <f t="shared" si="166"/>
        <v>22.293438385864484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290.99999999999994</v>
      </c>
      <c r="BE173" s="13">
        <f>BD173*VLOOKUP('Données projet'!$B$11,Paramètres!$A$1:$I$89,3,0)*VLOOKUP('Données projet'!$B$11,Paramètres!$A$1:$I$89,5,0)</f>
        <v>276.91559999999993</v>
      </c>
      <c r="BF173" s="13">
        <f t="shared" si="167"/>
        <v>66.314766879144742</v>
      </c>
      <c r="BG173" s="20">
        <f t="shared" si="168"/>
        <v>597.79288898117682</v>
      </c>
      <c r="BH173" s="59">
        <f t="shared" si="116"/>
        <v>886.44687419746265</v>
      </c>
      <c r="BI173" s="59">
        <f ca="1">AVERAGE(OFFSET($BH$3,0,0,'Données projet'!$E$11+1,1))-AVERAGE(OFFSET($H$3,0,0,'Données projet'!$E$11+1,1))</f>
        <v>387.78453964980849</v>
      </c>
      <c r="BJ173" s="59">
        <f t="shared" si="146"/>
        <v>395.13533152274488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6.2701854228285869</v>
      </c>
      <c r="BQ173" s="21">
        <f>EXP(-LN(2)/25)*BQ172+(1-EXP(-LN(2)/25))/(LN(2)/25)*Calculateur!BL173*Calculateur!BN173*VLOOKUP('Données projet'!$B$11,Paramètres!$A$1:$I$89,3,0)*0.475*44/12</f>
        <v>0.17106096960813111</v>
      </c>
      <c r="BR173" s="21">
        <f>EXP(-LN(2)/2)*BR172+(1-EXP(-LN(2)/2))/(LN(2)/2)*BL173*BO173*VLOOKUP('Données projet'!$B$11,Paramètres!$A$1:$I$89,3,0)*0.475*44/12</f>
        <v>1.2890258680247393E-15</v>
      </c>
      <c r="BS173" s="22">
        <f t="shared" si="169"/>
        <v>6.4412463924367191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">
      <c r="A174" s="10">
        <f t="shared" si="161"/>
        <v>171</v>
      </c>
      <c r="B174" s="73">
        <f>'Scénario référence'!$B$16*5+'Scénario référence'!$B$17*0+'Scénario référence'!$B$18*5</f>
        <v>5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">
        <f t="shared" si="140"/>
        <v>0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18.333333333333332</v>
      </c>
      <c r="H174" s="67">
        <f t="shared" si="110"/>
        <v>183.33333333333334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295</v>
      </c>
      <c r="O174" s="13">
        <f>N174*VLOOKUP('Données projet'!$B$9,Paramètres!$A$1:$I$89,3,0)*VLOOKUP('Données projet'!$B$9,Paramètres!$A$1:$I$89,5,0)</f>
        <v>176.41000000000003</v>
      </c>
      <c r="P174" s="13">
        <f t="shared" si="141"/>
        <v>44.522543239204609</v>
      </c>
      <c r="Q174" s="20">
        <f t="shared" si="162"/>
        <v>384.79084614161474</v>
      </c>
      <c r="R174" s="59">
        <f t="shared" si="109"/>
        <v>673.52600758627625</v>
      </c>
      <c r="S174" s="59">
        <f ca="1">AVERAGE(OFFSET($R$3,0,0,'Données projet'!$E$9+1,1))-AVERAGE(OFFSET($H$3,0,0,'Données projet'!$E$9+1,1))</f>
        <v>219.4022220248072</v>
      </c>
      <c r="T174" s="59">
        <f t="shared" si="142"/>
        <v>199.30065726913725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3.5494447488781691</v>
      </c>
      <c r="AA174" s="21">
        <f>EXP(-LN(2)/25)*AA173+(1-EXP(-LN(2)/25))/(LN(2)/25)*Calculateur!V174*Calculateur!X174*VLOOKUP('Données projet'!$B$9,Paramètres!$A$1:$I$89,3,0)*0.475*44/12</f>
        <v>0.31245433111653464</v>
      </c>
      <c r="AB174" s="21">
        <f>EXP(-LN(2)/2)*AB173+(1-EXP(-LN(2)/2))/(LN(2)/2)*V174*Y174*VLOOKUP('Données projet'!$B$9,Paramètres!$A$1:$I$89,3,0)*0.475*44/12</f>
        <v>3.8923589956542565E-17</v>
      </c>
      <c r="AC174" s="22">
        <f t="shared" si="163"/>
        <v>3.8618990799947035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268.00000000000011</v>
      </c>
      <c r="AJ174" s="13">
        <f>AI174*VLOOKUP('Données projet'!$B$10,Paramètres!$A$1:$I$89,3,0)*VLOOKUP('Données projet'!$B$10,Paramètres!$A$1:$I$89,5,0)</f>
        <v>242.48640000000009</v>
      </c>
      <c r="AK174" s="13">
        <f t="shared" si="164"/>
        <v>58.974170235372476</v>
      </c>
      <c r="AL174" s="20">
        <f t="shared" si="165"/>
        <v>525.04382649327385</v>
      </c>
      <c r="AM174" s="59">
        <f t="shared" si="113"/>
        <v>813.77898793793543</v>
      </c>
      <c r="AN174" s="59">
        <f ca="1">AVERAGE(OFFSET($AM$3,0,0,'Données projet'!$E$10+1,1))-AVERAGE(OFFSET($H$3,0,0,'Données projet'!$E$10+1,1))</f>
        <v>406.64650428071837</v>
      </c>
      <c r="AO174" s="59">
        <f t="shared" si="144"/>
        <v>250.47702091764884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21.250066905750803</v>
      </c>
      <c r="AV174" s="21">
        <f>EXP(-LN(2)/25)*AV173+(1-EXP(-LN(2)/25))/(LN(2)/25)*Calculateur!AQ174*Calculateur!AS174*VLOOKUP('Données projet'!$B$10,Paramètres!$A$1:$I$89,3,0)*0.475*44/12</f>
        <v>0.60142748179932504</v>
      </c>
      <c r="AW174" s="21">
        <f>EXP(-LN(2)/2)*AW173+(1-EXP(-LN(2)/2))/(LN(2)/2)*AQ174*AT174*VLOOKUP('Données projet'!$B$10,Paramètres!$A$1:$I$89,3,0)*0.475*44/12</f>
        <v>2.2572034072252122E-8</v>
      </c>
      <c r="AX174" s="21">
        <f t="shared" si="166"/>
        <v>21.851494410122161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290.99999999999994</v>
      </c>
      <c r="BE174" s="13">
        <f>BD174*VLOOKUP('Données projet'!$B$11,Paramètres!$A$1:$I$89,3,0)*VLOOKUP('Données projet'!$B$11,Paramètres!$A$1:$I$89,5,0)</f>
        <v>276.91559999999993</v>
      </c>
      <c r="BF174" s="13">
        <f t="shared" si="167"/>
        <v>66.314766879144742</v>
      </c>
      <c r="BG174" s="20">
        <f t="shared" si="168"/>
        <v>597.79288898117682</v>
      </c>
      <c r="BH174" s="59">
        <f t="shared" si="116"/>
        <v>886.52805042583827</v>
      </c>
      <c r="BI174" s="59">
        <f ca="1">AVERAGE(OFFSET($BH$3,0,0,'Données projet'!$E$11+1,1))-AVERAGE(OFFSET($H$3,0,0,'Données projet'!$E$11+1,1))</f>
        <v>387.78453964980849</v>
      </c>
      <c r="BJ174" s="59">
        <f t="shared" si="146"/>
        <v>395.13533152274488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6.1472309111223948</v>
      </c>
      <c r="BQ174" s="21">
        <f>EXP(-LN(2)/25)*BQ173+(1-EXP(-LN(2)/25))/(LN(2)/25)*Calculateur!BL174*Calculateur!BN174*VLOOKUP('Données projet'!$B$11,Paramètres!$A$1:$I$89,3,0)*0.475*44/12</f>
        <v>0.16638329839849134</v>
      </c>
      <c r="BR174" s="21">
        <f>EXP(-LN(2)/2)*BR173+(1-EXP(-LN(2)/2))/(LN(2)/2)*BL174*BO174*VLOOKUP('Données projet'!$B$11,Paramètres!$A$1:$I$89,3,0)*0.475*44/12</f>
        <v>9.1147893240516883E-16</v>
      </c>
      <c r="BS174" s="22">
        <f t="shared" si="169"/>
        <v>6.3136142095208871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">
      <c r="A175" s="10">
        <f t="shared" si="161"/>
        <v>172</v>
      </c>
      <c r="B175" s="73">
        <f>'Scénario référence'!$B$16*5+'Scénario référence'!$B$17*0+'Scénario référence'!$B$18*5</f>
        <v>5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">
        <f t="shared" si="140"/>
        <v>0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18.333333333333332</v>
      </c>
      <c r="H175" s="67">
        <f t="shared" si="110"/>
        <v>183.33333333333334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295</v>
      </c>
      <c r="O175" s="13">
        <f>N175*VLOOKUP('Données projet'!$B$9,Paramètres!$A$1:$I$89,3,0)*VLOOKUP('Données projet'!$B$9,Paramètres!$A$1:$I$89,5,0)</f>
        <v>176.41000000000003</v>
      </c>
      <c r="P175" s="13">
        <f t="shared" si="141"/>
        <v>44.522543239204609</v>
      </c>
      <c r="Q175" s="20">
        <f t="shared" si="162"/>
        <v>384.79084614161474</v>
      </c>
      <c r="R175" s="59">
        <f t="shared" si="109"/>
        <v>673.60577558857244</v>
      </c>
      <c r="S175" s="59">
        <f ca="1">AVERAGE(OFFSET($R$3,0,0,'Données projet'!$E$9+1,1))-AVERAGE(OFFSET($H$3,0,0,'Données projet'!$E$9+1,1))</f>
        <v>219.4022220248072</v>
      </c>
      <c r="T175" s="59">
        <f t="shared" si="142"/>
        <v>199.30065726913725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3.4798423023001943</v>
      </c>
      <c r="AA175" s="21">
        <f>EXP(-LN(2)/25)*AA174+(1-EXP(-LN(2)/25))/(LN(2)/25)*Calculateur!V175*Calculateur!X175*VLOOKUP('Données projet'!$B$9,Paramètres!$A$1:$I$89,3,0)*0.475*44/12</f>
        <v>0.30391025100089386</v>
      </c>
      <c r="AB175" s="21">
        <f>EXP(-LN(2)/2)*AB174+(1-EXP(-LN(2)/2))/(LN(2)/2)*V175*Y175*VLOOKUP('Données projet'!$B$9,Paramètres!$A$1:$I$89,3,0)*0.475*44/12</f>
        <v>2.7523134406395845E-17</v>
      </c>
      <c r="AC175" s="22">
        <f t="shared" si="163"/>
        <v>3.7837525533010883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268.00000000000011</v>
      </c>
      <c r="AJ175" s="13">
        <f>AI175*VLOOKUP('Données projet'!$B$10,Paramètres!$A$1:$I$89,3,0)*VLOOKUP('Données projet'!$B$10,Paramètres!$A$1:$I$89,5,0)</f>
        <v>242.48640000000009</v>
      </c>
      <c r="AK175" s="13">
        <f t="shared" si="164"/>
        <v>58.974170235372476</v>
      </c>
      <c r="AL175" s="20">
        <f t="shared" si="165"/>
        <v>525.04382649327385</v>
      </c>
      <c r="AM175" s="59">
        <f t="shared" si="113"/>
        <v>813.8587559402315</v>
      </c>
      <c r="AN175" s="59">
        <f ca="1">AVERAGE(OFFSET($AM$3,0,0,'Données projet'!$E$10+1,1))-AVERAGE(OFFSET($H$3,0,0,'Données projet'!$E$10+1,1))</f>
        <v>406.64650428071837</v>
      </c>
      <c r="AO175" s="59">
        <f t="shared" si="144"/>
        <v>250.47702091764884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20.833366054990023</v>
      </c>
      <c r="AV175" s="21">
        <f>EXP(-LN(2)/25)*AV174+(1-EXP(-LN(2)/25))/(LN(2)/25)*Calculateur!AQ175*Calculateur!AS175*VLOOKUP('Données projet'!$B$10,Paramètres!$A$1:$I$89,3,0)*0.475*44/12</f>
        <v>0.58498141568182582</v>
      </c>
      <c r="AW175" s="21">
        <f>EXP(-LN(2)/2)*AW174+(1-EXP(-LN(2)/2))/(LN(2)/2)*AQ175*AT175*VLOOKUP('Données projet'!$B$10,Paramètres!$A$1:$I$89,3,0)*0.475*44/12</f>
        <v>1.5960838357663276E-8</v>
      </c>
      <c r="AX175" s="21">
        <f t="shared" si="166"/>
        <v>21.418347486632687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290.99999999999994</v>
      </c>
      <c r="BE175" s="13">
        <f>BD175*VLOOKUP('Données projet'!$B$11,Paramètres!$A$1:$I$89,3,0)*VLOOKUP('Données projet'!$B$11,Paramètres!$A$1:$I$89,5,0)</f>
        <v>276.91559999999993</v>
      </c>
      <c r="BF175" s="13">
        <f t="shared" si="167"/>
        <v>66.314766879144742</v>
      </c>
      <c r="BG175" s="20">
        <f t="shared" si="168"/>
        <v>597.79288898117682</v>
      </c>
      <c r="BH175" s="59">
        <f t="shared" si="116"/>
        <v>886.60781842813446</v>
      </c>
      <c r="BI175" s="59">
        <f ca="1">AVERAGE(OFFSET($BH$3,0,0,'Données projet'!$E$11+1,1))-AVERAGE(OFFSET($H$3,0,0,'Données projet'!$E$11+1,1))</f>
        <v>387.78453964980849</v>
      </c>
      <c r="BJ175" s="59">
        <f t="shared" si="146"/>
        <v>395.13533152274488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6.0266874623959144</v>
      </c>
      <c r="BQ175" s="21">
        <f>EXP(-LN(2)/25)*BQ174+(1-EXP(-LN(2)/25))/(LN(2)/25)*Calculateur!BL175*Calculateur!BN175*VLOOKUP('Données projet'!$B$11,Paramètres!$A$1:$I$89,3,0)*0.475*44/12</f>
        <v>0.16183353835406719</v>
      </c>
      <c r="BR175" s="21">
        <f>EXP(-LN(2)/2)*BR174+(1-EXP(-LN(2)/2))/(LN(2)/2)*BL175*BO175*VLOOKUP('Données projet'!$B$11,Paramètres!$A$1:$I$89,3,0)*0.475*44/12</f>
        <v>6.4451293401236967E-16</v>
      </c>
      <c r="BS175" s="22">
        <f t="shared" si="169"/>
        <v>6.188521000749982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">
      <c r="A176" s="10">
        <f t="shared" si="161"/>
        <v>173</v>
      </c>
      <c r="B176" s="73">
        <f>'Scénario référence'!$B$16*5+'Scénario référence'!$B$17*0+'Scénario référence'!$B$18*5</f>
        <v>5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">
        <f t="shared" si="140"/>
        <v>0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18.333333333333332</v>
      </c>
      <c r="H176" s="67">
        <f t="shared" si="110"/>
        <v>183.33333333333334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295</v>
      </c>
      <c r="O176" s="13">
        <f>N176*VLOOKUP('Données projet'!$B$9,Paramètres!$A$1:$I$89,3,0)*VLOOKUP('Données projet'!$B$9,Paramètres!$A$1:$I$89,5,0)</f>
        <v>176.41000000000003</v>
      </c>
      <c r="P176" s="13">
        <f t="shared" si="141"/>
        <v>44.522543239204609</v>
      </c>
      <c r="Q176" s="20">
        <f t="shared" si="162"/>
        <v>384.79084614161474</v>
      </c>
      <c r="R176" s="59">
        <f t="shared" si="109"/>
        <v>673.68415979436327</v>
      </c>
      <c r="S176" s="59">
        <f ca="1">AVERAGE(OFFSET($R$3,0,0,'Données projet'!$E$9+1,1))-AVERAGE(OFFSET($H$3,0,0,'Données projet'!$E$9+1,1))</f>
        <v>219.4022220248072</v>
      </c>
      <c r="T176" s="59">
        <f t="shared" si="142"/>
        <v>199.30065726913725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3.4116047172463131</v>
      </c>
      <c r="AA176" s="21">
        <f>EXP(-LN(2)/25)*AA175+(1-EXP(-LN(2)/25))/(LN(2)/25)*Calculateur!V176*Calculateur!X176*VLOOKUP('Données projet'!$B$9,Paramètres!$A$1:$I$89,3,0)*0.475*44/12</f>
        <v>0.29559980920532891</v>
      </c>
      <c r="AB176" s="21">
        <f>EXP(-LN(2)/2)*AB175+(1-EXP(-LN(2)/2))/(LN(2)/2)*V176*Y176*VLOOKUP('Données projet'!$B$9,Paramètres!$A$1:$I$89,3,0)*0.475*44/12</f>
        <v>1.9461794978271286E-17</v>
      </c>
      <c r="AC176" s="22">
        <f t="shared" si="163"/>
        <v>3.7072045264516422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268.00000000000011</v>
      </c>
      <c r="AJ176" s="13">
        <f>AI176*VLOOKUP('Données projet'!$B$10,Paramètres!$A$1:$I$89,3,0)*VLOOKUP('Données projet'!$B$10,Paramètres!$A$1:$I$89,5,0)</f>
        <v>242.48640000000009</v>
      </c>
      <c r="AK176" s="13">
        <f t="shared" si="164"/>
        <v>58.974170235372476</v>
      </c>
      <c r="AL176" s="20">
        <f t="shared" si="165"/>
        <v>525.04382649327385</v>
      </c>
      <c r="AM176" s="59">
        <f t="shared" si="113"/>
        <v>813.93714014602233</v>
      </c>
      <c r="AN176" s="59">
        <f ca="1">AVERAGE(OFFSET($AM$3,0,0,'Données projet'!$E$10+1,1))-AVERAGE(OFFSET($H$3,0,0,'Données projet'!$E$10+1,1))</f>
        <v>406.64650428071837</v>
      </c>
      <c r="AO176" s="59">
        <f t="shared" si="144"/>
        <v>250.47702091764884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20.424836453750242</v>
      </c>
      <c r="AV176" s="21">
        <f>EXP(-LN(2)/25)*AV175+(1-EXP(-LN(2)/25))/(LN(2)/25)*Calculateur!AQ176*Calculateur!AS176*VLOOKUP('Données projet'!$B$10,Paramètres!$A$1:$I$89,3,0)*0.475*44/12</f>
        <v>0.56898506810717064</v>
      </c>
      <c r="AW176" s="21">
        <f>EXP(-LN(2)/2)*AW175+(1-EXP(-LN(2)/2))/(LN(2)/2)*AQ176*AT176*VLOOKUP('Données projet'!$B$10,Paramètres!$A$1:$I$89,3,0)*0.475*44/12</f>
        <v>1.1286017036126061E-8</v>
      </c>
      <c r="AX176" s="21">
        <f t="shared" si="166"/>
        <v>20.993821533143429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290.99999999999994</v>
      </c>
      <c r="BE176" s="13">
        <f>BD176*VLOOKUP('Données projet'!$B$11,Paramètres!$A$1:$I$89,3,0)*VLOOKUP('Données projet'!$B$11,Paramètres!$A$1:$I$89,5,0)</f>
        <v>276.91559999999993</v>
      </c>
      <c r="BF176" s="13">
        <f t="shared" si="167"/>
        <v>66.314766879144742</v>
      </c>
      <c r="BG176" s="20">
        <f t="shared" si="168"/>
        <v>597.79288898117682</v>
      </c>
      <c r="BH176" s="59">
        <f t="shared" si="116"/>
        <v>886.68620263392529</v>
      </c>
      <c r="BI176" s="59">
        <f ca="1">AVERAGE(OFFSET($BH$3,0,0,'Données projet'!$E$11+1,1))-AVERAGE(OFFSET($H$3,0,0,'Données projet'!$E$11+1,1))</f>
        <v>387.78453964980849</v>
      </c>
      <c r="BJ176" s="59">
        <f t="shared" si="146"/>
        <v>395.13533152274488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5.9085077971747157</v>
      </c>
      <c r="BQ176" s="21">
        <f>EXP(-LN(2)/25)*BQ175+(1-EXP(-LN(2)/25))/(LN(2)/25)*Calculateur!BL176*Calculateur!BN176*VLOOKUP('Données projet'!$B$11,Paramètres!$A$1:$I$89,3,0)*0.475*44/12</f>
        <v>0.15740819173731932</v>
      </c>
      <c r="BR176" s="21">
        <f>EXP(-LN(2)/2)*BR175+(1-EXP(-LN(2)/2))/(LN(2)/2)*BL176*BO176*VLOOKUP('Données projet'!$B$11,Paramètres!$A$1:$I$89,3,0)*0.475*44/12</f>
        <v>4.5573946620258441E-16</v>
      </c>
      <c r="BS176" s="22">
        <f t="shared" si="169"/>
        <v>6.0659159889120362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">
      <c r="A177" s="10">
        <f t="shared" si="161"/>
        <v>174</v>
      </c>
      <c r="B177" s="73">
        <f>'Scénario référence'!$B$16*5+'Scénario référence'!$B$17*0+'Scénario référence'!$B$18*5</f>
        <v>5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">
        <f t="shared" si="140"/>
        <v>0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18.333333333333332</v>
      </c>
      <c r="H177" s="67">
        <f t="shared" si="110"/>
        <v>183.33333333333334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295</v>
      </c>
      <c r="O177" s="13">
        <f>N177*VLOOKUP('Données projet'!$B$9,Paramètres!$A$1:$I$89,3,0)*VLOOKUP('Données projet'!$B$9,Paramètres!$A$1:$I$89,5,0)</f>
        <v>176.41000000000003</v>
      </c>
      <c r="P177" s="13">
        <f t="shared" si="141"/>
        <v>44.522543239204609</v>
      </c>
      <c r="Q177" s="20">
        <f t="shared" si="162"/>
        <v>384.79084614161474</v>
      </c>
      <c r="R177" s="59">
        <f t="shared" si="109"/>
        <v>673.76118420942453</v>
      </c>
      <c r="S177" s="59">
        <f ca="1">AVERAGE(OFFSET($R$3,0,0,'Données projet'!$E$9+1,1))-AVERAGE(OFFSET($H$3,0,0,'Données projet'!$E$9+1,1))</f>
        <v>219.4022220248072</v>
      </c>
      <c r="T177" s="59">
        <f t="shared" si="142"/>
        <v>199.30065726913725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3.3447052296145214</v>
      </c>
      <c r="AA177" s="21">
        <f>EXP(-LN(2)/25)*AA176+(1-EXP(-LN(2)/25))/(LN(2)/25)*Calculateur!V177*Calculateur!X177*VLOOKUP('Données projet'!$B$9,Paramètres!$A$1:$I$89,3,0)*0.475*44/12</f>
        <v>0.28751661687769081</v>
      </c>
      <c r="AB177" s="21">
        <f>EXP(-LN(2)/2)*AB176+(1-EXP(-LN(2)/2))/(LN(2)/2)*V177*Y177*VLOOKUP('Données projet'!$B$9,Paramètres!$A$1:$I$89,3,0)*0.475*44/12</f>
        <v>1.3761567203197924E-17</v>
      </c>
      <c r="AC177" s="22">
        <f t="shared" si="163"/>
        <v>3.6322218464922122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268.00000000000011</v>
      </c>
      <c r="AJ177" s="13">
        <f>AI177*VLOOKUP('Données projet'!$B$10,Paramètres!$A$1:$I$89,3,0)*VLOOKUP('Données projet'!$B$10,Paramètres!$A$1:$I$89,5,0)</f>
        <v>242.48640000000009</v>
      </c>
      <c r="AK177" s="13">
        <f t="shared" si="164"/>
        <v>58.974170235372476</v>
      </c>
      <c r="AL177" s="20">
        <f t="shared" si="165"/>
        <v>525.04382649327385</v>
      </c>
      <c r="AM177" s="59">
        <f t="shared" si="113"/>
        <v>814.01416456108359</v>
      </c>
      <c r="AN177" s="59">
        <f ca="1">AVERAGE(OFFSET($AM$3,0,0,'Données projet'!$E$10+1,1))-AVERAGE(OFFSET($H$3,0,0,'Données projet'!$E$10+1,1))</f>
        <v>406.64650428071837</v>
      </c>
      <c r="AO177" s="59">
        <f t="shared" si="144"/>
        <v>250.47702091764884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20.024317868812318</v>
      </c>
      <c r="AV177" s="21">
        <f>EXP(-LN(2)/25)*AV176+(1-EXP(-LN(2)/25))/(LN(2)/25)*Calculateur!AQ177*Calculateur!AS177*VLOOKUP('Données projet'!$B$10,Paramètres!$A$1:$I$89,3,0)*0.475*44/12</f>
        <v>0.55342614149815572</v>
      </c>
      <c r="AW177" s="21">
        <f>EXP(-LN(2)/2)*AW176+(1-EXP(-LN(2)/2))/(LN(2)/2)*AQ177*AT177*VLOOKUP('Données projet'!$B$10,Paramètres!$A$1:$I$89,3,0)*0.475*44/12</f>
        <v>7.9804191788316381E-9</v>
      </c>
      <c r="AX177" s="21">
        <f t="shared" si="166"/>
        <v>20.577744018290893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290.99999999999994</v>
      </c>
      <c r="BE177" s="13">
        <f>BD177*VLOOKUP('Données projet'!$B$11,Paramètres!$A$1:$I$89,3,0)*VLOOKUP('Données projet'!$B$11,Paramètres!$A$1:$I$89,5,0)</f>
        <v>276.91559999999993</v>
      </c>
      <c r="BF177" s="13">
        <f t="shared" si="167"/>
        <v>66.314766879144742</v>
      </c>
      <c r="BG177" s="20">
        <f t="shared" si="168"/>
        <v>597.79288898117682</v>
      </c>
      <c r="BH177" s="59">
        <f t="shared" si="116"/>
        <v>886.76322704898655</v>
      </c>
      <c r="BI177" s="59">
        <f ca="1">AVERAGE(OFFSET($BH$3,0,0,'Données projet'!$E$11+1,1))-AVERAGE(OFFSET($H$3,0,0,'Données projet'!$E$11+1,1))</f>
        <v>387.78453964980849</v>
      </c>
      <c r="BJ177" s="59">
        <f t="shared" si="146"/>
        <v>395.13533152274488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5.792645563106027</v>
      </c>
      <c r="BQ177" s="21">
        <f>EXP(-LN(2)/25)*BQ176+(1-EXP(-LN(2)/25))/(LN(2)/25)*Calculateur!BL177*Calculateur!BN177*VLOOKUP('Données projet'!$B$11,Paramètres!$A$1:$I$89,3,0)*0.475*44/12</f>
        <v>0.15310385645652527</v>
      </c>
      <c r="BR177" s="21">
        <f>EXP(-LN(2)/2)*BR176+(1-EXP(-LN(2)/2))/(LN(2)/2)*BL177*BO177*VLOOKUP('Données projet'!$B$11,Paramètres!$A$1:$I$89,3,0)*0.475*44/12</f>
        <v>3.2225646700618484E-16</v>
      </c>
      <c r="BS177" s="22">
        <f t="shared" si="169"/>
        <v>5.945749419562552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">
      <c r="A178" s="10">
        <f t="shared" si="161"/>
        <v>175</v>
      </c>
      <c r="B178" s="73">
        <f>'Scénario référence'!$B$16*5+'Scénario référence'!$B$17*0+'Scénario référence'!$B$18*5</f>
        <v>5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">
        <f t="shared" si="140"/>
        <v>0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18.333333333333332</v>
      </c>
      <c r="H178" s="67">
        <f t="shared" si="110"/>
        <v>183.33333333333334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295</v>
      </c>
      <c r="O178" s="13">
        <f>N178*VLOOKUP('Données projet'!$B$9,Paramètres!$A$1:$I$89,3,0)*VLOOKUP('Données projet'!$B$9,Paramètres!$A$1:$I$89,5,0)</f>
        <v>176.41000000000003</v>
      </c>
      <c r="P178" s="13">
        <f t="shared" si="141"/>
        <v>44.522543239204609</v>
      </c>
      <c r="Q178" s="20">
        <f t="shared" si="162"/>
        <v>384.79084614161474</v>
      </c>
      <c r="R178" s="59">
        <f t="shared" si="109"/>
        <v>673.8368724230852</v>
      </c>
      <c r="S178" s="59">
        <f ca="1">AVERAGE(OFFSET($R$3,0,0,'Données projet'!$E$9+1,1))-AVERAGE(OFFSET($H$3,0,0,'Données projet'!$E$9+1,1))</f>
        <v>219.4022220248072</v>
      </c>
      <c r="T178" s="59">
        <f t="shared" si="142"/>
        <v>199.30065726913725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3.2791176001305309</v>
      </c>
      <c r="AA178" s="21">
        <f>EXP(-LN(2)/25)*AA177+(1-EXP(-LN(2)/25))/(LN(2)/25)*Calculateur!V178*Calculateur!X178*VLOOKUP('Données projet'!$B$9,Paramètres!$A$1:$I$89,3,0)*0.475*44/12</f>
        <v>0.27965445986932858</v>
      </c>
      <c r="AB178" s="21">
        <f>EXP(-LN(2)/2)*AB177+(1-EXP(-LN(2)/2))/(LN(2)/2)*V178*Y178*VLOOKUP('Données projet'!$B$9,Paramètres!$A$1:$I$89,3,0)*0.475*44/12</f>
        <v>9.7308974891356443E-18</v>
      </c>
      <c r="AC178" s="22">
        <f t="shared" si="163"/>
        <v>3.5587720599998596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268.00000000000011</v>
      </c>
      <c r="AJ178" s="13">
        <f>AI178*VLOOKUP('Données projet'!$B$10,Paramètres!$A$1:$I$89,3,0)*VLOOKUP('Données projet'!$B$10,Paramètres!$A$1:$I$89,5,0)</f>
        <v>242.48640000000009</v>
      </c>
      <c r="AK178" s="13">
        <f t="shared" si="164"/>
        <v>58.974170235372476</v>
      </c>
      <c r="AL178" s="20">
        <f t="shared" si="165"/>
        <v>525.04382649327385</v>
      </c>
      <c r="AM178" s="59">
        <f t="shared" si="113"/>
        <v>814.08985277474426</v>
      </c>
      <c r="AN178" s="59">
        <f ca="1">AVERAGE(OFFSET($AM$3,0,0,'Données projet'!$E$10+1,1))-AVERAGE(OFFSET($H$3,0,0,'Données projet'!$E$10+1,1))</f>
        <v>406.64650428071837</v>
      </c>
      <c r="AO178" s="59">
        <f t="shared" si="144"/>
        <v>250.47702091764884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19.631653209032812</v>
      </c>
      <c r="AV178" s="21">
        <f>EXP(-LN(2)/25)*AV177+(1-EXP(-LN(2)/25))/(LN(2)/25)*Calculateur!AQ178*Calculateur!AS178*VLOOKUP('Données projet'!$B$10,Paramètres!$A$1:$I$89,3,0)*0.475*44/12</f>
        <v>0.53829267455547269</v>
      </c>
      <c r="AW178" s="21">
        <f>EXP(-LN(2)/2)*AW177+(1-EXP(-LN(2)/2))/(LN(2)/2)*AQ178*AT178*VLOOKUP('Données projet'!$B$10,Paramètres!$A$1:$I$89,3,0)*0.475*44/12</f>
        <v>5.6430085180630304E-9</v>
      </c>
      <c r="AX178" s="21">
        <f t="shared" si="166"/>
        <v>20.169945889231293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290.99999999999994</v>
      </c>
      <c r="BE178" s="13">
        <f>BD178*VLOOKUP('Données projet'!$B$11,Paramètres!$A$1:$I$89,3,0)*VLOOKUP('Données projet'!$B$11,Paramètres!$A$1:$I$89,5,0)</f>
        <v>276.91559999999993</v>
      </c>
      <c r="BF178" s="13">
        <f t="shared" si="167"/>
        <v>66.314766879144742</v>
      </c>
      <c r="BG178" s="20">
        <f t="shared" si="168"/>
        <v>597.79288898117682</v>
      </c>
      <c r="BH178" s="59">
        <f t="shared" si="116"/>
        <v>886.83891526264722</v>
      </c>
      <c r="BI178" s="59">
        <f ca="1">AVERAGE(OFFSET($BH$3,0,0,'Données projet'!$E$11+1,1))-AVERAGE(OFFSET($H$3,0,0,'Données projet'!$E$11+1,1))</f>
        <v>387.78453964980849</v>
      </c>
      <c r="BJ178" s="59">
        <f t="shared" si="146"/>
        <v>395.13533152274488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5.6790553167784399</v>
      </c>
      <c r="BQ178" s="21">
        <f>EXP(-LN(2)/25)*BQ177+(1-EXP(-LN(2)/25))/(LN(2)/25)*Calculateur!BL178*Calculateur!BN178*VLOOKUP('Données projet'!$B$11,Paramètres!$A$1:$I$89,3,0)*0.475*44/12</f>
        <v>0.1489172234503397</v>
      </c>
      <c r="BR178" s="21">
        <f>EXP(-LN(2)/2)*BR177+(1-EXP(-LN(2)/2))/(LN(2)/2)*BL178*BO178*VLOOKUP('Données projet'!$B$11,Paramètres!$A$1:$I$89,3,0)*0.475*44/12</f>
        <v>2.2786973310129221E-16</v>
      </c>
      <c r="BS178" s="22">
        <f t="shared" si="169"/>
        <v>5.8279725402287799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">
      <c r="A179" s="10">
        <f t="shared" si="161"/>
        <v>176</v>
      </c>
      <c r="B179" s="73">
        <f>'Scénario référence'!$B$16*5+'Scénario référence'!$B$17*0+'Scénario référence'!$B$18*5</f>
        <v>5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">
        <f t="shared" si="140"/>
        <v>0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18.333333333333332</v>
      </c>
      <c r="H179" s="67">
        <f t="shared" si="110"/>
        <v>183.33333333333334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295</v>
      </c>
      <c r="O179" s="13">
        <f>N179*VLOOKUP('Données projet'!$B$9,Paramètres!$A$1:$I$89,3,0)*VLOOKUP('Données projet'!$B$9,Paramètres!$A$1:$I$89,5,0)</f>
        <v>176.41000000000003</v>
      </c>
      <c r="P179" s="13">
        <f t="shared" si="141"/>
        <v>44.522543239204609</v>
      </c>
      <c r="Q179" s="20">
        <f t="shared" si="162"/>
        <v>384.79084614161474</v>
      </c>
      <c r="R179" s="59">
        <f t="shared" si="109"/>
        <v>673.91124761545234</v>
      </c>
      <c r="S179" s="59">
        <f ca="1">AVERAGE(OFFSET($R$3,0,0,'Données projet'!$E$9+1,1))-AVERAGE(OFFSET($H$3,0,0,'Données projet'!$E$9+1,1))</f>
        <v>219.4022220248072</v>
      </c>
      <c r="T179" s="59">
        <f t="shared" si="142"/>
        <v>199.30065726913725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3.2148161040562173</v>
      </c>
      <c r="AA179" s="21">
        <f>EXP(-LN(2)/25)*AA178+(1-EXP(-LN(2)/25))/(LN(2)/25)*Calculateur!V179*Calculateur!X179*VLOOKUP('Données projet'!$B$9,Paramètres!$A$1:$I$89,3,0)*0.475*44/12</f>
        <v>0.27200729395781292</v>
      </c>
      <c r="AB179" s="21">
        <f>EXP(-LN(2)/2)*AB178+(1-EXP(-LN(2)/2))/(LN(2)/2)*V179*Y179*VLOOKUP('Données projet'!$B$9,Paramètres!$A$1:$I$89,3,0)*0.475*44/12</f>
        <v>6.8807836015989629E-18</v>
      </c>
      <c r="AC179" s="22">
        <f t="shared" si="163"/>
        <v>3.4868233980140304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268.00000000000011</v>
      </c>
      <c r="AJ179" s="13">
        <f>AI179*VLOOKUP('Données projet'!$B$10,Paramètres!$A$1:$I$89,3,0)*VLOOKUP('Données projet'!$B$10,Paramètres!$A$1:$I$89,5,0)</f>
        <v>242.48640000000009</v>
      </c>
      <c r="AK179" s="13">
        <f t="shared" si="164"/>
        <v>58.974170235372476</v>
      </c>
      <c r="AL179" s="20">
        <f t="shared" si="165"/>
        <v>525.04382649327385</v>
      </c>
      <c r="AM179" s="59">
        <f t="shared" si="113"/>
        <v>814.1642279671114</v>
      </c>
      <c r="AN179" s="59">
        <f ca="1">AVERAGE(OFFSET($AM$3,0,0,'Données projet'!$E$10+1,1))-AVERAGE(OFFSET($H$3,0,0,'Données projet'!$E$10+1,1))</f>
        <v>406.64650428071837</v>
      </c>
      <c r="AO179" s="59">
        <f t="shared" si="144"/>
        <v>250.47702091764884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19.246688463729789</v>
      </c>
      <c r="AV179" s="21">
        <f>EXP(-LN(2)/25)*AV178+(1-EXP(-LN(2)/25))/(LN(2)/25)*Calculateur!AQ179*Calculateur!AS179*VLOOKUP('Données projet'!$B$10,Paramètres!$A$1:$I$89,3,0)*0.475*44/12</f>
        <v>0.52357303306217184</v>
      </c>
      <c r="AW179" s="21">
        <f>EXP(-LN(2)/2)*AW178+(1-EXP(-LN(2)/2))/(LN(2)/2)*AQ179*AT179*VLOOKUP('Données projet'!$B$10,Paramètres!$A$1:$I$89,3,0)*0.475*44/12</f>
        <v>3.990209589415819E-9</v>
      </c>
      <c r="AX179" s="21">
        <f t="shared" si="166"/>
        <v>19.770261500782169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290.99999999999994</v>
      </c>
      <c r="BE179" s="13">
        <f>BD179*VLOOKUP('Données projet'!$B$11,Paramètres!$A$1:$I$89,3,0)*VLOOKUP('Données projet'!$B$11,Paramètres!$A$1:$I$89,5,0)</f>
        <v>276.91559999999993</v>
      </c>
      <c r="BF179" s="13">
        <f t="shared" si="167"/>
        <v>66.314766879144742</v>
      </c>
      <c r="BG179" s="20">
        <f t="shared" si="168"/>
        <v>597.79288898117682</v>
      </c>
      <c r="BH179" s="59">
        <f t="shared" si="116"/>
        <v>886.91329045501448</v>
      </c>
      <c r="BI179" s="59">
        <f ca="1">AVERAGE(OFFSET($BH$3,0,0,'Données projet'!$E$11+1,1))-AVERAGE(OFFSET($H$3,0,0,'Données projet'!$E$11+1,1))</f>
        <v>387.78453964980849</v>
      </c>
      <c r="BJ179" s="59">
        <f t="shared" si="146"/>
        <v>395.13533152274488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5.5676925058981279</v>
      </c>
      <c r="BQ179" s="21">
        <f>EXP(-LN(2)/25)*BQ178+(1-EXP(-LN(2)/25))/(LN(2)/25)*Calculateur!BL179*Calculateur!BN179*VLOOKUP('Données projet'!$B$11,Paramètres!$A$1:$I$89,3,0)*0.475*44/12</f>
        <v>0.14484507414387374</v>
      </c>
      <c r="BR179" s="21">
        <f>EXP(-LN(2)/2)*BR178+(1-EXP(-LN(2)/2))/(LN(2)/2)*BL179*BO179*VLOOKUP('Données projet'!$B$11,Paramètres!$A$1:$I$89,3,0)*0.475*44/12</f>
        <v>1.6112823350309242E-16</v>
      </c>
      <c r="BS179" s="22">
        <f t="shared" si="169"/>
        <v>5.7125375800420013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">
      <c r="A180" s="10">
        <f t="shared" si="161"/>
        <v>177</v>
      </c>
      <c r="B180" s="73">
        <f>'Scénario référence'!$B$16*5+'Scénario référence'!$B$17*0+'Scénario référence'!$B$18*5</f>
        <v>5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">
        <f t="shared" si="140"/>
        <v>0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18.333333333333332</v>
      </c>
      <c r="H180" s="67">
        <f t="shared" si="110"/>
        <v>183.33333333333334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295</v>
      </c>
      <c r="O180" s="13">
        <f>N180*VLOOKUP('Données projet'!$B$9,Paramètres!$A$1:$I$89,3,0)*VLOOKUP('Données projet'!$B$9,Paramètres!$A$1:$I$89,5,0)</f>
        <v>176.41000000000003</v>
      </c>
      <c r="P180" s="13">
        <f t="shared" si="141"/>
        <v>44.522543239204609</v>
      </c>
      <c r="Q180" s="20">
        <f t="shared" si="162"/>
        <v>384.79084614161474</v>
      </c>
      <c r="R180" s="59">
        <f t="shared" si="109"/>
        <v>673.98433256450994</v>
      </c>
      <c r="S180" s="59">
        <f ca="1">AVERAGE(OFFSET($R$3,0,0,'Données projet'!$E$9+1,1))-AVERAGE(OFFSET($H$3,0,0,'Données projet'!$E$9+1,1))</f>
        <v>219.4022220248072</v>
      </c>
      <c r="T180" s="59">
        <f t="shared" si="142"/>
        <v>199.30065726913725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3.1517755210998812</v>
      </c>
      <c r="AA180" s="21">
        <f>EXP(-LN(2)/25)*AA179+(1-EXP(-LN(2)/25))/(LN(2)/25)*Calculateur!V180*Calculateur!X180*VLOOKUP('Données projet'!$B$9,Paramètres!$A$1:$I$89,3,0)*0.475*44/12</f>
        <v>0.2645692402002946</v>
      </c>
      <c r="AB180" s="21">
        <f>EXP(-LN(2)/2)*AB179+(1-EXP(-LN(2)/2))/(LN(2)/2)*V180*Y180*VLOOKUP('Données projet'!$B$9,Paramètres!$A$1:$I$89,3,0)*0.475*44/12</f>
        <v>4.8654487445678229E-18</v>
      </c>
      <c r="AC180" s="22">
        <f t="shared" si="163"/>
        <v>3.4163447613001758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268.00000000000011</v>
      </c>
      <c r="AJ180" s="13">
        <f>AI180*VLOOKUP('Données projet'!$B$10,Paramètres!$A$1:$I$89,3,0)*VLOOKUP('Données projet'!$B$10,Paramètres!$A$1:$I$89,5,0)</f>
        <v>242.48640000000009</v>
      </c>
      <c r="AK180" s="13">
        <f t="shared" si="164"/>
        <v>58.974170235372476</v>
      </c>
      <c r="AL180" s="20">
        <f t="shared" si="165"/>
        <v>525.04382649327385</v>
      </c>
      <c r="AM180" s="59">
        <f t="shared" si="113"/>
        <v>814.23731291616912</v>
      </c>
      <c r="AN180" s="59">
        <f ca="1">AVERAGE(OFFSET($AM$3,0,0,'Données projet'!$E$10+1,1))-AVERAGE(OFFSET($H$3,0,0,'Données projet'!$E$10+1,1))</f>
        <v>406.64650428071837</v>
      </c>
      <c r="AO180" s="59">
        <f t="shared" si="144"/>
        <v>250.47702091764884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18.869272642276851</v>
      </c>
      <c r="AV180" s="21">
        <f>EXP(-LN(2)/25)*AV179+(1-EXP(-LN(2)/25))/(LN(2)/25)*Calculateur!AQ180*Calculateur!AS180*VLOOKUP('Données projet'!$B$10,Paramètres!$A$1:$I$89,3,0)*0.475*44/12</f>
        <v>0.50925590093957762</v>
      </c>
      <c r="AW180" s="21">
        <f>EXP(-LN(2)/2)*AW179+(1-EXP(-LN(2)/2))/(LN(2)/2)*AQ180*AT180*VLOOKUP('Données projet'!$B$10,Paramètres!$A$1:$I$89,3,0)*0.475*44/12</f>
        <v>2.8215042590315152E-9</v>
      </c>
      <c r="AX180" s="21">
        <f t="shared" si="166"/>
        <v>19.378528546037934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290.99999999999994</v>
      </c>
      <c r="BE180" s="13">
        <f>BD180*VLOOKUP('Données projet'!$B$11,Paramètres!$A$1:$I$89,3,0)*VLOOKUP('Données projet'!$B$11,Paramètres!$A$1:$I$89,5,0)</f>
        <v>276.91559999999993</v>
      </c>
      <c r="BF180" s="13">
        <f t="shared" si="167"/>
        <v>66.314766879144742</v>
      </c>
      <c r="BG180" s="20">
        <f t="shared" si="168"/>
        <v>597.79288898117682</v>
      </c>
      <c r="BH180" s="59">
        <f t="shared" si="116"/>
        <v>886.98637540407208</v>
      </c>
      <c r="BI180" s="59">
        <f ca="1">AVERAGE(OFFSET($BH$3,0,0,'Données projet'!$E$11+1,1))-AVERAGE(OFFSET($H$3,0,0,'Données projet'!$E$11+1,1))</f>
        <v>387.78453964980849</v>
      </c>
      <c r="BJ180" s="59">
        <f t="shared" si="146"/>
        <v>395.13533152274488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5.4585134518145715</v>
      </c>
      <c r="BQ180" s="21">
        <f>EXP(-LN(2)/25)*BQ179+(1-EXP(-LN(2)/25))/(LN(2)/25)*Calculateur!BL180*Calculateur!BN180*VLOOKUP('Données projet'!$B$11,Paramètres!$A$1:$I$89,3,0)*0.475*44/12</f>
        <v>0.14088427797433811</v>
      </c>
      <c r="BR180" s="21">
        <f>EXP(-LN(2)/2)*BR179+(1-EXP(-LN(2)/2))/(LN(2)/2)*BL180*BO180*VLOOKUP('Données projet'!$B$11,Paramètres!$A$1:$I$89,3,0)*0.475*44/12</f>
        <v>1.139348665506461E-16</v>
      </c>
      <c r="BS180" s="22">
        <f t="shared" si="169"/>
        <v>5.5993977297889099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">
      <c r="A181" s="10">
        <f t="shared" si="161"/>
        <v>178</v>
      </c>
      <c r="B181" s="73">
        <f>'Scénario référence'!$B$16*5+'Scénario référence'!$B$17*0+'Scénario référence'!$B$18*5</f>
        <v>5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">
        <f t="shared" si="140"/>
        <v>0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18.333333333333332</v>
      </c>
      <c r="H181" s="67">
        <f t="shared" si="110"/>
        <v>183.33333333333334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295</v>
      </c>
      <c r="O181" s="13">
        <f>N181*VLOOKUP('Données projet'!$B$9,Paramètres!$A$1:$I$89,3,0)*VLOOKUP('Données projet'!$B$9,Paramètres!$A$1:$I$89,5,0)</f>
        <v>176.41000000000003</v>
      </c>
      <c r="P181" s="13">
        <f t="shared" si="141"/>
        <v>44.522543239204609</v>
      </c>
      <c r="Q181" s="20">
        <f t="shared" si="162"/>
        <v>384.79084614161474</v>
      </c>
      <c r="R181" s="59">
        <f t="shared" si="109"/>
        <v>674.05614965309496</v>
      </c>
      <c r="S181" s="59">
        <f ca="1">AVERAGE(OFFSET($R$3,0,0,'Données projet'!$E$9+1,1))-AVERAGE(OFFSET($H$3,0,0,'Données projet'!$E$9+1,1))</f>
        <v>219.4022220248072</v>
      </c>
      <c r="T181" s="59">
        <f t="shared" si="142"/>
        <v>199.30065726913725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3.08997112552436</v>
      </c>
      <c r="AA181" s="21">
        <f>EXP(-LN(2)/25)*AA180+(1-EXP(-LN(2)/25))/(LN(2)/25)*Calculateur!V181*Calculateur!X181*VLOOKUP('Données projet'!$B$9,Paramètres!$A$1:$I$89,3,0)*0.475*44/12</f>
        <v>0.25733458041392587</v>
      </c>
      <c r="AB181" s="21">
        <f>EXP(-LN(2)/2)*AB180+(1-EXP(-LN(2)/2))/(LN(2)/2)*V181*Y181*VLOOKUP('Données projet'!$B$9,Paramètres!$A$1:$I$89,3,0)*0.475*44/12</f>
        <v>3.4403918007994822E-18</v>
      </c>
      <c r="AC181" s="22">
        <f t="shared" si="163"/>
        <v>3.347305705938286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268.00000000000011</v>
      </c>
      <c r="AJ181" s="13">
        <f>AI181*VLOOKUP('Données projet'!$B$10,Paramètres!$A$1:$I$89,3,0)*VLOOKUP('Données projet'!$B$10,Paramètres!$A$1:$I$89,5,0)</f>
        <v>242.48640000000009</v>
      </c>
      <c r="AK181" s="13">
        <f t="shared" si="164"/>
        <v>58.974170235372476</v>
      </c>
      <c r="AL181" s="20">
        <f t="shared" si="165"/>
        <v>525.04382649327385</v>
      </c>
      <c r="AM181" s="59">
        <f t="shared" si="113"/>
        <v>814.30913000475402</v>
      </c>
      <c r="AN181" s="59">
        <f ca="1">AVERAGE(OFFSET($AM$3,0,0,'Données projet'!$E$10+1,1))-AVERAGE(OFFSET($H$3,0,0,'Données projet'!$E$10+1,1))</f>
        <v>406.64650428071837</v>
      </c>
      <c r="AO181" s="59">
        <f t="shared" si="144"/>
        <v>250.47702091764884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18.499257714881683</v>
      </c>
      <c r="AV181" s="21">
        <f>EXP(-LN(2)/25)*AV180+(1-EXP(-LN(2)/25))/(LN(2)/25)*Calculateur!AQ181*Calculateur!AS181*VLOOKUP('Données projet'!$B$10,Paramètres!$A$1:$I$89,3,0)*0.475*44/12</f>
        <v>0.49533027154778098</v>
      </c>
      <c r="AW181" s="21">
        <f>EXP(-LN(2)/2)*AW180+(1-EXP(-LN(2)/2))/(LN(2)/2)*AQ181*AT181*VLOOKUP('Données projet'!$B$10,Paramètres!$A$1:$I$89,3,0)*0.475*44/12</f>
        <v>1.9951047947079095E-9</v>
      </c>
      <c r="AX181" s="21">
        <f t="shared" si="166"/>
        <v>18.99458798842457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290.99999999999994</v>
      </c>
      <c r="BE181" s="13">
        <f>BD181*VLOOKUP('Données projet'!$B$11,Paramètres!$A$1:$I$89,3,0)*VLOOKUP('Données projet'!$B$11,Paramètres!$A$1:$I$89,5,0)</f>
        <v>276.91559999999993</v>
      </c>
      <c r="BF181" s="13">
        <f t="shared" si="167"/>
        <v>66.314766879144742</v>
      </c>
      <c r="BG181" s="20">
        <f t="shared" si="168"/>
        <v>597.79288898117682</v>
      </c>
      <c r="BH181" s="59">
        <f t="shared" si="116"/>
        <v>887.05819249265699</v>
      </c>
      <c r="BI181" s="59">
        <f ca="1">AVERAGE(OFFSET($BH$3,0,0,'Données projet'!$E$11+1,1))-AVERAGE(OFFSET($H$3,0,0,'Données projet'!$E$11+1,1))</f>
        <v>387.78453964980849</v>
      </c>
      <c r="BJ181" s="59">
        <f t="shared" si="146"/>
        <v>395.13533152274488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5.3514753323889463</v>
      </c>
      <c r="BQ181" s="21">
        <f>EXP(-LN(2)/25)*BQ180+(1-EXP(-LN(2)/25))/(LN(2)/25)*Calculateur!BL181*Calculateur!BN181*VLOOKUP('Données projet'!$B$11,Paramètres!$A$1:$I$89,3,0)*0.475*44/12</f>
        <v>0.13703178998434765</v>
      </c>
      <c r="BR181" s="21">
        <f>EXP(-LN(2)/2)*BR180+(1-EXP(-LN(2)/2))/(LN(2)/2)*BL181*BO181*VLOOKUP('Données projet'!$B$11,Paramètres!$A$1:$I$89,3,0)*0.475*44/12</f>
        <v>8.0564116751546209E-17</v>
      </c>
      <c r="BS181" s="22">
        <f t="shared" si="169"/>
        <v>5.488507122373294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">
      <c r="A182" s="10">
        <f t="shared" si="161"/>
        <v>179</v>
      </c>
      <c r="B182" s="73">
        <f>'Scénario référence'!$B$16*5+'Scénario référence'!$B$17*0+'Scénario référence'!$B$18*5</f>
        <v>5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">
        <f t="shared" si="140"/>
        <v>0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18.333333333333332</v>
      </c>
      <c r="H182" s="67">
        <f t="shared" si="110"/>
        <v>183.33333333333334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295</v>
      </c>
      <c r="O182" s="13">
        <f>N182*VLOOKUP('Données projet'!$B$9,Paramètres!$A$1:$I$89,3,0)*VLOOKUP('Données projet'!$B$9,Paramètres!$A$1:$I$89,5,0)</f>
        <v>176.41000000000003</v>
      </c>
      <c r="P182" s="13">
        <f t="shared" si="141"/>
        <v>44.522543239204609</v>
      </c>
      <c r="Q182" s="20">
        <f t="shared" si="162"/>
        <v>384.79084614161474</v>
      </c>
      <c r="R182" s="59">
        <f t="shared" si="109"/>
        <v>674.12672087575186</v>
      </c>
      <c r="S182" s="59">
        <f ca="1">AVERAGE(OFFSET($R$3,0,0,'Données projet'!$E$9+1,1))-AVERAGE(OFFSET($H$3,0,0,'Données projet'!$E$9+1,1))</f>
        <v>219.4022220248072</v>
      </c>
      <c r="T182" s="59">
        <f t="shared" si="142"/>
        <v>199.30065726913725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3.0293786764491157</v>
      </c>
      <c r="AA182" s="21">
        <f>EXP(-LN(2)/25)*AA181+(1-EXP(-LN(2)/25))/(LN(2)/25)*Calculateur!V182*Calculateur!X182*VLOOKUP('Données projet'!$B$9,Paramètres!$A$1:$I$89,3,0)*0.475*44/12</f>
        <v>0.25029775277986965</v>
      </c>
      <c r="AB182" s="21">
        <f>EXP(-LN(2)/2)*AB181+(1-EXP(-LN(2)/2))/(LN(2)/2)*V182*Y182*VLOOKUP('Données projet'!$B$9,Paramètres!$A$1:$I$89,3,0)*0.475*44/12</f>
        <v>2.4327243722839119E-18</v>
      </c>
      <c r="AC182" s="22">
        <f t="shared" si="163"/>
        <v>3.2796764292289855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268.00000000000011</v>
      </c>
      <c r="AJ182" s="13">
        <f>AI182*VLOOKUP('Données projet'!$B$10,Paramètres!$A$1:$I$89,3,0)*VLOOKUP('Données projet'!$B$10,Paramètres!$A$1:$I$89,5,0)</f>
        <v>242.48640000000009</v>
      </c>
      <c r="AK182" s="13">
        <f t="shared" si="164"/>
        <v>58.974170235372476</v>
      </c>
      <c r="AL182" s="20">
        <f t="shared" si="165"/>
        <v>525.04382649327385</v>
      </c>
      <c r="AM182" s="59">
        <f t="shared" si="113"/>
        <v>814.37970122741103</v>
      </c>
      <c r="AN182" s="59">
        <f ca="1">AVERAGE(OFFSET($AM$3,0,0,'Données projet'!$E$10+1,1))-AVERAGE(OFFSET($H$3,0,0,'Données projet'!$E$10+1,1))</f>
        <v>406.64650428071837</v>
      </c>
      <c r="AO182" s="59">
        <f t="shared" si="144"/>
        <v>250.47702091764884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18.136498554525911</v>
      </c>
      <c r="AV182" s="21">
        <f>EXP(-LN(2)/25)*AV181+(1-EXP(-LN(2)/25))/(LN(2)/25)*Calculateur!AQ182*Calculateur!AS182*VLOOKUP('Données projet'!$B$10,Paramètres!$A$1:$I$89,3,0)*0.475*44/12</f>
        <v>0.48178543922402001</v>
      </c>
      <c r="AW182" s="21">
        <f>EXP(-LN(2)/2)*AW181+(1-EXP(-LN(2)/2))/(LN(2)/2)*AQ182*AT182*VLOOKUP('Données projet'!$B$10,Paramètres!$A$1:$I$89,3,0)*0.475*44/12</f>
        <v>1.4107521295157576E-9</v>
      </c>
      <c r="AX182" s="21">
        <f t="shared" si="166"/>
        <v>18.618283995160681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290.99999999999994</v>
      </c>
      <c r="BE182" s="13">
        <f>BD182*VLOOKUP('Données projet'!$B$11,Paramètres!$A$1:$I$89,3,0)*VLOOKUP('Données projet'!$B$11,Paramètres!$A$1:$I$89,5,0)</f>
        <v>276.91559999999993</v>
      </c>
      <c r="BF182" s="13">
        <f t="shared" si="167"/>
        <v>66.314766879144742</v>
      </c>
      <c r="BG182" s="20">
        <f t="shared" si="168"/>
        <v>597.79288898117682</v>
      </c>
      <c r="BH182" s="59">
        <f t="shared" si="116"/>
        <v>887.12876371531388</v>
      </c>
      <c r="BI182" s="59">
        <f ca="1">AVERAGE(OFFSET($BH$3,0,0,'Données projet'!$E$11+1,1))-AVERAGE(OFFSET($H$3,0,0,'Données projet'!$E$11+1,1))</f>
        <v>387.78453964980849</v>
      </c>
      <c r="BJ182" s="59">
        <f t="shared" si="146"/>
        <v>395.13533152274488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5.2465361651984512</v>
      </c>
      <c r="BQ182" s="21">
        <f>EXP(-LN(2)/25)*BQ181+(1-EXP(-LN(2)/25))/(LN(2)/25)*Calculateur!BL182*Calculateur!BN182*VLOOKUP('Données projet'!$B$11,Paramètres!$A$1:$I$89,3,0)*0.475*44/12</f>
        <v>0.13328464848103702</v>
      </c>
      <c r="BR182" s="21">
        <f>EXP(-LN(2)/2)*BR181+(1-EXP(-LN(2)/2))/(LN(2)/2)*BL182*BO182*VLOOKUP('Données projet'!$B$11,Paramètres!$A$1:$I$89,3,0)*0.475*44/12</f>
        <v>5.6967433275323052E-17</v>
      </c>
      <c r="BS182" s="22">
        <f t="shared" si="169"/>
        <v>5.3798208136794878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">
      <c r="A183" s="10">
        <f t="shared" si="161"/>
        <v>180</v>
      </c>
      <c r="B183" s="73">
        <f>'Scénario référence'!$B$16*5+'Scénario référence'!$B$17*0+'Scénario référence'!$B$18*5</f>
        <v>5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">
        <f t="shared" si="140"/>
        <v>0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18.333333333333332</v>
      </c>
      <c r="H183" s="67">
        <f t="shared" si="110"/>
        <v>183.33333333333334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295</v>
      </c>
      <c r="O183" s="13">
        <f>N183*VLOOKUP('Données projet'!$B$9,Paramètres!$A$1:$I$89,3,0)*VLOOKUP('Données projet'!$B$9,Paramètres!$A$1:$I$89,5,0)</f>
        <v>176.41000000000003</v>
      </c>
      <c r="P183" s="13">
        <f t="shared" si="141"/>
        <v>44.522543239204609</v>
      </c>
      <c r="Q183" s="20">
        <f t="shared" si="162"/>
        <v>384.79084614161474</v>
      </c>
      <c r="R183" s="59">
        <f t="shared" si="109"/>
        <v>674.19606784546932</v>
      </c>
      <c r="S183" s="59">
        <f ca="1">AVERAGE(OFFSET($R$3,0,0,'Données projet'!$E$9+1,1))-AVERAGE(OFFSET($H$3,0,0,'Données projet'!$E$9+1,1))</f>
        <v>219.4022220248072</v>
      </c>
      <c r="T183" s="59">
        <f t="shared" si="142"/>
        <v>199.30065726913725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2.9699744083424924</v>
      </c>
      <c r="AA183" s="21">
        <f>EXP(-LN(2)/25)*AA182+(1-EXP(-LN(2)/25))/(LN(2)/25)*Calculateur!V183*Calculateur!X183*VLOOKUP('Données projet'!$B$9,Paramètres!$A$1:$I$89,3,0)*0.475*44/12</f>
        <v>0.24345334756751735</v>
      </c>
      <c r="AB183" s="21">
        <f>EXP(-LN(2)/2)*AB182+(1-EXP(-LN(2)/2))/(LN(2)/2)*V183*Y183*VLOOKUP('Données projet'!$B$9,Paramètres!$A$1:$I$89,3,0)*0.475*44/12</f>
        <v>1.7201959003997413E-18</v>
      </c>
      <c r="AC183" s="22">
        <f t="shared" si="163"/>
        <v>3.2134277559100095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268.00000000000011</v>
      </c>
      <c r="AJ183" s="13">
        <f>AI183*VLOOKUP('Données projet'!$B$10,Paramètres!$A$1:$I$89,3,0)*VLOOKUP('Données projet'!$B$10,Paramètres!$A$1:$I$89,5,0)</f>
        <v>242.48640000000009</v>
      </c>
      <c r="AK183" s="13">
        <f t="shared" si="164"/>
        <v>58.974170235372476</v>
      </c>
      <c r="AL183" s="20">
        <f t="shared" si="165"/>
        <v>525.04382649327385</v>
      </c>
      <c r="AM183" s="59">
        <f t="shared" si="113"/>
        <v>814.44904819712849</v>
      </c>
      <c r="AN183" s="59">
        <f ca="1">AVERAGE(OFFSET($AM$3,0,0,'Données projet'!$E$10+1,1))-AVERAGE(OFFSET($H$3,0,0,'Données projet'!$E$10+1,1))</f>
        <v>406.64650428071837</v>
      </c>
      <c r="AO183" s="59">
        <f t="shared" si="144"/>
        <v>250.47702091764884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17.780852880043476</v>
      </c>
      <c r="AV183" s="21">
        <f>EXP(-LN(2)/25)*AV182+(1-EXP(-LN(2)/25))/(LN(2)/25)*Calculateur!AQ183*Calculateur!AS183*VLOOKUP('Données projet'!$B$10,Paramètres!$A$1:$I$89,3,0)*0.475*44/12</f>
        <v>0.46861099105244408</v>
      </c>
      <c r="AW183" s="21">
        <f>EXP(-LN(2)/2)*AW182+(1-EXP(-LN(2)/2))/(LN(2)/2)*AQ183*AT183*VLOOKUP('Données projet'!$B$10,Paramètres!$A$1:$I$89,3,0)*0.475*44/12</f>
        <v>9.9755239735395476E-10</v>
      </c>
      <c r="AX183" s="21">
        <f t="shared" si="166"/>
        <v>18.249463872093472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290.99999999999994</v>
      </c>
      <c r="BE183" s="13">
        <f>BD183*VLOOKUP('Données projet'!$B$11,Paramètres!$A$1:$I$89,3,0)*VLOOKUP('Données projet'!$B$11,Paramètres!$A$1:$I$89,5,0)</f>
        <v>276.91559999999993</v>
      </c>
      <c r="BF183" s="13">
        <f t="shared" si="167"/>
        <v>66.314766879144742</v>
      </c>
      <c r="BG183" s="20">
        <f t="shared" si="168"/>
        <v>597.79288898117682</v>
      </c>
      <c r="BH183" s="59">
        <f t="shared" si="116"/>
        <v>887.19811068503145</v>
      </c>
      <c r="BI183" s="59">
        <f ca="1">AVERAGE(OFFSET($BH$3,0,0,'Données projet'!$E$11+1,1))-AVERAGE(OFFSET($H$3,0,0,'Données projet'!$E$11+1,1))</f>
        <v>387.78453964980849</v>
      </c>
      <c r="BJ183" s="59">
        <f t="shared" si="146"/>
        <v>395.13533152274488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5.1436547910699897</v>
      </c>
      <c r="BQ183" s="21">
        <f>EXP(-LN(2)/25)*BQ182+(1-EXP(-LN(2)/25))/(LN(2)/25)*Calculateur!BL183*Calculateur!BN183*VLOOKUP('Données projet'!$B$11,Paramètres!$A$1:$I$89,3,0)*0.475*44/12</f>
        <v>0.12963997275918804</v>
      </c>
      <c r="BR183" s="21">
        <f>EXP(-LN(2)/2)*BR182+(1-EXP(-LN(2)/2))/(LN(2)/2)*BL183*BO183*VLOOKUP('Données projet'!$B$11,Paramètres!$A$1:$I$89,3,0)*0.475*44/12</f>
        <v>4.0282058375773105E-17</v>
      </c>
      <c r="BS183" s="22">
        <f t="shared" si="169"/>
        <v>5.2732947638291776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">
      <c r="A184" s="10">
        <f t="shared" si="161"/>
        <v>181</v>
      </c>
      <c r="B184" s="73">
        <f>'Scénario référence'!$B$16*5+'Scénario référence'!$B$17*0+'Scénario référence'!$B$18*5</f>
        <v>5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">
        <f t="shared" si="140"/>
        <v>0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18.333333333333332</v>
      </c>
      <c r="H184" s="67">
        <f t="shared" si="110"/>
        <v>183.33333333333334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295</v>
      </c>
      <c r="O184" s="13">
        <f>N184*VLOOKUP('Données projet'!$B$9,Paramètres!$A$1:$I$89,3,0)*VLOOKUP('Données projet'!$B$9,Paramètres!$A$1:$I$89,5,0)</f>
        <v>176.41000000000003</v>
      </c>
      <c r="P184" s="13">
        <f t="shared" si="141"/>
        <v>44.522543239204609</v>
      </c>
      <c r="Q184" s="20">
        <f t="shared" si="162"/>
        <v>384.79084614161474</v>
      </c>
      <c r="R184" s="59">
        <f t="shared" si="109"/>
        <v>674.26421180029888</v>
      </c>
      <c r="S184" s="59">
        <f ca="1">AVERAGE(OFFSET($R$3,0,0,'Données projet'!$E$9+1,1))-AVERAGE(OFFSET($H$3,0,0,'Données projet'!$E$9+1,1))</f>
        <v>219.4022220248072</v>
      </c>
      <c r="T184" s="59">
        <f t="shared" si="142"/>
        <v>199.30065726913725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2.9117350217004141</v>
      </c>
      <c r="AA184" s="21">
        <f>EXP(-LN(2)/25)*AA183+(1-EXP(-LN(2)/25))/(LN(2)/25)*Calculateur!V184*Calculateur!X184*VLOOKUP('Données projet'!$B$9,Paramètres!$A$1:$I$89,3,0)*0.475*44/12</f>
        <v>0.23679610297562848</v>
      </c>
      <c r="AB184" s="21">
        <f>EXP(-LN(2)/2)*AB183+(1-EXP(-LN(2)/2))/(LN(2)/2)*V184*Y184*VLOOKUP('Données projet'!$B$9,Paramètres!$A$1:$I$89,3,0)*0.475*44/12</f>
        <v>1.2163621861419561E-18</v>
      </c>
      <c r="AC184" s="22">
        <f t="shared" si="163"/>
        <v>3.1485311246760426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268.00000000000011</v>
      </c>
      <c r="AJ184" s="13">
        <f>AI184*VLOOKUP('Données projet'!$B$10,Paramètres!$A$1:$I$89,3,0)*VLOOKUP('Données projet'!$B$10,Paramètres!$A$1:$I$89,5,0)</f>
        <v>242.48640000000009</v>
      </c>
      <c r="AK184" s="13">
        <f t="shared" si="164"/>
        <v>58.974170235372476</v>
      </c>
      <c r="AL184" s="20">
        <f t="shared" si="165"/>
        <v>525.04382649327385</v>
      </c>
      <c r="AM184" s="59">
        <f t="shared" si="113"/>
        <v>814.51719215195794</v>
      </c>
      <c r="AN184" s="59">
        <f ca="1">AVERAGE(OFFSET($AM$3,0,0,'Données projet'!$E$10+1,1))-AVERAGE(OFFSET($H$3,0,0,'Données projet'!$E$10+1,1))</f>
        <v>406.64650428071837</v>
      </c>
      <c r="AO184" s="59">
        <f t="shared" si="144"/>
        <v>250.47702091764884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17.432181200315199</v>
      </c>
      <c r="AV184" s="21">
        <f>EXP(-LN(2)/25)*AV183+(1-EXP(-LN(2)/25))/(LN(2)/25)*Calculateur!AQ184*Calculateur!AS184*VLOOKUP('Données projet'!$B$10,Paramètres!$A$1:$I$89,3,0)*0.475*44/12</f>
        <v>0.45579679885893398</v>
      </c>
      <c r="AW184" s="21">
        <f>EXP(-LN(2)/2)*AW183+(1-EXP(-LN(2)/2))/(LN(2)/2)*AQ184*AT184*VLOOKUP('Données projet'!$B$10,Paramètres!$A$1:$I$89,3,0)*0.475*44/12</f>
        <v>7.053760647578788E-10</v>
      </c>
      <c r="AX184" s="21">
        <f t="shared" si="166"/>
        <v>17.88797799987951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290.99999999999994</v>
      </c>
      <c r="BE184" s="13">
        <f>BD184*VLOOKUP('Données projet'!$B$11,Paramètres!$A$1:$I$89,3,0)*VLOOKUP('Données projet'!$B$11,Paramètres!$A$1:$I$89,5,0)</f>
        <v>276.91559999999993</v>
      </c>
      <c r="BF184" s="13">
        <f t="shared" si="167"/>
        <v>66.314766879144742</v>
      </c>
      <c r="BG184" s="20">
        <f t="shared" si="168"/>
        <v>597.79288898117682</v>
      </c>
      <c r="BH184" s="59">
        <f t="shared" si="116"/>
        <v>887.2662546398609</v>
      </c>
      <c r="BI184" s="59">
        <f ca="1">AVERAGE(OFFSET($BH$3,0,0,'Données projet'!$E$11+1,1))-AVERAGE(OFFSET($H$3,0,0,'Données projet'!$E$11+1,1))</f>
        <v>387.78453964980849</v>
      </c>
      <c r="BJ184" s="59">
        <f t="shared" si="146"/>
        <v>395.13533152274488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5.0427908579367449</v>
      </c>
      <c r="BQ184" s="21">
        <f>EXP(-LN(2)/25)*BQ183+(1-EXP(-LN(2)/25))/(LN(2)/25)*Calculateur!BL184*Calculateur!BN184*VLOOKUP('Données projet'!$B$11,Paramètres!$A$1:$I$89,3,0)*0.475*44/12</f>
        <v>0.12609496088661817</v>
      </c>
      <c r="BR184" s="21">
        <f>EXP(-LN(2)/2)*BR183+(1-EXP(-LN(2)/2))/(LN(2)/2)*BL184*BO184*VLOOKUP('Données projet'!$B$11,Paramètres!$A$1:$I$89,3,0)*0.475*44/12</f>
        <v>2.8483716637661526E-17</v>
      </c>
      <c r="BS184" s="22">
        <f t="shared" si="169"/>
        <v>5.1688858188233633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">
      <c r="A185" s="10">
        <f t="shared" si="161"/>
        <v>182</v>
      </c>
      <c r="B185" s="73">
        <f>'Scénario référence'!$B$16*5+'Scénario référence'!$B$17*0+'Scénario référence'!$B$18*5</f>
        <v>5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">
        <f t="shared" si="140"/>
        <v>0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18.333333333333332</v>
      </c>
      <c r="H185" s="67">
        <f t="shared" si="110"/>
        <v>183.33333333333334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295</v>
      </c>
      <c r="O185" s="13">
        <f>N185*VLOOKUP('Données projet'!$B$9,Paramètres!$A$1:$I$89,3,0)*VLOOKUP('Données projet'!$B$9,Paramètres!$A$1:$I$89,5,0)</f>
        <v>176.41000000000003</v>
      </c>
      <c r="P185" s="13">
        <f t="shared" si="141"/>
        <v>44.522543239204609</v>
      </c>
      <c r="Q185" s="20">
        <f t="shared" si="162"/>
        <v>384.79084614161474</v>
      </c>
      <c r="R185" s="59">
        <f t="shared" si="109"/>
        <v>674.33117360985921</v>
      </c>
      <c r="S185" s="59">
        <f ca="1">AVERAGE(OFFSET($R$3,0,0,'Données projet'!$E$9+1,1))-AVERAGE(OFFSET($H$3,0,0,'Données projet'!$E$9+1,1))</f>
        <v>219.4022220248072</v>
      </c>
      <c r="T185" s="59">
        <f t="shared" si="142"/>
        <v>199.30065726913725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2.8546376739078685</v>
      </c>
      <c r="AA185" s="21">
        <f>EXP(-LN(2)/25)*AA184+(1-EXP(-LN(2)/25))/(LN(2)/25)*Calculateur!V185*Calculateur!X185*VLOOKUP('Données projet'!$B$9,Paramètres!$A$1:$I$89,3,0)*0.475*44/12</f>
        <v>0.23032090108719405</v>
      </c>
      <c r="AB185" s="21">
        <f>EXP(-LN(2)/2)*AB184+(1-EXP(-LN(2)/2))/(LN(2)/2)*V185*Y185*VLOOKUP('Données projet'!$B$9,Paramètres!$A$1:$I$89,3,0)*0.475*44/12</f>
        <v>8.6009795019987084E-19</v>
      </c>
      <c r="AC185" s="22">
        <f t="shared" si="163"/>
        <v>3.0849585749950625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268.00000000000011</v>
      </c>
      <c r="AJ185" s="13">
        <f>AI185*VLOOKUP('Données projet'!$B$10,Paramètres!$A$1:$I$89,3,0)*VLOOKUP('Données projet'!$B$10,Paramètres!$A$1:$I$89,5,0)</f>
        <v>242.48640000000009</v>
      </c>
      <c r="AK185" s="13">
        <f t="shared" si="164"/>
        <v>58.974170235372476</v>
      </c>
      <c r="AL185" s="20">
        <f t="shared" si="165"/>
        <v>525.04382649327385</v>
      </c>
      <c r="AM185" s="59">
        <f t="shared" si="113"/>
        <v>814.58415396151827</v>
      </c>
      <c r="AN185" s="59">
        <f ca="1">AVERAGE(OFFSET($AM$3,0,0,'Données projet'!$E$10+1,1))-AVERAGE(OFFSET($H$3,0,0,'Données projet'!$E$10+1,1))</f>
        <v>406.64650428071837</v>
      </c>
      <c r="AO185" s="59">
        <f t="shared" si="144"/>
        <v>250.47702091764884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17.090346759557669</v>
      </c>
      <c r="AV185" s="21">
        <f>EXP(-LN(2)/25)*AV184+(1-EXP(-LN(2)/25))/(LN(2)/25)*Calculateur!AQ185*Calculateur!AS185*VLOOKUP('Données projet'!$B$10,Paramètres!$A$1:$I$89,3,0)*0.475*44/12</f>
        <v>0.44333301142482451</v>
      </c>
      <c r="AW185" s="21">
        <f>EXP(-LN(2)/2)*AW184+(1-EXP(-LN(2)/2))/(LN(2)/2)*AQ185*AT185*VLOOKUP('Données projet'!$B$10,Paramètres!$A$1:$I$89,3,0)*0.475*44/12</f>
        <v>4.9877619867697738E-10</v>
      </c>
      <c r="AX185" s="21">
        <f t="shared" si="166"/>
        <v>17.533679771481268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290.99999999999994</v>
      </c>
      <c r="BE185" s="13">
        <f>BD185*VLOOKUP('Données projet'!$B$11,Paramètres!$A$1:$I$89,3,0)*VLOOKUP('Données projet'!$B$11,Paramètres!$A$1:$I$89,5,0)</f>
        <v>276.91559999999993</v>
      </c>
      <c r="BF185" s="13">
        <f t="shared" si="167"/>
        <v>66.314766879144742</v>
      </c>
      <c r="BG185" s="20">
        <f t="shared" si="168"/>
        <v>597.79288898117682</v>
      </c>
      <c r="BH185" s="59">
        <f t="shared" si="116"/>
        <v>887.33321644942123</v>
      </c>
      <c r="BI185" s="59">
        <f ca="1">AVERAGE(OFFSET($BH$3,0,0,'Données projet'!$E$11+1,1))-AVERAGE(OFFSET($H$3,0,0,'Données projet'!$E$11+1,1))</f>
        <v>387.78453964980849</v>
      </c>
      <c r="BJ185" s="59">
        <f t="shared" si="146"/>
        <v>395.13533152274488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4.9439048050113188</v>
      </c>
      <c r="BQ185" s="21">
        <f>EXP(-LN(2)/25)*BQ184+(1-EXP(-LN(2)/25))/(LN(2)/25)*Calculateur!BL185*Calculateur!BN185*VLOOKUP('Données projet'!$B$11,Paramètres!$A$1:$I$89,3,0)*0.475*44/12</f>
        <v>0.1226468875501278</v>
      </c>
      <c r="BR185" s="21">
        <f>EXP(-LN(2)/2)*BR184+(1-EXP(-LN(2)/2))/(LN(2)/2)*BL185*BO185*VLOOKUP('Données projet'!$B$11,Paramètres!$A$1:$I$89,3,0)*0.475*44/12</f>
        <v>2.0141029187886552E-17</v>
      </c>
      <c r="BS185" s="22">
        <f t="shared" si="169"/>
        <v>5.0665516925614469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">
      <c r="A186" s="10">
        <f t="shared" si="161"/>
        <v>183</v>
      </c>
      <c r="B186" s="73">
        <f>'Scénario référence'!$B$16*5+'Scénario référence'!$B$17*0+'Scénario référence'!$B$18*5</f>
        <v>5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">
        <f t="shared" si="140"/>
        <v>0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18.333333333333332</v>
      </c>
      <c r="H186" s="67">
        <f t="shared" si="110"/>
        <v>183.33333333333334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295</v>
      </c>
      <c r="O186" s="13">
        <f>N186*VLOOKUP('Données projet'!$B$9,Paramètres!$A$1:$I$89,3,0)*VLOOKUP('Données projet'!$B$9,Paramètres!$A$1:$I$89,5,0)</f>
        <v>176.41000000000003</v>
      </c>
      <c r="P186" s="13">
        <f t="shared" si="141"/>
        <v>44.522543239204609</v>
      </c>
      <c r="Q186" s="20">
        <f t="shared" si="162"/>
        <v>384.79084614161474</v>
      </c>
      <c r="R186" s="59">
        <f t="shared" si="109"/>
        <v>674.39697378172764</v>
      </c>
      <c r="S186" s="59">
        <f ca="1">AVERAGE(OFFSET($R$3,0,0,'Données projet'!$E$9+1,1))-AVERAGE(OFFSET($H$3,0,0,'Données projet'!$E$9+1,1))</f>
        <v>219.4022220248072</v>
      </c>
      <c r="T186" s="59">
        <f t="shared" si="142"/>
        <v>199.30065726913725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2.7986599702795911</v>
      </c>
      <c r="AA186" s="21">
        <f>EXP(-LN(2)/25)*AA185+(1-EXP(-LN(2)/25))/(LN(2)/25)*Calculateur!V186*Calculateur!X186*VLOOKUP('Données projet'!$B$9,Paramètres!$A$1:$I$89,3,0)*0.475*44/12</f>
        <v>0.22402276393491494</v>
      </c>
      <c r="AB186" s="21">
        <f>EXP(-LN(2)/2)*AB185+(1-EXP(-LN(2)/2))/(LN(2)/2)*V186*Y186*VLOOKUP('Données projet'!$B$9,Paramètres!$A$1:$I$89,3,0)*0.475*44/12</f>
        <v>6.0818109307097816E-19</v>
      </c>
      <c r="AC186" s="22">
        <f t="shared" si="163"/>
        <v>3.0226827342145062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268.00000000000011</v>
      </c>
      <c r="AJ186" s="13">
        <f>AI186*VLOOKUP('Données projet'!$B$10,Paramètres!$A$1:$I$89,3,0)*VLOOKUP('Données projet'!$B$10,Paramètres!$A$1:$I$89,5,0)</f>
        <v>242.48640000000009</v>
      </c>
      <c r="AK186" s="13">
        <f t="shared" si="164"/>
        <v>58.974170235372476</v>
      </c>
      <c r="AL186" s="20">
        <f t="shared" si="165"/>
        <v>525.04382649327385</v>
      </c>
      <c r="AM186" s="59">
        <f t="shared" si="113"/>
        <v>814.64995413338681</v>
      </c>
      <c r="AN186" s="59">
        <f ca="1">AVERAGE(OFFSET($AM$3,0,0,'Données projet'!$E$10+1,1))-AVERAGE(OFFSET($H$3,0,0,'Données projet'!$E$10+1,1))</f>
        <v>406.64650428071837</v>
      </c>
      <c r="AO186" s="59">
        <f t="shared" si="144"/>
        <v>250.47702091764884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16.755215483684974</v>
      </c>
      <c r="AV186" s="21">
        <f>EXP(-LN(2)/25)*AV185+(1-EXP(-LN(2)/25))/(LN(2)/25)*Calculateur!AQ186*Calculateur!AS186*VLOOKUP('Données projet'!$B$10,Paramètres!$A$1:$I$89,3,0)*0.475*44/12</f>
        <v>0.43121004691354287</v>
      </c>
      <c r="AW186" s="21">
        <f>EXP(-LN(2)/2)*AW185+(1-EXP(-LN(2)/2))/(LN(2)/2)*AQ186*AT186*VLOOKUP('Données projet'!$B$10,Paramètres!$A$1:$I$89,3,0)*0.475*44/12</f>
        <v>3.526880323789394E-10</v>
      </c>
      <c r="AX186" s="21">
        <f t="shared" si="166"/>
        <v>17.186425530951205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290.99999999999994</v>
      </c>
      <c r="BE186" s="13">
        <f>BD186*VLOOKUP('Données projet'!$B$11,Paramètres!$A$1:$I$89,3,0)*VLOOKUP('Données projet'!$B$11,Paramètres!$A$1:$I$89,5,0)</f>
        <v>276.91559999999993</v>
      </c>
      <c r="BF186" s="13">
        <f t="shared" si="167"/>
        <v>66.314766879144742</v>
      </c>
      <c r="BG186" s="20">
        <f t="shared" si="168"/>
        <v>597.79288898117682</v>
      </c>
      <c r="BH186" s="59">
        <f t="shared" si="116"/>
        <v>887.39901662128977</v>
      </c>
      <c r="BI186" s="59">
        <f ca="1">AVERAGE(OFFSET($BH$3,0,0,'Données projet'!$E$11+1,1))-AVERAGE(OFFSET($H$3,0,0,'Données projet'!$E$11+1,1))</f>
        <v>387.78453964980849</v>
      </c>
      <c r="BJ186" s="59">
        <f t="shared" si="146"/>
        <v>395.13533152274488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4.8469578472692234</v>
      </c>
      <c r="BQ186" s="21">
        <f>EXP(-LN(2)/25)*BQ185+(1-EXP(-LN(2)/25))/(LN(2)/25)*Calculateur!BL186*Calculateur!BN186*VLOOKUP('Données projet'!$B$11,Paramètres!$A$1:$I$89,3,0)*0.475*44/12</f>
        <v>0.11929310196035005</v>
      </c>
      <c r="BR186" s="21">
        <f>EXP(-LN(2)/2)*BR185+(1-EXP(-LN(2)/2))/(LN(2)/2)*BL186*BO186*VLOOKUP('Données projet'!$B$11,Paramètres!$A$1:$I$89,3,0)*0.475*44/12</f>
        <v>1.4241858318830763E-17</v>
      </c>
      <c r="BS186" s="22">
        <f t="shared" si="169"/>
        <v>4.9662509492295737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">
      <c r="A187" s="10">
        <f t="shared" si="161"/>
        <v>184</v>
      </c>
      <c r="B187" s="73">
        <f>'Scénario référence'!$B$16*5+'Scénario référence'!$B$17*0+'Scénario référence'!$B$18*5</f>
        <v>5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">
        <f t="shared" si="140"/>
        <v>0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18.333333333333332</v>
      </c>
      <c r="H187" s="67">
        <f t="shared" si="110"/>
        <v>183.33333333333334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295</v>
      </c>
      <c r="O187" s="13">
        <f>N187*VLOOKUP('Données projet'!$B$9,Paramètres!$A$1:$I$89,3,0)*VLOOKUP('Données projet'!$B$9,Paramètres!$A$1:$I$89,5,0)</f>
        <v>176.41000000000003</v>
      </c>
      <c r="P187" s="13">
        <f t="shared" si="141"/>
        <v>44.522543239204609</v>
      </c>
      <c r="Q187" s="20">
        <f t="shared" si="162"/>
        <v>384.79084614161474</v>
      </c>
      <c r="R187" s="59">
        <f t="shared" si="109"/>
        <v>674.46163246772153</v>
      </c>
      <c r="S187" s="59">
        <f ca="1">AVERAGE(OFFSET($R$3,0,0,'Données projet'!$E$9+1,1))-AVERAGE(OFFSET($H$3,0,0,'Données projet'!$E$9+1,1))</f>
        <v>219.4022220248072</v>
      </c>
      <c r="T187" s="59">
        <f t="shared" si="142"/>
        <v>199.30065726913725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2.7437799552764366</v>
      </c>
      <c r="AA187" s="21">
        <f>EXP(-LN(2)/25)*AA186+(1-EXP(-LN(2)/25))/(LN(2)/25)*Calculateur!V187*Calculateur!X187*VLOOKUP('Données projet'!$B$9,Paramètres!$A$1:$I$89,3,0)*0.475*44/12</f>
        <v>0.21789684967426953</v>
      </c>
      <c r="AB187" s="21">
        <f>EXP(-LN(2)/2)*AB186+(1-EXP(-LN(2)/2))/(LN(2)/2)*V187*Y187*VLOOKUP('Données projet'!$B$9,Paramètres!$A$1:$I$89,3,0)*0.475*44/12</f>
        <v>4.3004897509993547E-19</v>
      </c>
      <c r="AC187" s="22">
        <f t="shared" si="163"/>
        <v>2.9616768049507063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268.00000000000011</v>
      </c>
      <c r="AJ187" s="13">
        <f>AI187*VLOOKUP('Données projet'!$B$10,Paramètres!$A$1:$I$89,3,0)*VLOOKUP('Données projet'!$B$10,Paramètres!$A$1:$I$89,5,0)</f>
        <v>242.48640000000009</v>
      </c>
      <c r="AK187" s="13">
        <f t="shared" si="164"/>
        <v>58.974170235372476</v>
      </c>
      <c r="AL187" s="20">
        <f t="shared" si="165"/>
        <v>525.04382649327385</v>
      </c>
      <c r="AM187" s="59">
        <f t="shared" si="113"/>
        <v>814.71461281938059</v>
      </c>
      <c r="AN187" s="59">
        <f ca="1">AVERAGE(OFFSET($AM$3,0,0,'Données projet'!$E$10+1,1))-AVERAGE(OFFSET($H$3,0,0,'Données projet'!$E$10+1,1))</f>
        <v>406.64650428071837</v>
      </c>
      <c r="AO187" s="59">
        <f t="shared" si="144"/>
        <v>250.47702091764884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16.426655927722248</v>
      </c>
      <c r="AV187" s="21">
        <f>EXP(-LN(2)/25)*AV186+(1-EXP(-LN(2)/25))/(LN(2)/25)*Calculateur!AQ187*Calculateur!AS187*VLOOKUP('Données projet'!$B$10,Paramètres!$A$1:$I$89,3,0)*0.475*44/12</f>
        <v>0.41941858550434119</v>
      </c>
      <c r="AW187" s="21">
        <f>EXP(-LN(2)/2)*AW186+(1-EXP(-LN(2)/2))/(LN(2)/2)*AQ187*AT187*VLOOKUP('Données projet'!$B$10,Paramètres!$A$1:$I$89,3,0)*0.475*44/12</f>
        <v>2.4938809933848869E-10</v>
      </c>
      <c r="AX187" s="21">
        <f t="shared" si="166"/>
        <v>16.84607451347598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290.99999999999994</v>
      </c>
      <c r="BE187" s="13">
        <f>BD187*VLOOKUP('Données projet'!$B$11,Paramètres!$A$1:$I$89,3,0)*VLOOKUP('Données projet'!$B$11,Paramètres!$A$1:$I$89,5,0)</f>
        <v>276.91559999999993</v>
      </c>
      <c r="BF187" s="13">
        <f t="shared" si="167"/>
        <v>66.314766879144742</v>
      </c>
      <c r="BG187" s="20">
        <f t="shared" si="168"/>
        <v>597.79288898117682</v>
      </c>
      <c r="BH187" s="59">
        <f t="shared" si="116"/>
        <v>887.46367530728355</v>
      </c>
      <c r="BI187" s="59">
        <f ca="1">AVERAGE(OFFSET($BH$3,0,0,'Données projet'!$E$11+1,1))-AVERAGE(OFFSET($H$3,0,0,'Données projet'!$E$11+1,1))</f>
        <v>387.78453964980849</v>
      </c>
      <c r="BJ187" s="59">
        <f t="shared" si="146"/>
        <v>395.13533152274488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4.7519119602366455</v>
      </c>
      <c r="BQ187" s="21">
        <f>EXP(-LN(2)/25)*BQ186+(1-EXP(-LN(2)/25))/(LN(2)/25)*Calculateur!BL187*Calculateur!BN187*VLOOKUP('Données projet'!$B$11,Paramètres!$A$1:$I$89,3,0)*0.475*44/12</f>
        <v>0.11603102581389269</v>
      </c>
      <c r="BR187" s="21">
        <f>EXP(-LN(2)/2)*BR186+(1-EXP(-LN(2)/2))/(LN(2)/2)*BL187*BO187*VLOOKUP('Données projet'!$B$11,Paramètres!$A$1:$I$89,3,0)*0.475*44/12</f>
        <v>1.0070514593943276E-17</v>
      </c>
      <c r="BS187" s="22">
        <f t="shared" si="169"/>
        <v>4.8679429860505383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">
      <c r="A188" s="10">
        <f t="shared" si="161"/>
        <v>185</v>
      </c>
      <c r="B188" s="73">
        <f>'Scénario référence'!$B$16*5+'Scénario référence'!$B$17*0+'Scénario référence'!$B$18*5</f>
        <v>5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">
        <f t="shared" si="140"/>
        <v>0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18.333333333333332</v>
      </c>
      <c r="H188" s="67">
        <f t="shared" si="110"/>
        <v>183.33333333333334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295</v>
      </c>
      <c r="O188" s="13">
        <f>N188*VLOOKUP('Données projet'!$B$9,Paramètres!$A$1:$I$89,3,0)*VLOOKUP('Données projet'!$B$9,Paramètres!$A$1:$I$89,5,0)</f>
        <v>176.41000000000003</v>
      </c>
      <c r="P188" s="13">
        <f t="shared" si="141"/>
        <v>44.522543239204609</v>
      </c>
      <c r="Q188" s="20">
        <f t="shared" si="162"/>
        <v>384.79084614161474</v>
      </c>
      <c r="R188" s="59">
        <f t="shared" si="109"/>
        <v>674.52516947006848</v>
      </c>
      <c r="S188" s="59">
        <f ca="1">AVERAGE(OFFSET($R$3,0,0,'Données projet'!$E$9+1,1))-AVERAGE(OFFSET($H$3,0,0,'Données projet'!$E$9+1,1))</f>
        <v>219.4022220248072</v>
      </c>
      <c r="T188" s="59">
        <f t="shared" si="142"/>
        <v>199.30065726913725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2.68997610389399</v>
      </c>
      <c r="AA188" s="21">
        <f>EXP(-LN(2)/25)*AA187+(1-EXP(-LN(2)/25))/(LN(2)/25)*Calculateur!V188*Calculateur!X188*VLOOKUP('Données projet'!$B$9,Paramètres!$A$1:$I$89,3,0)*0.475*44/12</f>
        <v>0.21193844886122931</v>
      </c>
      <c r="AB188" s="21">
        <f>EXP(-LN(2)/2)*AB187+(1-EXP(-LN(2)/2))/(LN(2)/2)*V188*Y188*VLOOKUP('Données projet'!$B$9,Paramètres!$A$1:$I$89,3,0)*0.475*44/12</f>
        <v>3.0409054653548913E-19</v>
      </c>
      <c r="AC188" s="22">
        <f t="shared" si="163"/>
        <v>2.9019145527552195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268.00000000000011</v>
      </c>
      <c r="AJ188" s="13">
        <f>AI188*VLOOKUP('Données projet'!$B$10,Paramètres!$A$1:$I$89,3,0)*VLOOKUP('Données projet'!$B$10,Paramètres!$A$1:$I$89,5,0)</f>
        <v>242.48640000000009</v>
      </c>
      <c r="AK188" s="13">
        <f t="shared" si="164"/>
        <v>58.974170235372476</v>
      </c>
      <c r="AL188" s="20">
        <f t="shared" si="165"/>
        <v>525.04382649327385</v>
      </c>
      <c r="AM188" s="59">
        <f t="shared" si="113"/>
        <v>814.77814982172754</v>
      </c>
      <c r="AN188" s="59">
        <f ca="1">AVERAGE(OFFSET($AM$3,0,0,'Données projet'!$E$10+1,1))-AVERAGE(OFFSET($H$3,0,0,'Données projet'!$E$10+1,1))</f>
        <v>406.64650428071837</v>
      </c>
      <c r="AO188" s="59">
        <f t="shared" si="144"/>
        <v>250.47702091764884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16.104539224250409</v>
      </c>
      <c r="AV188" s="21">
        <f>EXP(-LN(2)/25)*AV187+(1-EXP(-LN(2)/25))/(LN(2)/25)*Calculateur!AQ188*Calculateur!AS188*VLOOKUP('Données projet'!$B$10,Paramètres!$A$1:$I$89,3,0)*0.475*44/12</f>
        <v>0.40794956222746015</v>
      </c>
      <c r="AW188" s="21">
        <f>EXP(-LN(2)/2)*AW187+(1-EXP(-LN(2)/2))/(LN(2)/2)*AQ188*AT188*VLOOKUP('Données projet'!$B$10,Paramètres!$A$1:$I$89,3,0)*0.475*44/12</f>
        <v>1.763440161894697E-10</v>
      </c>
      <c r="AX188" s="21">
        <f t="shared" si="166"/>
        <v>16.512488786654213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290.99999999999994</v>
      </c>
      <c r="BE188" s="13">
        <f>BD188*VLOOKUP('Données projet'!$B$11,Paramètres!$A$1:$I$89,3,0)*VLOOKUP('Données projet'!$B$11,Paramètres!$A$1:$I$89,5,0)</f>
        <v>276.91559999999993</v>
      </c>
      <c r="BF188" s="13">
        <f t="shared" si="167"/>
        <v>66.314766879144742</v>
      </c>
      <c r="BG188" s="20">
        <f t="shared" si="168"/>
        <v>597.79288898117682</v>
      </c>
      <c r="BH188" s="59">
        <f t="shared" si="116"/>
        <v>887.52721230963061</v>
      </c>
      <c r="BI188" s="59">
        <f ca="1">AVERAGE(OFFSET($BH$3,0,0,'Données projet'!$E$11+1,1))-AVERAGE(OFFSET($H$3,0,0,'Données projet'!$E$11+1,1))</f>
        <v>387.78453964980849</v>
      </c>
      <c r="BJ188" s="59">
        <f t="shared" si="146"/>
        <v>395.13533152274488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4.6587298650765092</v>
      </c>
      <c r="BQ188" s="21">
        <f>EXP(-LN(2)/25)*BQ187+(1-EXP(-LN(2)/25))/(LN(2)/25)*Calculateur!BL188*Calculateur!BN188*VLOOKUP('Données projet'!$B$11,Paramètres!$A$1:$I$89,3,0)*0.475*44/12</f>
        <v>0.11285815131120533</v>
      </c>
      <c r="BR188" s="21">
        <f>EXP(-LN(2)/2)*BR187+(1-EXP(-LN(2)/2))/(LN(2)/2)*BL188*BO188*VLOOKUP('Données projet'!$B$11,Paramètres!$A$1:$I$89,3,0)*0.475*44/12</f>
        <v>7.1209291594153815E-18</v>
      </c>
      <c r="BS188" s="22">
        <f t="shared" si="169"/>
        <v>4.7715880163877147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">
      <c r="A189" s="10">
        <f t="shared" si="161"/>
        <v>186</v>
      </c>
      <c r="B189" s="73">
        <f>'Scénario référence'!$B$16*5+'Scénario référence'!$B$17*0+'Scénario référence'!$B$18*5</f>
        <v>5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">
        <f t="shared" si="140"/>
        <v>0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18.333333333333332</v>
      </c>
      <c r="H189" s="67">
        <f t="shared" si="110"/>
        <v>183.33333333333334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295</v>
      </c>
      <c r="O189" s="13">
        <f>N189*VLOOKUP('Données projet'!$B$9,Paramètres!$A$1:$I$89,3,0)*VLOOKUP('Données projet'!$B$9,Paramètres!$A$1:$I$89,5,0)</f>
        <v>176.41000000000003</v>
      </c>
      <c r="P189" s="13">
        <f t="shared" si="141"/>
        <v>44.522543239204609</v>
      </c>
      <c r="Q189" s="20">
        <f t="shared" si="162"/>
        <v>384.79084614161474</v>
      </c>
      <c r="R189" s="59">
        <f t="shared" si="109"/>
        <v>674.5876042474722</v>
      </c>
      <c r="S189" s="59">
        <f ca="1">AVERAGE(OFFSET($R$3,0,0,'Données projet'!$E$9+1,1))-AVERAGE(OFFSET($H$3,0,0,'Données projet'!$E$9+1,1))</f>
        <v>219.4022220248072</v>
      </c>
      <c r="T189" s="59">
        <f t="shared" si="142"/>
        <v>199.30065726913725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2.6372273132200443</v>
      </c>
      <c r="AA189" s="21">
        <f>EXP(-LN(2)/25)*AA188+(1-EXP(-LN(2)/25))/(LN(2)/25)*Calculateur!V189*Calculateur!X189*VLOOKUP('Données projet'!$B$9,Paramètres!$A$1:$I$89,3,0)*0.475*44/12</f>
        <v>0.20614298083176036</v>
      </c>
      <c r="AB189" s="21">
        <f>EXP(-LN(2)/2)*AB188+(1-EXP(-LN(2)/2))/(LN(2)/2)*V189*Y189*VLOOKUP('Données projet'!$B$9,Paramètres!$A$1:$I$89,3,0)*0.475*44/12</f>
        <v>2.1502448754996778E-19</v>
      </c>
      <c r="AC189" s="22">
        <f t="shared" si="163"/>
        <v>2.8433702940518049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268.00000000000011</v>
      </c>
      <c r="AJ189" s="13">
        <f>AI189*VLOOKUP('Données projet'!$B$10,Paramètres!$A$1:$I$89,3,0)*VLOOKUP('Données projet'!$B$10,Paramètres!$A$1:$I$89,5,0)</f>
        <v>242.48640000000009</v>
      </c>
      <c r="AK189" s="13">
        <f t="shared" si="164"/>
        <v>58.974170235372476</v>
      </c>
      <c r="AL189" s="20">
        <f t="shared" si="165"/>
        <v>525.04382649327385</v>
      </c>
      <c r="AM189" s="59">
        <f t="shared" si="113"/>
        <v>814.84058459913126</v>
      </c>
      <c r="AN189" s="59">
        <f ca="1">AVERAGE(OFFSET($AM$3,0,0,'Données projet'!$E$10+1,1))-AVERAGE(OFFSET($H$3,0,0,'Données projet'!$E$10+1,1))</f>
        <v>406.64650428071837</v>
      </c>
      <c r="AO189" s="59">
        <f t="shared" si="144"/>
        <v>250.47702091764884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15.788739032861864</v>
      </c>
      <c r="AV189" s="21">
        <f>EXP(-LN(2)/25)*AV188+(1-EXP(-LN(2)/25))/(LN(2)/25)*Calculateur!AQ189*Calculateur!AS189*VLOOKUP('Données projet'!$B$10,Paramètres!$A$1:$I$89,3,0)*0.475*44/12</f>
        <v>0.39679415999521517</v>
      </c>
      <c r="AW189" s="21">
        <f>EXP(-LN(2)/2)*AW188+(1-EXP(-LN(2)/2))/(LN(2)/2)*AQ189*AT189*VLOOKUP('Données projet'!$B$10,Paramètres!$A$1:$I$89,3,0)*0.475*44/12</f>
        <v>1.2469404966924435E-10</v>
      </c>
      <c r="AX189" s="21">
        <f t="shared" si="166"/>
        <v>16.185533192981772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290.99999999999994</v>
      </c>
      <c r="BE189" s="13">
        <f>BD189*VLOOKUP('Données projet'!$B$11,Paramètres!$A$1:$I$89,3,0)*VLOOKUP('Données projet'!$B$11,Paramètres!$A$1:$I$89,5,0)</f>
        <v>276.91559999999993</v>
      </c>
      <c r="BF189" s="13">
        <f t="shared" si="167"/>
        <v>66.314766879144742</v>
      </c>
      <c r="BG189" s="20">
        <f t="shared" si="168"/>
        <v>597.79288898117682</v>
      </c>
      <c r="BH189" s="59">
        <f t="shared" si="116"/>
        <v>887.58964708703422</v>
      </c>
      <c r="BI189" s="59">
        <f ca="1">AVERAGE(OFFSET($BH$3,0,0,'Données projet'!$E$11+1,1))-AVERAGE(OFFSET($H$3,0,0,'Données projet'!$E$11+1,1))</f>
        <v>387.78453964980849</v>
      </c>
      <c r="BJ189" s="59">
        <f t="shared" si="146"/>
        <v>395.13533152274488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4.5673750139669975</v>
      </c>
      <c r="BQ189" s="21">
        <f>EXP(-LN(2)/25)*BQ188+(1-EXP(-LN(2)/25))/(LN(2)/25)*Calculateur!BL189*Calculateur!BN189*VLOOKUP('Données projet'!$B$11,Paramètres!$A$1:$I$89,3,0)*0.475*44/12</f>
        <v>0.10977203922864819</v>
      </c>
      <c r="BR189" s="21">
        <f>EXP(-LN(2)/2)*BR188+(1-EXP(-LN(2)/2))/(LN(2)/2)*BL189*BO189*VLOOKUP('Données projet'!$B$11,Paramètres!$A$1:$I$89,3,0)*0.475*44/12</f>
        <v>5.0352572969716381E-18</v>
      </c>
      <c r="BS189" s="22">
        <f t="shared" si="169"/>
        <v>4.6771470531956458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">
      <c r="A190" s="10">
        <f t="shared" si="161"/>
        <v>187</v>
      </c>
      <c r="B190" s="73">
        <f>'Scénario référence'!$B$16*5+'Scénario référence'!$B$17*0+'Scénario référence'!$B$18*5</f>
        <v>5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">
        <f t="shared" si="140"/>
        <v>0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18.333333333333332</v>
      </c>
      <c r="H190" s="67">
        <f t="shared" si="110"/>
        <v>183.33333333333334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295</v>
      </c>
      <c r="O190" s="13">
        <f>N190*VLOOKUP('Données projet'!$B$9,Paramètres!$A$1:$I$89,3,0)*VLOOKUP('Données projet'!$B$9,Paramètres!$A$1:$I$89,5,0)</f>
        <v>176.41000000000003</v>
      </c>
      <c r="P190" s="13">
        <f t="shared" si="141"/>
        <v>44.522543239204609</v>
      </c>
      <c r="Q190" s="20">
        <f t="shared" si="162"/>
        <v>384.79084614161474</v>
      </c>
      <c r="R190" s="59">
        <f t="shared" si="109"/>
        <v>674.64895592107109</v>
      </c>
      <c r="S190" s="59">
        <f ca="1">AVERAGE(OFFSET($R$3,0,0,'Données projet'!$E$9+1,1))-AVERAGE(OFFSET($H$3,0,0,'Données projet'!$E$9+1,1))</f>
        <v>219.4022220248072</v>
      </c>
      <c r="T190" s="59">
        <f t="shared" si="142"/>
        <v>199.30065726913725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2.5855128941576293</v>
      </c>
      <c r="AA190" s="21">
        <f>EXP(-LN(2)/25)*AA189+(1-EXP(-LN(2)/25))/(LN(2)/25)*Calculateur!V190*Calculateur!X190*VLOOKUP('Données projet'!$B$9,Paramètres!$A$1:$I$89,3,0)*0.475*44/12</f>
        <v>0.20050599018032766</v>
      </c>
      <c r="AB190" s="21">
        <f>EXP(-LN(2)/2)*AB189+(1-EXP(-LN(2)/2))/(LN(2)/2)*V190*Y190*VLOOKUP('Données projet'!$B$9,Paramètres!$A$1:$I$89,3,0)*0.475*44/12</f>
        <v>1.5204527326774459E-19</v>
      </c>
      <c r="AC190" s="22">
        <f t="shared" si="163"/>
        <v>2.786018884337957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268.00000000000011</v>
      </c>
      <c r="AJ190" s="13">
        <f>AI190*VLOOKUP('Données projet'!$B$10,Paramètres!$A$1:$I$89,3,0)*VLOOKUP('Données projet'!$B$10,Paramètres!$A$1:$I$89,5,0)</f>
        <v>242.48640000000009</v>
      </c>
      <c r="AK190" s="13">
        <f t="shared" si="164"/>
        <v>58.974170235372476</v>
      </c>
      <c r="AL190" s="20">
        <f t="shared" si="165"/>
        <v>525.04382649327385</v>
      </c>
      <c r="AM190" s="59">
        <f t="shared" si="113"/>
        <v>814.90193627273027</v>
      </c>
      <c r="AN190" s="59">
        <f ca="1">AVERAGE(OFFSET($AM$3,0,0,'Données projet'!$E$10+1,1))-AVERAGE(OFFSET($H$3,0,0,'Données projet'!$E$10+1,1))</f>
        <v>406.64650428071837</v>
      </c>
      <c r="AO190" s="59">
        <f t="shared" si="144"/>
        <v>250.47702091764884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15.479131490607351</v>
      </c>
      <c r="AV190" s="21">
        <f>EXP(-LN(2)/25)*AV189+(1-EXP(-LN(2)/25))/(LN(2)/25)*Calculateur!AQ190*Calculateur!AS190*VLOOKUP('Données projet'!$B$10,Paramètres!$A$1:$I$89,3,0)*0.475*44/12</f>
        <v>0.38594380282364804</v>
      </c>
      <c r="AW190" s="21">
        <f>EXP(-LN(2)/2)*AW189+(1-EXP(-LN(2)/2))/(LN(2)/2)*AQ190*AT190*VLOOKUP('Données projet'!$B$10,Paramètres!$A$1:$I$89,3,0)*0.475*44/12</f>
        <v>8.817200809473485E-11</v>
      </c>
      <c r="AX190" s="21">
        <f t="shared" si="166"/>
        <v>15.865075293519171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290.99999999999994</v>
      </c>
      <c r="BE190" s="13">
        <f>BD190*VLOOKUP('Données projet'!$B$11,Paramètres!$A$1:$I$89,3,0)*VLOOKUP('Données projet'!$B$11,Paramètres!$A$1:$I$89,5,0)</f>
        <v>276.91559999999993</v>
      </c>
      <c r="BF190" s="13">
        <f t="shared" si="167"/>
        <v>66.314766879144742</v>
      </c>
      <c r="BG190" s="20">
        <f t="shared" si="168"/>
        <v>597.79288898117682</v>
      </c>
      <c r="BH190" s="59">
        <f t="shared" si="116"/>
        <v>887.65099876063323</v>
      </c>
      <c r="BI190" s="59">
        <f ca="1">AVERAGE(OFFSET($BH$3,0,0,'Données projet'!$E$11+1,1))-AVERAGE(OFFSET($H$3,0,0,'Données projet'!$E$11+1,1))</f>
        <v>387.78453964980849</v>
      </c>
      <c r="BJ190" s="59">
        <f t="shared" si="146"/>
        <v>395.13533152274488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4.4778115757667862</v>
      </c>
      <c r="BQ190" s="21">
        <f>EXP(-LN(2)/25)*BQ189+(1-EXP(-LN(2)/25))/(LN(2)/25)*Calculateur!BL190*Calculateur!BN190*VLOOKUP('Données projet'!$B$11,Paramètres!$A$1:$I$89,3,0)*0.475*44/12</f>
        <v>0.10677031704328015</v>
      </c>
      <c r="BR190" s="21">
        <f>EXP(-LN(2)/2)*BR189+(1-EXP(-LN(2)/2))/(LN(2)/2)*BL190*BO190*VLOOKUP('Données projet'!$B$11,Paramètres!$A$1:$I$89,3,0)*0.475*44/12</f>
        <v>3.5604645797076907E-18</v>
      </c>
      <c r="BS190" s="22">
        <f t="shared" si="169"/>
        <v>4.5845818928100668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">
      <c r="A191" s="10">
        <f t="shared" si="161"/>
        <v>188</v>
      </c>
      <c r="B191" s="73">
        <f>'Scénario référence'!$B$16*5+'Scénario référence'!$B$17*0+'Scénario référence'!$B$18*5</f>
        <v>5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">
        <f t="shared" si="140"/>
        <v>0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18.333333333333332</v>
      </c>
      <c r="H191" s="67">
        <f t="shared" si="110"/>
        <v>183.33333333333334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295</v>
      </c>
      <c r="O191" s="13">
        <f>N191*VLOOKUP('Données projet'!$B$9,Paramètres!$A$1:$I$89,3,0)*VLOOKUP('Données projet'!$B$9,Paramètres!$A$1:$I$89,5,0)</f>
        <v>176.41000000000003</v>
      </c>
      <c r="P191" s="13">
        <f t="shared" si="141"/>
        <v>44.522543239204609</v>
      </c>
      <c r="Q191" s="20">
        <f t="shared" si="162"/>
        <v>384.79084614161474</v>
      </c>
      <c r="R191" s="59">
        <f t="shared" si="109"/>
        <v>674.70924328029491</v>
      </c>
      <c r="S191" s="59">
        <f ca="1">AVERAGE(OFFSET($R$3,0,0,'Données projet'!$E$9+1,1))-AVERAGE(OFFSET($H$3,0,0,'Données projet'!$E$9+1,1))</f>
        <v>219.4022220248072</v>
      </c>
      <c r="T191" s="59">
        <f t="shared" si="142"/>
        <v>199.30065726913725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2.5348125633103473</v>
      </c>
      <c r="AA191" s="21">
        <f>EXP(-LN(2)/25)*AA190+(1-EXP(-LN(2)/25))/(LN(2)/25)*Calculateur!V191*Calculateur!X191*VLOOKUP('Données projet'!$B$9,Paramètres!$A$1:$I$89,3,0)*0.475*44/12</f>
        <v>0.19502314333469484</v>
      </c>
      <c r="AB191" s="21">
        <f>EXP(-LN(2)/2)*AB190+(1-EXP(-LN(2)/2))/(LN(2)/2)*V191*Y191*VLOOKUP('Données projet'!$B$9,Paramètres!$A$1:$I$89,3,0)*0.475*44/12</f>
        <v>1.075122437749839E-19</v>
      </c>
      <c r="AC191" s="22">
        <f t="shared" si="163"/>
        <v>2.729835706645042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268.00000000000011</v>
      </c>
      <c r="AJ191" s="13">
        <f>AI191*VLOOKUP('Données projet'!$B$10,Paramètres!$A$1:$I$89,3,0)*VLOOKUP('Données projet'!$B$10,Paramètres!$A$1:$I$89,5,0)</f>
        <v>242.48640000000009</v>
      </c>
      <c r="AK191" s="13">
        <f t="shared" si="164"/>
        <v>58.974170235372476</v>
      </c>
      <c r="AL191" s="20">
        <f t="shared" si="165"/>
        <v>525.04382649327385</v>
      </c>
      <c r="AM191" s="59">
        <f t="shared" si="113"/>
        <v>814.96222363195409</v>
      </c>
      <c r="AN191" s="59">
        <f ca="1">AVERAGE(OFFSET($AM$3,0,0,'Données projet'!$E$10+1,1))-AVERAGE(OFFSET($H$3,0,0,'Données projet'!$E$10+1,1))</f>
        <v>406.64650428071837</v>
      </c>
      <c r="AO191" s="59">
        <f t="shared" si="144"/>
        <v>250.47702091764884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15.175595163414496</v>
      </c>
      <c r="AV191" s="21">
        <f>EXP(-LN(2)/25)*AV190+(1-EXP(-LN(2)/25))/(LN(2)/25)*Calculateur!AQ191*Calculateur!AS191*VLOOKUP('Données projet'!$B$10,Paramètres!$A$1:$I$89,3,0)*0.475*44/12</f>
        <v>0.3753901492395329</v>
      </c>
      <c r="AW191" s="21">
        <f>EXP(-LN(2)/2)*AW190+(1-EXP(-LN(2)/2))/(LN(2)/2)*AQ191*AT191*VLOOKUP('Données projet'!$B$10,Paramètres!$A$1:$I$89,3,0)*0.475*44/12</f>
        <v>6.2347024834622173E-11</v>
      </c>
      <c r="AX191" s="21">
        <f t="shared" si="166"/>
        <v>15.550985312716374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290.99999999999994</v>
      </c>
      <c r="BE191" s="13">
        <f>BD191*VLOOKUP('Données projet'!$B$11,Paramètres!$A$1:$I$89,3,0)*VLOOKUP('Données projet'!$B$11,Paramètres!$A$1:$I$89,5,0)</f>
        <v>276.91559999999993</v>
      </c>
      <c r="BF191" s="13">
        <f t="shared" si="167"/>
        <v>66.314766879144742</v>
      </c>
      <c r="BG191" s="20">
        <f t="shared" si="168"/>
        <v>597.79288898117682</v>
      </c>
      <c r="BH191" s="59">
        <f t="shared" si="116"/>
        <v>887.71128611985705</v>
      </c>
      <c r="BI191" s="59">
        <f ca="1">AVERAGE(OFFSET($BH$3,0,0,'Données projet'!$E$11+1,1))-AVERAGE(OFFSET($H$3,0,0,'Données projet'!$E$11+1,1))</f>
        <v>387.78453964980849</v>
      </c>
      <c r="BJ191" s="59">
        <f t="shared" si="146"/>
        <v>395.13533152274488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4.3900044219613772</v>
      </c>
      <c r="BQ191" s="21">
        <f>EXP(-LN(2)/25)*BQ190+(1-EXP(-LN(2)/25))/(LN(2)/25)*Calculateur!BL191*Calculateur!BN191*VLOOKUP('Données projet'!$B$11,Paramètres!$A$1:$I$89,3,0)*0.475*44/12</f>
        <v>0.1038506771089247</v>
      </c>
      <c r="BR191" s="21">
        <f>EXP(-LN(2)/2)*BR190+(1-EXP(-LN(2)/2))/(LN(2)/2)*BL191*BO191*VLOOKUP('Données projet'!$B$11,Paramètres!$A$1:$I$89,3,0)*0.475*44/12</f>
        <v>2.517628648485819E-18</v>
      </c>
      <c r="BS191" s="22">
        <f t="shared" si="169"/>
        <v>4.4938550990703021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">
      <c r="A192" s="10">
        <f t="shared" si="161"/>
        <v>189</v>
      </c>
      <c r="B192" s="73">
        <f>'Scénario référence'!$B$16*5+'Scénario référence'!$B$17*0+'Scénario référence'!$B$18*5</f>
        <v>5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">
        <f t="shared" si="140"/>
        <v>0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18.333333333333332</v>
      </c>
      <c r="H192" s="67">
        <f t="shared" si="110"/>
        <v>183.33333333333334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295</v>
      </c>
      <c r="O192" s="13">
        <f>N192*VLOOKUP('Données projet'!$B$9,Paramètres!$A$1:$I$89,3,0)*VLOOKUP('Données projet'!$B$9,Paramètres!$A$1:$I$89,5,0)</f>
        <v>176.41000000000003</v>
      </c>
      <c r="P192" s="13">
        <f t="shared" si="141"/>
        <v>44.522543239204609</v>
      </c>
      <c r="Q192" s="20">
        <f t="shared" si="162"/>
        <v>384.79084614161474</v>
      </c>
      <c r="R192" s="59">
        <f t="shared" si="109"/>
        <v>674.76848478861859</v>
      </c>
      <c r="S192" s="59">
        <f ca="1">AVERAGE(OFFSET($R$3,0,0,'Données projet'!$E$9+1,1))-AVERAGE(OFFSET($H$3,0,0,'Données projet'!$E$9+1,1))</f>
        <v>219.4022220248072</v>
      </c>
      <c r="T192" s="59">
        <f t="shared" si="142"/>
        <v>199.30065726913725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2.4851064350268319</v>
      </c>
      <c r="AA192" s="21">
        <f>EXP(-LN(2)/25)*AA191+(1-EXP(-LN(2)/25))/(LN(2)/25)*Calculateur!V192*Calculateur!X192*VLOOKUP('Données projet'!$B$9,Paramètres!$A$1:$I$89,3,0)*0.475*44/12</f>
        <v>0.18969022522438622</v>
      </c>
      <c r="AB192" s="21">
        <f>EXP(-LN(2)/2)*AB191+(1-EXP(-LN(2)/2))/(LN(2)/2)*V192*Y192*VLOOKUP('Données projet'!$B$9,Paramètres!$A$1:$I$89,3,0)*0.475*44/12</f>
        <v>7.6022636633872306E-20</v>
      </c>
      <c r="AC192" s="22">
        <f t="shared" si="163"/>
        <v>2.6747966602512183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268.00000000000011</v>
      </c>
      <c r="AJ192" s="13">
        <f>AI192*VLOOKUP('Données projet'!$B$10,Paramètres!$A$1:$I$89,3,0)*VLOOKUP('Données projet'!$B$10,Paramètres!$A$1:$I$89,5,0)</f>
        <v>242.48640000000009</v>
      </c>
      <c r="AK192" s="13">
        <f t="shared" si="164"/>
        <v>58.974170235372476</v>
      </c>
      <c r="AL192" s="20">
        <f t="shared" si="165"/>
        <v>525.04382649327385</v>
      </c>
      <c r="AM192" s="59">
        <f t="shared" si="113"/>
        <v>815.02146514027777</v>
      </c>
      <c r="AN192" s="59">
        <f ca="1">AVERAGE(OFFSET($AM$3,0,0,'Données projet'!$E$10+1,1))-AVERAGE(OFFSET($H$3,0,0,'Données projet'!$E$10+1,1))</f>
        <v>406.64650428071837</v>
      </c>
      <c r="AO192" s="59">
        <f t="shared" si="144"/>
        <v>250.47702091764884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14.878010998459013</v>
      </c>
      <c r="AV192" s="21">
        <f>EXP(-LN(2)/25)*AV191+(1-EXP(-LN(2)/25))/(LN(2)/25)*Calculateur!AQ192*Calculateur!AS192*VLOOKUP('Données projet'!$B$10,Paramètres!$A$1:$I$89,3,0)*0.475*44/12</f>
        <v>0.3651250858676679</v>
      </c>
      <c r="AW192" s="21">
        <f>EXP(-LN(2)/2)*AW191+(1-EXP(-LN(2)/2))/(LN(2)/2)*AQ192*AT192*VLOOKUP('Données projet'!$B$10,Paramètres!$A$1:$I$89,3,0)*0.475*44/12</f>
        <v>4.4086004047367425E-11</v>
      </c>
      <c r="AX192" s="21">
        <f t="shared" si="166"/>
        <v>15.243136084370766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290.99999999999994</v>
      </c>
      <c r="BE192" s="13">
        <f>BD192*VLOOKUP('Données projet'!$B$11,Paramètres!$A$1:$I$89,3,0)*VLOOKUP('Données projet'!$B$11,Paramètres!$A$1:$I$89,5,0)</f>
        <v>276.91559999999993</v>
      </c>
      <c r="BF192" s="13">
        <f t="shared" si="167"/>
        <v>66.314766879144742</v>
      </c>
      <c r="BG192" s="20">
        <f t="shared" si="168"/>
        <v>597.79288898117682</v>
      </c>
      <c r="BH192" s="59">
        <f t="shared" si="116"/>
        <v>887.77052762818062</v>
      </c>
      <c r="BI192" s="59">
        <f ca="1">AVERAGE(OFFSET($BH$3,0,0,'Données projet'!$E$11+1,1))-AVERAGE(OFFSET($H$3,0,0,'Données projet'!$E$11+1,1))</f>
        <v>387.78453964980849</v>
      </c>
      <c r="BJ192" s="59">
        <f t="shared" si="146"/>
        <v>395.13533152274488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4.3039191128850174</v>
      </c>
      <c r="BQ192" s="21">
        <f>EXP(-LN(2)/25)*BQ191+(1-EXP(-LN(2)/25))/(LN(2)/25)*Calculateur!BL192*Calculateur!BN192*VLOOKUP('Données projet'!$B$11,Paramètres!$A$1:$I$89,3,0)*0.475*44/12</f>
        <v>0.1010108748821114</v>
      </c>
      <c r="BR192" s="21">
        <f>EXP(-LN(2)/2)*BR191+(1-EXP(-LN(2)/2))/(LN(2)/2)*BL192*BO192*VLOOKUP('Données projet'!$B$11,Paramètres!$A$1:$I$89,3,0)*0.475*44/12</f>
        <v>1.7802322898538454E-18</v>
      </c>
      <c r="BS192" s="22">
        <f t="shared" si="169"/>
        <v>4.4049299877671286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">
      <c r="A193" s="10">
        <f t="shared" si="161"/>
        <v>190</v>
      </c>
      <c r="B193" s="73">
        <f>'Scénario référence'!$B$16*5+'Scénario référence'!$B$17*0+'Scénario référence'!$B$18*5</f>
        <v>5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">
        <f t="shared" si="140"/>
        <v>0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18.333333333333332</v>
      </c>
      <c r="H193" s="67">
        <f t="shared" si="110"/>
        <v>183.33333333333334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295</v>
      </c>
      <c r="O193" s="13">
        <f>N193*VLOOKUP('Données projet'!$B$9,Paramètres!$A$1:$I$89,3,0)*VLOOKUP('Données projet'!$B$9,Paramètres!$A$1:$I$89,5,0)</f>
        <v>176.41000000000003</v>
      </c>
      <c r="P193" s="13">
        <f t="shared" si="141"/>
        <v>44.522543239204609</v>
      </c>
      <c r="Q193" s="20">
        <f t="shared" si="162"/>
        <v>384.79084614161474</v>
      </c>
      <c r="R193" s="59">
        <f t="shared" si="109"/>
        <v>674.82669858921702</v>
      </c>
      <c r="S193" s="59">
        <f ca="1">AVERAGE(OFFSET($R$3,0,0,'Données projet'!$E$9+1,1))-AVERAGE(OFFSET($H$3,0,0,'Données projet'!$E$9+1,1))</f>
        <v>219.4022220248072</v>
      </c>
      <c r="T193" s="59">
        <f t="shared" si="142"/>
        <v>199.30065726913725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2.4363750136012117</v>
      </c>
      <c r="AA193" s="21">
        <f>EXP(-LN(2)/25)*AA192+(1-EXP(-LN(2)/25))/(LN(2)/25)*Calculateur!V193*Calculateur!X193*VLOOKUP('Données projet'!$B$9,Paramètres!$A$1:$I$89,3,0)*0.475*44/12</f>
        <v>0.18450313604024998</v>
      </c>
      <c r="AB193" s="21">
        <f>EXP(-LN(2)/2)*AB192+(1-EXP(-LN(2)/2))/(LN(2)/2)*V193*Y193*VLOOKUP('Données projet'!$B$9,Paramètres!$A$1:$I$89,3,0)*0.475*44/12</f>
        <v>5.3756121887491958E-20</v>
      </c>
      <c r="AC193" s="22">
        <f t="shared" si="163"/>
        <v>2.6208781496414617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268.00000000000011</v>
      </c>
      <c r="AJ193" s="13">
        <f>AI193*VLOOKUP('Données projet'!$B$10,Paramètres!$A$1:$I$89,3,0)*VLOOKUP('Données projet'!$B$10,Paramètres!$A$1:$I$89,5,0)</f>
        <v>242.48640000000009</v>
      </c>
      <c r="AK193" s="13">
        <f t="shared" si="164"/>
        <v>58.974170235372476</v>
      </c>
      <c r="AL193" s="20">
        <f t="shared" si="165"/>
        <v>525.04382649327385</v>
      </c>
      <c r="AM193" s="59">
        <f t="shared" si="113"/>
        <v>815.07967894087619</v>
      </c>
      <c r="AN193" s="59">
        <f ca="1">AVERAGE(OFFSET($AM$3,0,0,'Données projet'!$E$10+1,1))-AVERAGE(OFFSET($H$3,0,0,'Données projet'!$E$10+1,1))</f>
        <v>406.64650428071837</v>
      </c>
      <c r="AO193" s="59">
        <f t="shared" si="144"/>
        <v>250.47702091764884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14.58626227746989</v>
      </c>
      <c r="AV193" s="21">
        <f>EXP(-LN(2)/25)*AV192+(1-EXP(-LN(2)/25))/(LN(2)/25)*Calculateur!AQ193*Calculateur!AS193*VLOOKUP('Données projet'!$B$10,Paramètres!$A$1:$I$89,3,0)*0.475*44/12</f>
        <v>0.35514072119352275</v>
      </c>
      <c r="AW193" s="21">
        <f>EXP(-LN(2)/2)*AW192+(1-EXP(-LN(2)/2))/(LN(2)/2)*AQ193*AT193*VLOOKUP('Données projet'!$B$10,Paramètres!$A$1:$I$89,3,0)*0.475*44/12</f>
        <v>3.1173512417311086E-11</v>
      </c>
      <c r="AX193" s="21">
        <f t="shared" si="166"/>
        <v>14.941402998694587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290.99999999999994</v>
      </c>
      <c r="BE193" s="13">
        <f>BD193*VLOOKUP('Données projet'!$B$11,Paramètres!$A$1:$I$89,3,0)*VLOOKUP('Données projet'!$B$11,Paramètres!$A$1:$I$89,5,0)</f>
        <v>276.91559999999993</v>
      </c>
      <c r="BF193" s="13">
        <f t="shared" si="167"/>
        <v>66.314766879144742</v>
      </c>
      <c r="BG193" s="20">
        <f t="shared" si="168"/>
        <v>597.79288898117682</v>
      </c>
      <c r="BH193" s="59">
        <f t="shared" si="116"/>
        <v>887.82874142877904</v>
      </c>
      <c r="BI193" s="59">
        <f ca="1">AVERAGE(OFFSET($BH$3,0,0,'Données projet'!$E$11+1,1))-AVERAGE(OFFSET($H$3,0,0,'Données projet'!$E$11+1,1))</f>
        <v>387.78453964980849</v>
      </c>
      <c r="BJ193" s="59">
        <f t="shared" si="146"/>
        <v>395.13533152274488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4.2195218842127913</v>
      </c>
      <c r="BQ193" s="21">
        <f>EXP(-LN(2)/25)*BQ192+(1-EXP(-LN(2)/25))/(LN(2)/25)*Calculateur!BL193*Calculateur!BN193*VLOOKUP('Données projet'!$B$11,Paramètres!$A$1:$I$89,3,0)*0.475*44/12</f>
        <v>9.8248727196529009E-2</v>
      </c>
      <c r="BR193" s="21">
        <f>EXP(-LN(2)/2)*BR192+(1-EXP(-LN(2)/2))/(LN(2)/2)*BL193*BO193*VLOOKUP('Données projet'!$B$11,Paramètres!$A$1:$I$89,3,0)*0.475*44/12</f>
        <v>1.2588143242429095E-18</v>
      </c>
      <c r="BS193" s="22">
        <f t="shared" si="169"/>
        <v>4.3177706114093199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">
      <c r="A194" s="10">
        <f t="shared" si="161"/>
        <v>191</v>
      </c>
      <c r="B194" s="73">
        <f>'Scénario référence'!$B$16*5+'Scénario référence'!$B$17*0+'Scénario référence'!$B$18*5</f>
        <v>5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">
        <f t="shared" si="140"/>
        <v>0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18.333333333333332</v>
      </c>
      <c r="H194" s="67">
        <f t="shared" si="110"/>
        <v>183.33333333333334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295</v>
      </c>
      <c r="O194" s="13">
        <f>N194*VLOOKUP('Données projet'!$B$9,Paramètres!$A$1:$I$89,3,0)*VLOOKUP('Données projet'!$B$9,Paramètres!$A$1:$I$89,5,0)</f>
        <v>176.41000000000003</v>
      </c>
      <c r="P194" s="13">
        <f t="shared" si="141"/>
        <v>44.522543239204609</v>
      </c>
      <c r="Q194" s="20">
        <f t="shared" si="162"/>
        <v>384.79084614161474</v>
      </c>
      <c r="R194" s="59">
        <f t="shared" si="109"/>
        <v>674.88390251052158</v>
      </c>
      <c r="S194" s="59">
        <f ca="1">AVERAGE(OFFSET($R$3,0,0,'Données projet'!$E$9+1,1))-AVERAGE(OFFSET($H$3,0,0,'Données projet'!$E$9+1,1))</f>
        <v>219.4022220248072</v>
      </c>
      <c r="T194" s="59">
        <f t="shared" si="142"/>
        <v>199.30065726913725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2.3885991856265156</v>
      </c>
      <c r="AA194" s="21">
        <f>EXP(-LN(2)/25)*AA193+(1-EXP(-LN(2)/25))/(LN(2)/25)*Calculateur!V194*Calculateur!X194*VLOOKUP('Données projet'!$B$9,Paramètres!$A$1:$I$89,3,0)*0.475*44/12</f>
        <v>0.17945788808263111</v>
      </c>
      <c r="AB194" s="21">
        <f>EXP(-LN(2)/2)*AB193+(1-EXP(-LN(2)/2))/(LN(2)/2)*V194*Y194*VLOOKUP('Données projet'!$B$9,Paramètres!$A$1:$I$89,3,0)*0.475*44/12</f>
        <v>3.8011318316936159E-20</v>
      </c>
      <c r="AC194" s="22">
        <f t="shared" si="163"/>
        <v>2.5680570737091468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268.00000000000011</v>
      </c>
      <c r="AJ194" s="13">
        <f>AI194*VLOOKUP('Données projet'!$B$10,Paramètres!$A$1:$I$89,3,0)*VLOOKUP('Données projet'!$B$10,Paramètres!$A$1:$I$89,5,0)</f>
        <v>242.48640000000009</v>
      </c>
      <c r="AK194" s="13">
        <f t="shared" si="164"/>
        <v>58.974170235372476</v>
      </c>
      <c r="AL194" s="20">
        <f t="shared" si="165"/>
        <v>525.04382649327385</v>
      </c>
      <c r="AM194" s="59">
        <f t="shared" si="113"/>
        <v>815.13688286218076</v>
      </c>
      <c r="AN194" s="59">
        <f ca="1">AVERAGE(OFFSET($AM$3,0,0,'Données projet'!$E$10+1,1))-AVERAGE(OFFSET($H$3,0,0,'Données projet'!$E$10+1,1))</f>
        <v>406.64650428071837</v>
      </c>
      <c r="AO194" s="59">
        <f t="shared" si="144"/>
        <v>250.47702091764884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14.300234570950215</v>
      </c>
      <c r="AV194" s="21">
        <f>EXP(-LN(2)/25)*AV193+(1-EXP(-LN(2)/25))/(LN(2)/25)*Calculateur!AQ194*Calculateur!AS194*VLOOKUP('Données projet'!$B$10,Paramètres!$A$1:$I$89,3,0)*0.475*44/12</f>
        <v>0.34542937949644703</v>
      </c>
      <c r="AW194" s="21">
        <f>EXP(-LN(2)/2)*AW193+(1-EXP(-LN(2)/2))/(LN(2)/2)*AQ194*AT194*VLOOKUP('Données projet'!$B$10,Paramètres!$A$1:$I$89,3,0)*0.475*44/12</f>
        <v>2.2043002023683713E-11</v>
      </c>
      <c r="AX194" s="21">
        <f t="shared" si="166"/>
        <v>14.645663950468705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290.99999999999994</v>
      </c>
      <c r="BE194" s="13">
        <f>BD194*VLOOKUP('Données projet'!$B$11,Paramètres!$A$1:$I$89,3,0)*VLOOKUP('Données projet'!$B$11,Paramètres!$A$1:$I$89,5,0)</f>
        <v>276.91559999999993</v>
      </c>
      <c r="BF194" s="13">
        <f t="shared" si="167"/>
        <v>66.314766879144742</v>
      </c>
      <c r="BG194" s="20">
        <f t="shared" si="168"/>
        <v>597.79288898117682</v>
      </c>
      <c r="BH194" s="59">
        <f t="shared" si="116"/>
        <v>887.8859453500836</v>
      </c>
      <c r="BI194" s="59">
        <f ca="1">AVERAGE(OFFSET($BH$3,0,0,'Données projet'!$E$11+1,1))-AVERAGE(OFFSET($H$3,0,0,'Données projet'!$E$11+1,1))</f>
        <v>387.78453964980849</v>
      </c>
      <c r="BJ194" s="59">
        <f t="shared" si="146"/>
        <v>395.13533152274488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4.1367796337176008</v>
      </c>
      <c r="BQ194" s="21">
        <f>EXP(-LN(2)/25)*BQ193+(1-EXP(-LN(2)/25))/(LN(2)/25)*Calculateur!BL194*Calculateur!BN194*VLOOKUP('Données projet'!$B$11,Paramètres!$A$1:$I$89,3,0)*0.475*44/12</f>
        <v>9.5562110584663906E-2</v>
      </c>
      <c r="BR194" s="21">
        <f>EXP(-LN(2)/2)*BR193+(1-EXP(-LN(2)/2))/(LN(2)/2)*BL194*BO194*VLOOKUP('Données projet'!$B$11,Paramètres!$A$1:$I$89,3,0)*0.475*44/12</f>
        <v>8.9011614492692268E-19</v>
      </c>
      <c r="BS194" s="22">
        <f t="shared" si="169"/>
        <v>4.2323417443022651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">
      <c r="A195" s="10">
        <f t="shared" si="161"/>
        <v>192</v>
      </c>
      <c r="B195" s="73">
        <f>'Scénario référence'!$B$16*5+'Scénario référence'!$B$17*0+'Scénario référence'!$B$18*5</f>
        <v>5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">
        <f t="shared" si="140"/>
        <v>0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18.333333333333332</v>
      </c>
      <c r="H195" s="67">
        <f t="shared" si="110"/>
        <v>183.33333333333334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295</v>
      </c>
      <c r="O195" s="13">
        <f>N195*VLOOKUP('Données projet'!$B$9,Paramètres!$A$1:$I$89,3,0)*VLOOKUP('Données projet'!$B$9,Paramètres!$A$1:$I$89,5,0)</f>
        <v>176.41000000000003</v>
      </c>
      <c r="P195" s="13">
        <f t="shared" si="141"/>
        <v>44.522543239204609</v>
      </c>
      <c r="Q195" s="20">
        <f t="shared" si="162"/>
        <v>384.79084614161474</v>
      </c>
      <c r="R195" s="59">
        <f t="shared" ref="R195:R203" si="191">Q195+(I195+J195)*44/12</f>
        <v>674.94011407168045</v>
      </c>
      <c r="S195" s="59">
        <f ca="1">AVERAGE(OFFSET($R$3,0,0,'Données projet'!$E$9+1,1))-AVERAGE(OFFSET($H$3,0,0,'Données projet'!$E$9+1,1))</f>
        <v>219.4022220248072</v>
      </c>
      <c r="T195" s="59">
        <f t="shared" si="142"/>
        <v>199.30065726913725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2.3417602124980257</v>
      </c>
      <c r="AA195" s="21">
        <f>EXP(-LN(2)/25)*AA194+(1-EXP(-LN(2)/25))/(LN(2)/25)*Calculateur!V195*Calculateur!X195*VLOOKUP('Données projet'!$B$9,Paramètres!$A$1:$I$89,3,0)*0.475*44/12</f>
        <v>0.17455060269573139</v>
      </c>
      <c r="AB195" s="21">
        <f>EXP(-LN(2)/2)*AB194+(1-EXP(-LN(2)/2))/(LN(2)/2)*V195*Y195*VLOOKUP('Données projet'!$B$9,Paramètres!$A$1:$I$89,3,0)*0.475*44/12</f>
        <v>2.6878060943745985E-20</v>
      </c>
      <c r="AC195" s="22">
        <f t="shared" si="163"/>
        <v>2.5163108151937572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268.00000000000011</v>
      </c>
      <c r="AJ195" s="13">
        <f>AI195*VLOOKUP('Données projet'!$B$10,Paramètres!$A$1:$I$89,3,0)*VLOOKUP('Données projet'!$B$10,Paramètres!$A$1:$I$89,5,0)</f>
        <v>242.48640000000009</v>
      </c>
      <c r="AK195" s="13">
        <f t="shared" si="164"/>
        <v>58.974170235372476</v>
      </c>
      <c r="AL195" s="20">
        <f t="shared" si="165"/>
        <v>525.04382649327385</v>
      </c>
      <c r="AM195" s="59">
        <f t="shared" si="113"/>
        <v>815.19309442333952</v>
      </c>
      <c r="AN195" s="59">
        <f ca="1">AVERAGE(OFFSET($AM$3,0,0,'Données projet'!$E$10+1,1))-AVERAGE(OFFSET($H$3,0,0,'Données projet'!$E$10+1,1))</f>
        <v>406.64650428071837</v>
      </c>
      <c r="AO195" s="59">
        <f t="shared" si="144"/>
        <v>250.47702091764884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14.019815693295715</v>
      </c>
      <c r="AV195" s="21">
        <f>EXP(-LN(2)/25)*AV194+(1-EXP(-LN(2)/25))/(LN(2)/25)*Calculateur!AQ195*Calculateur!AS195*VLOOKUP('Données projet'!$B$10,Paramètres!$A$1:$I$89,3,0)*0.475*44/12</f>
        <v>0.33598359494877511</v>
      </c>
      <c r="AW195" s="21">
        <f>EXP(-LN(2)/2)*AW194+(1-EXP(-LN(2)/2))/(LN(2)/2)*AQ195*AT195*VLOOKUP('Données projet'!$B$10,Paramètres!$A$1:$I$89,3,0)*0.475*44/12</f>
        <v>1.5586756208655543E-11</v>
      </c>
      <c r="AX195" s="21">
        <f t="shared" si="166"/>
        <v>14.355799288260078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290.99999999999994</v>
      </c>
      <c r="BE195" s="13">
        <f>BD195*VLOOKUP('Données projet'!$B$11,Paramètres!$A$1:$I$89,3,0)*VLOOKUP('Données projet'!$B$11,Paramètres!$A$1:$I$89,5,0)</f>
        <v>276.91559999999993</v>
      </c>
      <c r="BF195" s="13">
        <f t="shared" si="167"/>
        <v>66.314766879144742</v>
      </c>
      <c r="BG195" s="20">
        <f t="shared" si="168"/>
        <v>597.79288898117682</v>
      </c>
      <c r="BH195" s="59">
        <f t="shared" si="116"/>
        <v>887.94215691124248</v>
      </c>
      <c r="BI195" s="59">
        <f ca="1">AVERAGE(OFFSET($BH$3,0,0,'Données projet'!$E$11+1,1))-AVERAGE(OFFSET($H$3,0,0,'Données projet'!$E$11+1,1))</f>
        <v>387.78453964980849</v>
      </c>
      <c r="BJ195" s="59">
        <f t="shared" si="146"/>
        <v>395.13533152274488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4.055659908286831</v>
      </c>
      <c r="BQ195" s="21">
        <f>EXP(-LN(2)/25)*BQ194+(1-EXP(-LN(2)/25))/(LN(2)/25)*Calculateur!BL195*Calculateur!BN195*VLOOKUP('Données projet'!$B$11,Paramètres!$A$1:$I$89,3,0)*0.475*44/12</f>
        <v>9.2948959645333284E-2</v>
      </c>
      <c r="BR195" s="21">
        <f>EXP(-LN(2)/2)*BR194+(1-EXP(-LN(2)/2))/(LN(2)/2)*BL195*BO195*VLOOKUP('Données projet'!$B$11,Paramètres!$A$1:$I$89,3,0)*0.475*44/12</f>
        <v>6.2940716212145476E-19</v>
      </c>
      <c r="BS195" s="22">
        <f t="shared" si="169"/>
        <v>4.1486088679321647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">
      <c r="A196" s="10">
        <f t="shared" si="161"/>
        <v>193</v>
      </c>
      <c r="B196" s="73">
        <f>'Scénario référence'!$B$16*5+'Scénario référence'!$B$17*0+'Scénario référence'!$B$18*5</f>
        <v>5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">
        <f t="shared" si="140"/>
        <v>0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18.333333333333332</v>
      </c>
      <c r="H196" s="67">
        <f t="shared" ref="H196:H203" si="192">(B196+E196+F196)*44/12+(C196+D196)*0.475*44/12</f>
        <v>183.33333333333334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295</v>
      </c>
      <c r="O196" s="13">
        <f>N196*VLOOKUP('Données projet'!$B$9,Paramètres!$A$1:$I$89,3,0)*VLOOKUP('Données projet'!$B$9,Paramètres!$A$1:$I$89,5,0)</f>
        <v>176.41000000000003</v>
      </c>
      <c r="P196" s="13">
        <f t="shared" si="141"/>
        <v>44.522543239204609</v>
      </c>
      <c r="Q196" s="20">
        <f t="shared" si="162"/>
        <v>384.79084614161474</v>
      </c>
      <c r="R196" s="59">
        <f t="shared" si="191"/>
        <v>674.99535048792325</v>
      </c>
      <c r="S196" s="59">
        <f ca="1">AVERAGE(OFFSET($R$3,0,0,'Données projet'!$E$9+1,1))-AVERAGE(OFFSET($H$3,0,0,'Données projet'!$E$9+1,1))</f>
        <v>219.4022220248072</v>
      </c>
      <c r="T196" s="59">
        <f t="shared" si="142"/>
        <v>199.30065726913725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2.2958397230636329</v>
      </c>
      <c r="AA196" s="21">
        <f>EXP(-LN(2)/25)*AA195+(1-EXP(-LN(2)/25))/(LN(2)/25)*Calculateur!V196*Calculateur!X196*VLOOKUP('Données projet'!$B$9,Paramètres!$A$1:$I$89,3,0)*0.475*44/12</f>
        <v>0.16977750728579935</v>
      </c>
      <c r="AB196" s="21">
        <f>EXP(-LN(2)/2)*AB195+(1-EXP(-LN(2)/2))/(LN(2)/2)*V196*Y196*VLOOKUP('Données projet'!$B$9,Paramètres!$A$1:$I$89,3,0)*0.475*44/12</f>
        <v>1.9005659158468082E-20</v>
      </c>
      <c r="AC196" s="22">
        <f t="shared" si="163"/>
        <v>2.4656172303494324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268.00000000000011</v>
      </c>
      <c r="AJ196" s="13">
        <f>AI196*VLOOKUP('Données projet'!$B$10,Paramètres!$A$1:$I$89,3,0)*VLOOKUP('Données projet'!$B$10,Paramètres!$A$1:$I$89,5,0)</f>
        <v>242.48640000000009</v>
      </c>
      <c r="AK196" s="13">
        <f t="shared" si="164"/>
        <v>58.974170235372476</v>
      </c>
      <c r="AL196" s="20">
        <f t="shared" si="165"/>
        <v>525.04382649327385</v>
      </c>
      <c r="AM196" s="59">
        <f t="shared" ref="AM196:AM203" si="193">AL196+(AD196+AE196)*44/12</f>
        <v>815.24833083958242</v>
      </c>
      <c r="AN196" s="59">
        <f ca="1">AVERAGE(OFFSET($AM$3,0,0,'Données projet'!$E$10+1,1))-AVERAGE(OFFSET($H$3,0,0,'Données projet'!$E$10+1,1))</f>
        <v>406.64650428071837</v>
      </c>
      <c r="AO196" s="59">
        <f t="shared" si="144"/>
        <v>250.47702091764884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13.744895658793395</v>
      </c>
      <c r="AV196" s="21">
        <f>EXP(-LN(2)/25)*AV195+(1-EXP(-LN(2)/25))/(LN(2)/25)*Calculateur!AQ196*Calculateur!AS196*VLOOKUP('Données projet'!$B$10,Paramètres!$A$1:$I$89,3,0)*0.475*44/12</f>
        <v>0.32679610587629149</v>
      </c>
      <c r="AW196" s="21">
        <f>EXP(-LN(2)/2)*AW195+(1-EXP(-LN(2)/2))/(LN(2)/2)*AQ196*AT196*VLOOKUP('Données projet'!$B$10,Paramètres!$A$1:$I$89,3,0)*0.475*44/12</f>
        <v>1.1021501011841856E-11</v>
      </c>
      <c r="AX196" s="21">
        <f t="shared" si="166"/>
        <v>14.071691764680708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290.99999999999994</v>
      </c>
      <c r="BE196" s="13">
        <f>BD196*VLOOKUP('Données projet'!$B$11,Paramètres!$A$1:$I$89,3,0)*VLOOKUP('Données projet'!$B$11,Paramètres!$A$1:$I$89,5,0)</f>
        <v>276.91559999999993</v>
      </c>
      <c r="BF196" s="13">
        <f t="shared" si="167"/>
        <v>66.314766879144742</v>
      </c>
      <c r="BG196" s="20">
        <f t="shared" si="168"/>
        <v>597.79288898117682</v>
      </c>
      <c r="BH196" s="59">
        <f t="shared" ref="BH196:BH203" si="194">BG196+(AY196+AZ196)*44/12</f>
        <v>887.99739332748527</v>
      </c>
      <c r="BI196" s="59">
        <f ca="1">AVERAGE(OFFSET($BH$3,0,0,'Données projet'!$E$11+1,1))-AVERAGE(OFFSET($H$3,0,0,'Données projet'!$E$11+1,1))</f>
        <v>387.78453964980849</v>
      </c>
      <c r="BJ196" s="59">
        <f t="shared" si="146"/>
        <v>395.13533152274488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3.9761308911936117</v>
      </c>
      <c r="BQ196" s="21">
        <f>EXP(-LN(2)/25)*BQ195+(1-EXP(-LN(2)/25))/(LN(2)/25)*Calculateur!BL196*Calculateur!BN196*VLOOKUP('Données projet'!$B$11,Paramètres!$A$1:$I$89,3,0)*0.475*44/12</f>
        <v>9.0407265455858296E-2</v>
      </c>
      <c r="BR196" s="21">
        <f>EXP(-LN(2)/2)*BR195+(1-EXP(-LN(2)/2))/(LN(2)/2)*BL196*BO196*VLOOKUP('Données projet'!$B$11,Paramètres!$A$1:$I$89,3,0)*0.475*44/12</f>
        <v>4.4505807246346134E-19</v>
      </c>
      <c r="BS196" s="22">
        <f t="shared" si="169"/>
        <v>4.0665381566494698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">
      <c r="A197" s="10">
        <f t="shared" si="161"/>
        <v>194</v>
      </c>
      <c r="B197" s="73">
        <f>'Scénario référence'!$B$16*5+'Scénario référence'!$B$17*0+'Scénario référence'!$B$18*5</f>
        <v>5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">
        <f t="shared" ref="D197:D203" si="202">IFERROR(EXP(-1.0587+0.8836*LN(C197)+0.284),0)</f>
        <v>0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18.333333333333332</v>
      </c>
      <c r="H197" s="67">
        <f t="shared" si="192"/>
        <v>183.33333333333334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295</v>
      </c>
      <c r="O197" s="13">
        <f>N197*VLOOKUP('Données projet'!$B$9,Paramètres!$A$1:$I$89,3,0)*VLOOKUP('Données projet'!$B$9,Paramètres!$A$1:$I$89,5,0)</f>
        <v>176.41000000000003</v>
      </c>
      <c r="P197" s="13">
        <f t="shared" ref="P197:P203" si="203">EXP(-1.0587+0.8836*LN(O197)+0.284)</f>
        <v>44.522543239204609</v>
      </c>
      <c r="Q197" s="20">
        <f t="shared" si="162"/>
        <v>384.79084614161474</v>
      </c>
      <c r="R197" s="59">
        <f t="shared" si="191"/>
        <v>675.04962867583447</v>
      </c>
      <c r="S197" s="59">
        <f ca="1">AVERAGE(OFFSET($R$3,0,0,'Données projet'!$E$9+1,1))-AVERAGE(OFFSET($H$3,0,0,'Données projet'!$E$9+1,1))</f>
        <v>219.4022220248072</v>
      </c>
      <c r="T197" s="59">
        <f t="shared" ref="T197:T203" si="204">$T$3</f>
        <v>199.30065726913725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2.2508197064183157</v>
      </c>
      <c r="AA197" s="21">
        <f>EXP(-LN(2)/25)*AA196+(1-EXP(-LN(2)/25))/(LN(2)/25)*Calculateur!V197*Calculateur!X197*VLOOKUP('Données projet'!$B$9,Paramètres!$A$1:$I$89,3,0)*0.475*44/12</f>
        <v>0.16513493242085808</v>
      </c>
      <c r="AB197" s="21">
        <f>EXP(-LN(2)/2)*AB196+(1-EXP(-LN(2)/2))/(LN(2)/2)*V197*Y197*VLOOKUP('Données projet'!$B$9,Paramètres!$A$1:$I$89,3,0)*0.475*44/12</f>
        <v>1.3439030471872994E-20</v>
      </c>
      <c r="AC197" s="22">
        <f t="shared" si="163"/>
        <v>2.4159546388391737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268.00000000000011</v>
      </c>
      <c r="AJ197" s="13">
        <f>AI197*VLOOKUP('Données projet'!$B$10,Paramètres!$A$1:$I$89,3,0)*VLOOKUP('Données projet'!$B$10,Paramètres!$A$1:$I$89,5,0)</f>
        <v>242.48640000000009</v>
      </c>
      <c r="AK197" s="13">
        <f t="shared" si="164"/>
        <v>58.974170235372476</v>
      </c>
      <c r="AL197" s="20">
        <f t="shared" si="165"/>
        <v>525.04382649327385</v>
      </c>
      <c r="AM197" s="59">
        <f t="shared" si="193"/>
        <v>815.30260902749365</v>
      </c>
      <c r="AN197" s="59">
        <f ca="1">AVERAGE(OFFSET($AM$3,0,0,'Données projet'!$E$10+1,1))-AVERAGE(OFFSET($H$3,0,0,'Données projet'!$E$10+1,1))</f>
        <v>406.64650428071837</v>
      </c>
      <c r="AO197" s="59">
        <f t="shared" ref="AO197:AO203" si="205">$AO$3</f>
        <v>250.47702091764884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13.475366638483001</v>
      </c>
      <c r="AV197" s="21">
        <f>EXP(-LN(2)/25)*AV196+(1-EXP(-LN(2)/25))/(LN(2)/25)*Calculateur!AQ197*Calculateur!AS197*VLOOKUP('Données projet'!$B$10,Paramètres!$A$1:$I$89,3,0)*0.475*44/12</f>
        <v>0.31785984917564397</v>
      </c>
      <c r="AW197" s="21">
        <f>EXP(-LN(2)/2)*AW196+(1-EXP(-LN(2)/2))/(LN(2)/2)*AQ197*AT197*VLOOKUP('Données projet'!$B$10,Paramètres!$A$1:$I$89,3,0)*0.475*44/12</f>
        <v>7.7933781043277716E-12</v>
      </c>
      <c r="AX197" s="21">
        <f t="shared" si="166"/>
        <v>13.793226487666438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290.99999999999994</v>
      </c>
      <c r="BE197" s="13">
        <f>BD197*VLOOKUP('Données projet'!$B$11,Paramètres!$A$1:$I$89,3,0)*VLOOKUP('Données projet'!$B$11,Paramètres!$A$1:$I$89,5,0)</f>
        <v>276.91559999999993</v>
      </c>
      <c r="BF197" s="13">
        <f t="shared" si="167"/>
        <v>66.314766879144742</v>
      </c>
      <c r="BG197" s="20">
        <f t="shared" si="168"/>
        <v>597.79288898117682</v>
      </c>
      <c r="BH197" s="59">
        <f t="shared" si="194"/>
        <v>888.05167151539649</v>
      </c>
      <c r="BI197" s="59">
        <f ca="1">AVERAGE(OFFSET($BH$3,0,0,'Données projet'!$E$11+1,1))-AVERAGE(OFFSET($H$3,0,0,'Données projet'!$E$11+1,1))</f>
        <v>387.78453964980849</v>
      </c>
      <c r="BJ197" s="59">
        <f t="shared" ref="BJ197:BJ203" si="206">$BJ$3</f>
        <v>395.13533152274488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3.8981613896176799</v>
      </c>
      <c r="BQ197" s="21">
        <f>EXP(-LN(2)/25)*BQ196+(1-EXP(-LN(2)/25))/(LN(2)/25)*Calculateur!BL197*Calculateur!BN197*VLOOKUP('Données projet'!$B$11,Paramètres!$A$1:$I$89,3,0)*0.475*44/12</f>
        <v>8.7935074027656393E-2</v>
      </c>
      <c r="BR197" s="21">
        <f>EXP(-LN(2)/2)*BR196+(1-EXP(-LN(2)/2))/(LN(2)/2)*BL197*BO197*VLOOKUP('Données projet'!$B$11,Paramètres!$A$1:$I$89,3,0)*0.475*44/12</f>
        <v>3.1470358106072738E-19</v>
      </c>
      <c r="BS197" s="22">
        <f t="shared" si="169"/>
        <v>3.9860964636453362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">
      <c r="A198" s="10">
        <f t="shared" si="161"/>
        <v>195</v>
      </c>
      <c r="B198" s="73">
        <f>'Scénario référence'!$B$16*5+'Scénario référence'!$B$17*0+'Scénario référence'!$B$18*5</f>
        <v>5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">
        <f t="shared" si="202"/>
        <v>0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18.333333333333332</v>
      </c>
      <c r="H198" s="67">
        <f t="shared" si="192"/>
        <v>183.33333333333334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295</v>
      </c>
      <c r="O198" s="13">
        <f>N198*VLOOKUP('Données projet'!$B$9,Paramètres!$A$1:$I$89,3,0)*VLOOKUP('Données projet'!$B$9,Paramètres!$A$1:$I$89,5,0)</f>
        <v>176.41000000000003</v>
      </c>
      <c r="P198" s="13">
        <f t="shared" si="203"/>
        <v>44.522543239204609</v>
      </c>
      <c r="Q198" s="20">
        <f t="shared" si="162"/>
        <v>384.79084614161474</v>
      </c>
      <c r="R198" s="59">
        <f t="shared" si="191"/>
        <v>675.10296525853323</v>
      </c>
      <c r="S198" s="59">
        <f ca="1">AVERAGE(OFFSET($R$3,0,0,'Données projet'!$E$9+1,1))-AVERAGE(OFFSET($H$3,0,0,'Données projet'!$E$9+1,1))</f>
        <v>219.4022220248072</v>
      </c>
      <c r="T198" s="59">
        <f t="shared" si="204"/>
        <v>199.30065726913725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2.2066825048399146</v>
      </c>
      <c r="AA198" s="21">
        <f>EXP(-LN(2)/25)*AA197+(1-EXP(-LN(2)/25))/(LN(2)/25)*Calculateur!V198*Calculateur!X198*VLOOKUP('Données projet'!$B$9,Paramètres!$A$1:$I$89,3,0)*0.475*44/12</f>
        <v>0.16061930900974106</v>
      </c>
      <c r="AB198" s="21">
        <f>EXP(-LN(2)/2)*AB197+(1-EXP(-LN(2)/2))/(LN(2)/2)*V198*Y198*VLOOKUP('Données projet'!$B$9,Paramètres!$A$1:$I$89,3,0)*0.475*44/12</f>
        <v>9.5028295792340427E-21</v>
      </c>
      <c r="AC198" s="22">
        <f t="shared" si="163"/>
        <v>2.3673018138496555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268.00000000000011</v>
      </c>
      <c r="AJ198" s="13">
        <f>AI198*VLOOKUP('Données projet'!$B$10,Paramètres!$A$1:$I$89,3,0)*VLOOKUP('Données projet'!$B$10,Paramètres!$A$1:$I$89,5,0)</f>
        <v>242.48640000000009</v>
      </c>
      <c r="AK198" s="13">
        <f t="shared" si="164"/>
        <v>58.974170235372476</v>
      </c>
      <c r="AL198" s="20">
        <f t="shared" si="165"/>
        <v>525.04382649327385</v>
      </c>
      <c r="AM198" s="59">
        <f t="shared" si="193"/>
        <v>815.35594561019229</v>
      </c>
      <c r="AN198" s="59">
        <f ca="1">AVERAGE(OFFSET($AM$3,0,0,'Données projet'!$E$10+1,1))-AVERAGE(OFFSET($H$3,0,0,'Données projet'!$E$10+1,1))</f>
        <v>406.64650428071837</v>
      </c>
      <c r="AO198" s="59">
        <f t="shared" si="205"/>
        <v>250.47702091764884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13.211122917864424</v>
      </c>
      <c r="AV198" s="21">
        <f>EXP(-LN(2)/25)*AV197+(1-EXP(-LN(2)/25))/(LN(2)/25)*Calculateur!AQ198*Calculateur!AS198*VLOOKUP('Données projet'!$B$10,Paramètres!$A$1:$I$89,3,0)*0.475*44/12</f>
        <v>0.30916795488441301</v>
      </c>
      <c r="AW198" s="21">
        <f>EXP(-LN(2)/2)*AW197+(1-EXP(-LN(2)/2))/(LN(2)/2)*AQ198*AT198*VLOOKUP('Données projet'!$B$10,Paramètres!$A$1:$I$89,3,0)*0.475*44/12</f>
        <v>5.5107505059209281E-12</v>
      </c>
      <c r="AX198" s="21">
        <f t="shared" si="166"/>
        <v>13.520290872754348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290.99999999999994</v>
      </c>
      <c r="BE198" s="13">
        <f>BD198*VLOOKUP('Données projet'!$B$11,Paramètres!$A$1:$I$89,3,0)*VLOOKUP('Données projet'!$B$11,Paramètres!$A$1:$I$89,5,0)</f>
        <v>276.91559999999993</v>
      </c>
      <c r="BF198" s="13">
        <f t="shared" si="167"/>
        <v>66.314766879144742</v>
      </c>
      <c r="BG198" s="20">
        <f t="shared" si="168"/>
        <v>597.79288898117682</v>
      </c>
      <c r="BH198" s="59">
        <f t="shared" si="194"/>
        <v>888.10500809809537</v>
      </c>
      <c r="BI198" s="59">
        <f ca="1">AVERAGE(OFFSET($BH$3,0,0,'Données projet'!$E$11+1,1))-AVERAGE(OFFSET($H$3,0,0,'Données projet'!$E$11+1,1))</f>
        <v>387.78453964980849</v>
      </c>
      <c r="BJ198" s="59">
        <f t="shared" si="206"/>
        <v>395.13533152274488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3.8217208224109522</v>
      </c>
      <c r="BQ198" s="21">
        <f>EXP(-LN(2)/25)*BQ197+(1-EXP(-LN(2)/25))/(LN(2)/25)*Calculateur!BL198*Calculateur!BN198*VLOOKUP('Données projet'!$B$11,Paramètres!$A$1:$I$89,3,0)*0.475*44/12</f>
        <v>8.5530484804065568E-2</v>
      </c>
      <c r="BR198" s="21">
        <f>EXP(-LN(2)/2)*BR197+(1-EXP(-LN(2)/2))/(LN(2)/2)*BL198*BO198*VLOOKUP('Données projet'!$B$11,Paramètres!$A$1:$I$89,3,0)*0.475*44/12</f>
        <v>2.2252903623173067E-19</v>
      </c>
      <c r="BS198" s="22">
        <f t="shared" si="169"/>
        <v>3.9072513072150179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">
      <c r="A199" s="10">
        <f t="shared" si="161"/>
        <v>196</v>
      </c>
      <c r="B199" s="73">
        <f>'Scénario référence'!$B$16*5+'Scénario référence'!$B$17*0+'Scénario référence'!$B$18*5</f>
        <v>5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">
        <f t="shared" si="202"/>
        <v>0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18.333333333333332</v>
      </c>
      <c r="H199" s="67">
        <f t="shared" si="192"/>
        <v>183.33333333333334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295</v>
      </c>
      <c r="O199" s="13">
        <f>N199*VLOOKUP('Données projet'!$B$9,Paramètres!$A$1:$I$89,3,0)*VLOOKUP('Données projet'!$B$9,Paramètres!$A$1:$I$89,5,0)</f>
        <v>176.41000000000003</v>
      </c>
      <c r="P199" s="13">
        <f t="shared" si="203"/>
        <v>44.522543239204609</v>
      </c>
      <c r="Q199" s="20">
        <f t="shared" si="162"/>
        <v>384.79084614161474</v>
      </c>
      <c r="R199" s="59">
        <f t="shared" si="191"/>
        <v>675.15537657076493</v>
      </c>
      <c r="S199" s="59">
        <f ca="1">AVERAGE(OFFSET($R$3,0,0,'Données projet'!$E$9+1,1))-AVERAGE(OFFSET($H$3,0,0,'Données projet'!$E$9+1,1))</f>
        <v>219.4022220248072</v>
      </c>
      <c r="T199" s="59">
        <f t="shared" si="204"/>
        <v>199.30065726913725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2.163410806863431</v>
      </c>
      <c r="AA199" s="21">
        <f>EXP(-LN(2)/25)*AA198+(1-EXP(-LN(2)/25))/(LN(2)/25)*Calculateur!V199*Calculateur!X199*VLOOKUP('Données projet'!$B$9,Paramètres!$A$1:$I$89,3,0)*0.475*44/12</f>
        <v>0.15622716555826732</v>
      </c>
      <c r="AB199" s="21">
        <f>EXP(-LN(2)/2)*AB198+(1-EXP(-LN(2)/2))/(LN(2)/2)*V199*Y199*VLOOKUP('Données projet'!$B$9,Paramètres!$A$1:$I$89,3,0)*0.475*44/12</f>
        <v>6.7195152359364985E-21</v>
      </c>
      <c r="AC199" s="22">
        <f t="shared" si="163"/>
        <v>2.3196379724216984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268.00000000000011</v>
      </c>
      <c r="AJ199" s="13">
        <f>AI199*VLOOKUP('Données projet'!$B$10,Paramètres!$A$1:$I$89,3,0)*VLOOKUP('Données projet'!$B$10,Paramètres!$A$1:$I$89,5,0)</f>
        <v>242.48640000000009</v>
      </c>
      <c r="AK199" s="13">
        <f t="shared" si="164"/>
        <v>58.974170235372476</v>
      </c>
      <c r="AL199" s="20">
        <f t="shared" si="165"/>
        <v>525.04382649327385</v>
      </c>
      <c r="AM199" s="59">
        <f t="shared" si="193"/>
        <v>815.40835692242399</v>
      </c>
      <c r="AN199" s="59">
        <f ca="1">AVERAGE(OFFSET($AM$3,0,0,'Données projet'!$E$10+1,1))-AVERAGE(OFFSET($H$3,0,0,'Données projet'!$E$10+1,1))</f>
        <v>406.64650428071837</v>
      </c>
      <c r="AO199" s="59">
        <f t="shared" si="205"/>
        <v>250.47702091764884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12.952060855434421</v>
      </c>
      <c r="AV199" s="21">
        <f>EXP(-LN(2)/25)*AV198+(1-EXP(-LN(2)/25))/(LN(2)/25)*Calculateur!AQ199*Calculateur!AS199*VLOOKUP('Données projet'!$B$10,Paramètres!$A$1:$I$89,3,0)*0.475*44/12</f>
        <v>0.30071374089966263</v>
      </c>
      <c r="AW199" s="21">
        <f>EXP(-LN(2)/2)*AW198+(1-EXP(-LN(2)/2))/(LN(2)/2)*AQ199*AT199*VLOOKUP('Données projet'!$B$10,Paramètres!$A$1:$I$89,3,0)*0.475*44/12</f>
        <v>3.8966890521638858E-12</v>
      </c>
      <c r="AX199" s="21">
        <f t="shared" si="166"/>
        <v>13.252774596337982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290.99999999999994</v>
      </c>
      <c r="BE199" s="13">
        <f>BD199*VLOOKUP('Données projet'!$B$11,Paramètres!$A$1:$I$89,3,0)*VLOOKUP('Données projet'!$B$11,Paramètres!$A$1:$I$89,5,0)</f>
        <v>276.91559999999993</v>
      </c>
      <c r="BF199" s="13">
        <f t="shared" si="167"/>
        <v>66.314766879144742</v>
      </c>
      <c r="BG199" s="20">
        <f t="shared" si="168"/>
        <v>597.79288898117682</v>
      </c>
      <c r="BH199" s="59">
        <f t="shared" si="194"/>
        <v>888.15741941032707</v>
      </c>
      <c r="BI199" s="59">
        <f ca="1">AVERAGE(OFFSET($BH$3,0,0,'Données projet'!$E$11+1,1))-AVERAGE(OFFSET($H$3,0,0,'Données projet'!$E$11+1,1))</f>
        <v>387.78453964980849</v>
      </c>
      <c r="BJ199" s="59">
        <f t="shared" si="206"/>
        <v>395.13533152274488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3.746779208103006</v>
      </c>
      <c r="BQ199" s="21">
        <f>EXP(-LN(2)/25)*BQ198+(1-EXP(-LN(2)/25))/(LN(2)/25)*Calculateur!BL199*Calculateur!BN199*VLOOKUP('Données projet'!$B$11,Paramètres!$A$1:$I$89,3,0)*0.475*44/12</f>
        <v>8.3191649199245682E-2</v>
      </c>
      <c r="BR199" s="21">
        <f>EXP(-LN(2)/2)*BR198+(1-EXP(-LN(2)/2))/(LN(2)/2)*BL199*BO199*VLOOKUP('Données projet'!$B$11,Paramètres!$A$1:$I$89,3,0)*0.475*44/12</f>
        <v>1.5735179053036369E-19</v>
      </c>
      <c r="BS199" s="22">
        <f t="shared" si="169"/>
        <v>3.8299708573022517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">
      <c r="A200" s="10">
        <f t="shared" si="161"/>
        <v>197</v>
      </c>
      <c r="B200" s="73">
        <f>'Scénario référence'!$B$16*5+'Scénario référence'!$B$17*0+'Scénario référence'!$B$18*5</f>
        <v>5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">
        <f t="shared" si="202"/>
        <v>0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18.333333333333332</v>
      </c>
      <c r="H200" s="67">
        <f t="shared" si="192"/>
        <v>183.33333333333334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295</v>
      </c>
      <c r="O200" s="13">
        <f>N200*VLOOKUP('Données projet'!$B$9,Paramètres!$A$1:$I$89,3,0)*VLOOKUP('Données projet'!$B$9,Paramètres!$A$1:$I$89,5,0)</f>
        <v>176.41000000000003</v>
      </c>
      <c r="P200" s="13">
        <f t="shared" si="203"/>
        <v>44.522543239204609</v>
      </c>
      <c r="Q200" s="20">
        <f t="shared" si="162"/>
        <v>384.79084614161474</v>
      </c>
      <c r="R200" s="59">
        <f t="shared" si="191"/>
        <v>675.20687866390358</v>
      </c>
      <c r="S200" s="59">
        <f ca="1">AVERAGE(OFFSET($R$3,0,0,'Données projet'!$E$9+1,1))-AVERAGE(OFFSET($H$3,0,0,'Données projet'!$E$9+1,1))</f>
        <v>219.4022220248072</v>
      </c>
      <c r="T200" s="59">
        <f t="shared" si="204"/>
        <v>199.30065726913725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2.1209876404911365</v>
      </c>
      <c r="AA200" s="21">
        <f>EXP(-LN(2)/25)*AA199+(1-EXP(-LN(2)/25))/(LN(2)/25)*Calculateur!V200*Calculateur!X200*VLOOKUP('Données projet'!$B$9,Paramètres!$A$1:$I$89,3,0)*0.475*44/12</f>
        <v>0.15195512550044693</v>
      </c>
      <c r="AB200" s="21">
        <f>EXP(-LN(2)/2)*AB199+(1-EXP(-LN(2)/2))/(LN(2)/2)*V200*Y200*VLOOKUP('Données projet'!$B$9,Paramètres!$A$1:$I$89,3,0)*0.475*44/12</f>
        <v>4.7514147896170221E-21</v>
      </c>
      <c r="AC200" s="22">
        <f t="shared" si="163"/>
        <v>2.2729427659915835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268.00000000000011</v>
      </c>
      <c r="AJ200" s="13">
        <f>AI200*VLOOKUP('Données projet'!$B$10,Paramètres!$A$1:$I$89,3,0)*VLOOKUP('Données projet'!$B$10,Paramètres!$A$1:$I$89,5,0)</f>
        <v>242.48640000000009</v>
      </c>
      <c r="AK200" s="13">
        <f t="shared" si="164"/>
        <v>58.974170235372476</v>
      </c>
      <c r="AL200" s="20">
        <f t="shared" si="165"/>
        <v>525.04382649327385</v>
      </c>
      <c r="AM200" s="59">
        <f t="shared" si="193"/>
        <v>815.45985901556264</v>
      </c>
      <c r="AN200" s="59">
        <f ca="1">AVERAGE(OFFSET($AM$3,0,0,'Données projet'!$E$10+1,1))-AVERAGE(OFFSET($H$3,0,0,'Données projet'!$E$10+1,1))</f>
        <v>406.64650428071837</v>
      </c>
      <c r="AO200" s="59">
        <f t="shared" si="205"/>
        <v>250.47702091764884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12.698078842036416</v>
      </c>
      <c r="AV200" s="21">
        <f>EXP(-LN(2)/25)*AV199+(1-EXP(-LN(2)/25))/(LN(2)/25)*Calculateur!AQ200*Calculateur!AS200*VLOOKUP('Données projet'!$B$10,Paramètres!$A$1:$I$89,3,0)*0.475*44/12</f>
        <v>0.29249070784091302</v>
      </c>
      <c r="AW200" s="21">
        <f>EXP(-LN(2)/2)*AW199+(1-EXP(-LN(2)/2))/(LN(2)/2)*AQ200*AT200*VLOOKUP('Données projet'!$B$10,Paramètres!$A$1:$I$89,3,0)*0.475*44/12</f>
        <v>2.7553752529604641E-12</v>
      </c>
      <c r="AX200" s="21">
        <f t="shared" si="166"/>
        <v>12.990569549880085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290.99999999999994</v>
      </c>
      <c r="BE200" s="13">
        <f>BD200*VLOOKUP('Données projet'!$B$11,Paramètres!$A$1:$I$89,3,0)*VLOOKUP('Données projet'!$B$11,Paramètres!$A$1:$I$89,5,0)</f>
        <v>276.91559999999993</v>
      </c>
      <c r="BF200" s="13">
        <f t="shared" si="167"/>
        <v>66.314766879144742</v>
      </c>
      <c r="BG200" s="20">
        <f t="shared" si="168"/>
        <v>597.79288898117682</v>
      </c>
      <c r="BH200" s="59">
        <f t="shared" si="194"/>
        <v>888.2089215034656</v>
      </c>
      <c r="BI200" s="59">
        <f ca="1">AVERAGE(OFFSET($BH$3,0,0,'Données projet'!$E$11+1,1))-AVERAGE(OFFSET($H$3,0,0,'Données projet'!$E$11+1,1))</f>
        <v>387.78453964980849</v>
      </c>
      <c r="BJ200" s="59">
        <f t="shared" si="206"/>
        <v>395.13533152274488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3.6733071531417676</v>
      </c>
      <c r="BQ200" s="21">
        <f>EXP(-LN(2)/25)*BQ199+(1-EXP(-LN(2)/25))/(LN(2)/25)*Calculateur!BL200*Calculateur!BN200*VLOOKUP('Données projet'!$B$11,Paramètres!$A$1:$I$89,3,0)*0.475*44/12</f>
        <v>8.0916769177033609E-2</v>
      </c>
      <c r="BR200" s="21">
        <f>EXP(-LN(2)/2)*BR199+(1-EXP(-LN(2)/2))/(LN(2)/2)*BL200*BO200*VLOOKUP('Données projet'!$B$11,Paramètres!$A$1:$I$89,3,0)*0.475*44/12</f>
        <v>1.1126451811586534E-19</v>
      </c>
      <c r="BS200" s="22">
        <f t="shared" si="169"/>
        <v>3.7542239223188014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">
      <c r="A201" s="10">
        <f>A200+1</f>
        <v>198</v>
      </c>
      <c r="B201" s="73">
        <f>'Scénario référence'!$B$16*5+'Scénario référence'!$B$17*0+'Scénario référence'!$B$18*5</f>
        <v>5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">
        <f t="shared" si="202"/>
        <v>0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18.333333333333332</v>
      </c>
      <c r="H201" s="67">
        <f t="shared" si="192"/>
        <v>183.33333333333334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295</v>
      </c>
      <c r="O201" s="13">
        <f>N201*VLOOKUP('Données projet'!$B$9,Paramètres!$A$1:$I$89,3,0)*VLOOKUP('Données projet'!$B$9,Paramètres!$A$1:$I$89,5,0)</f>
        <v>176.41000000000003</v>
      </c>
      <c r="P201" s="13">
        <f t="shared" si="203"/>
        <v>44.522543239204609</v>
      </c>
      <c r="Q201" s="20">
        <f t="shared" si="162"/>
        <v>384.79084614161474</v>
      </c>
      <c r="R201" s="59">
        <f t="shared" si="191"/>
        <v>675.25748731086765</v>
      </c>
      <c r="S201" s="59">
        <f ca="1">AVERAGE(OFFSET($R$3,0,0,'Données projet'!$E$9+1,1))-AVERAGE(OFFSET($H$3,0,0,'Données projet'!$E$9+1,1))</f>
        <v>219.4022220248072</v>
      </c>
      <c r="T201" s="59">
        <f t="shared" si="204"/>
        <v>199.30065726913725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2.0793963665358262</v>
      </c>
      <c r="AA201" s="21">
        <f>EXP(-LN(2)/25)*AA200+(1-EXP(-LN(2)/25))/(LN(2)/25)*Calculateur!V201*Calculateur!X201*VLOOKUP('Données projet'!$B$9,Paramètres!$A$1:$I$89,3,0)*0.475*44/12</f>
        <v>0.14779990460266446</v>
      </c>
      <c r="AB201" s="21">
        <f>EXP(-LN(2)/2)*AB200+(1-EXP(-LN(2)/2))/(LN(2)/2)*V201*Y201*VLOOKUP('Données projet'!$B$9,Paramètres!$A$1:$I$89,3,0)*0.475*44/12</f>
        <v>3.3597576179682496E-21</v>
      </c>
      <c r="AC201" s="22">
        <f t="shared" si="163"/>
        <v>2.2271962711384905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268.00000000000011</v>
      </c>
      <c r="AJ201" s="13">
        <f>AI201*VLOOKUP('Données projet'!$B$10,Paramètres!$A$1:$I$89,3,0)*VLOOKUP('Données projet'!$B$10,Paramètres!$A$1:$I$89,5,0)</f>
        <v>242.48640000000009</v>
      </c>
      <c r="AK201" s="13">
        <f t="shared" si="164"/>
        <v>58.974170235372476</v>
      </c>
      <c r="AL201" s="20">
        <f t="shared" si="165"/>
        <v>525.04382649327385</v>
      </c>
      <c r="AM201" s="59">
        <f t="shared" si="193"/>
        <v>815.51046766252671</v>
      </c>
      <c r="AN201" s="59">
        <f ca="1">AVERAGE(OFFSET($AM$3,0,0,'Données projet'!$E$10+1,1))-AVERAGE(OFFSET($H$3,0,0,'Données projet'!$E$10+1,1))</f>
        <v>406.64650428071837</v>
      </c>
      <c r="AO201" s="59">
        <f t="shared" si="205"/>
        <v>250.47702091764884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12.449077261007414</v>
      </c>
      <c r="AV201" s="21">
        <f>EXP(-LN(2)/25)*AV200+(1-EXP(-LN(2)/25))/(LN(2)/25)*Calculateur!AQ201*Calculateur!AS201*VLOOKUP('Données projet'!$B$10,Paramètres!$A$1:$I$89,3,0)*0.475*44/12</f>
        <v>0.28449253405358543</v>
      </c>
      <c r="AW201" s="21">
        <f>EXP(-LN(2)/2)*AW200+(1-EXP(-LN(2)/2))/(LN(2)/2)*AQ201*AT201*VLOOKUP('Données projet'!$B$10,Paramètres!$A$1:$I$89,3,0)*0.475*44/12</f>
        <v>1.9483445260819429E-12</v>
      </c>
      <c r="AX201" s="21">
        <f t="shared" si="166"/>
        <v>12.733569795062948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290.99999999999994</v>
      </c>
      <c r="BE201" s="13">
        <f>BD201*VLOOKUP('Données projet'!$B$11,Paramètres!$A$1:$I$89,3,0)*VLOOKUP('Données projet'!$B$11,Paramètres!$A$1:$I$89,5,0)</f>
        <v>276.91559999999993</v>
      </c>
      <c r="BF201" s="13">
        <f t="shared" si="167"/>
        <v>66.314766879144742</v>
      </c>
      <c r="BG201" s="20">
        <f t="shared" si="168"/>
        <v>597.79288898117682</v>
      </c>
      <c r="BH201" s="59">
        <f t="shared" si="194"/>
        <v>888.25953015042978</v>
      </c>
      <c r="BI201" s="59">
        <f ca="1">AVERAGE(OFFSET($BH$3,0,0,'Données projet'!$E$11+1,1))-AVERAGE(OFFSET($H$3,0,0,'Données projet'!$E$11+1,1))</f>
        <v>387.78453964980849</v>
      </c>
      <c r="BJ201" s="59">
        <f t="shared" si="206"/>
        <v>395.13533152274488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3.6012758403647904</v>
      </c>
      <c r="BQ201" s="21">
        <f>EXP(-LN(2)/25)*BQ200+(1-EXP(-LN(2)/25))/(LN(2)/25)*Calculateur!BL201*Calculateur!BN201*VLOOKUP('Données projet'!$B$11,Paramètres!$A$1:$I$89,3,0)*0.475*44/12</f>
        <v>7.8704095868659674E-2</v>
      </c>
      <c r="BR201" s="21">
        <f>EXP(-LN(2)/2)*BR200+(1-EXP(-LN(2)/2))/(LN(2)/2)*BL201*BO201*VLOOKUP('Données projet'!$B$11,Paramètres!$A$1:$I$89,3,0)*0.475*44/12</f>
        <v>7.8675895265181845E-20</v>
      </c>
      <c r="BS201" s="22">
        <f t="shared" si="169"/>
        <v>3.6799799362334502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">
      <c r="A202" s="10">
        <f t="shared" si="161"/>
        <v>199</v>
      </c>
      <c r="B202" s="73">
        <f>'Scénario référence'!$B$16*5+'Scénario référence'!$B$17*0+'Scénario référence'!$B$18*5</f>
        <v>5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">
        <f t="shared" si="202"/>
        <v>0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18.333333333333332</v>
      </c>
      <c r="H202" s="67">
        <f t="shared" si="192"/>
        <v>183.33333333333334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295</v>
      </c>
      <c r="O202" s="13">
        <f>N202*VLOOKUP('Données projet'!$B$9,Paramètres!$A$1:$I$89,3,0)*VLOOKUP('Données projet'!$B$9,Paramètres!$A$1:$I$89,5,0)</f>
        <v>176.41000000000003</v>
      </c>
      <c r="P202" s="13">
        <f t="shared" si="203"/>
        <v>44.522543239204609</v>
      </c>
      <c r="Q202" s="20">
        <f t="shared" si="162"/>
        <v>384.79084614161474</v>
      </c>
      <c r="R202" s="59">
        <f t="shared" si="191"/>
        <v>675.30721801095092</v>
      </c>
      <c r="S202" s="59">
        <f ca="1">AVERAGE(OFFSET($R$3,0,0,'Données projet'!$E$9+1,1))-AVERAGE(OFFSET($H$3,0,0,'Données projet'!$E$9+1,1))</f>
        <v>219.4022220248072</v>
      </c>
      <c r="T202" s="59">
        <f t="shared" si="204"/>
        <v>199.30065726913725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2.0386206720946074</v>
      </c>
      <c r="AA202" s="21">
        <f>EXP(-LN(2)/25)*AA201+(1-EXP(-LN(2)/25))/(LN(2)/25)*Calculateur!V202*Calculateur!X202*VLOOKUP('Données projet'!$B$9,Paramètres!$A$1:$I$89,3,0)*0.475*44/12</f>
        <v>0.14375830843884541</v>
      </c>
      <c r="AB202" s="21">
        <f>EXP(-LN(2)/2)*AB201+(1-EXP(-LN(2)/2))/(LN(2)/2)*V202*Y202*VLOOKUP('Données projet'!$B$9,Paramètres!$A$1:$I$89,3,0)*0.475*44/12</f>
        <v>2.3757073948085114E-21</v>
      </c>
      <c r="AC202" s="22">
        <f t="shared" si="163"/>
        <v>2.1823789805334526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268.00000000000011</v>
      </c>
      <c r="AJ202" s="13">
        <f>AI202*VLOOKUP('Données projet'!$B$10,Paramètres!$A$1:$I$89,3,0)*VLOOKUP('Données projet'!$B$10,Paramètres!$A$1:$I$89,5,0)</f>
        <v>242.48640000000009</v>
      </c>
      <c r="AK202" s="13">
        <f t="shared" si="164"/>
        <v>58.974170235372476</v>
      </c>
      <c r="AL202" s="20">
        <f t="shared" si="165"/>
        <v>525.04382649327385</v>
      </c>
      <c r="AM202" s="59">
        <f t="shared" si="193"/>
        <v>815.56019836260998</v>
      </c>
      <c r="AN202" s="59">
        <f ca="1">AVERAGE(OFFSET($AM$3,0,0,'Données projet'!$E$10+1,1))-AVERAGE(OFFSET($H$3,0,0,'Données projet'!$E$10+1,1))</f>
        <v>406.64650428071837</v>
      </c>
      <c r="AO202" s="59">
        <f t="shared" si="205"/>
        <v>250.47702091764884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12.204958449106423</v>
      </c>
      <c r="AV202" s="21">
        <f>EXP(-LN(2)/25)*AV201+(1-EXP(-LN(2)/25))/(LN(2)/25)*Calculateur!AQ202*Calculateur!AS202*VLOOKUP('Données projet'!$B$10,Paramètres!$A$1:$I$89,3,0)*0.475*44/12</f>
        <v>0.27671307074907797</v>
      </c>
      <c r="AW202" s="21">
        <f>EXP(-LN(2)/2)*AW201+(1-EXP(-LN(2)/2))/(LN(2)/2)*AQ202*AT202*VLOOKUP('Données projet'!$B$10,Paramètres!$A$1:$I$89,3,0)*0.475*44/12</f>
        <v>1.377687626480232E-12</v>
      </c>
      <c r="AX202" s="21">
        <f t="shared" si="166"/>
        <v>12.48167151985688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290.99999999999994</v>
      </c>
      <c r="BE202" s="13">
        <f>BD202*VLOOKUP('Données projet'!$B$11,Paramètres!$A$1:$I$89,3,0)*VLOOKUP('Données projet'!$B$11,Paramètres!$A$1:$I$89,5,0)</f>
        <v>276.91559999999993</v>
      </c>
      <c r="BF202" s="13">
        <f t="shared" si="167"/>
        <v>66.314766879144742</v>
      </c>
      <c r="BG202" s="20">
        <f t="shared" si="168"/>
        <v>597.79288898117682</v>
      </c>
      <c r="BH202" s="59">
        <f t="shared" si="194"/>
        <v>888.30926085051294</v>
      </c>
      <c r="BI202" s="59">
        <f ca="1">AVERAGE(OFFSET($BH$3,0,0,'Données projet'!$E$11+1,1))-AVERAGE(OFFSET($H$3,0,0,'Données projet'!$E$11+1,1))</f>
        <v>387.78453964980849</v>
      </c>
      <c r="BJ202" s="59">
        <f t="shared" si="206"/>
        <v>395.13533152274488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3.530657017696607</v>
      </c>
      <c r="BQ202" s="21">
        <f>EXP(-LN(2)/25)*BQ201+(1-EXP(-LN(2)/25))/(LN(2)/25)*Calculateur!BL202*Calculateur!BN202*VLOOKUP('Données projet'!$B$11,Paramètres!$A$1:$I$89,3,0)*0.475*44/12</f>
        <v>7.655192822826265E-2</v>
      </c>
      <c r="BR202" s="21">
        <f>EXP(-LN(2)/2)*BR201+(1-EXP(-LN(2)/2))/(LN(2)/2)*BL202*BO202*VLOOKUP('Données projet'!$B$11,Paramètres!$A$1:$I$89,3,0)*0.475*44/12</f>
        <v>5.5632259057932668E-20</v>
      </c>
      <c r="BS202" s="22">
        <f t="shared" si="169"/>
        <v>3.6072089459248695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35">
      <c r="A203" s="10">
        <f>A202+1</f>
        <v>200</v>
      </c>
      <c r="B203" s="73">
        <f>'Scénario référence'!$B$16*5+'Scénario référence'!$B$17*0+'Scénario référence'!$B$18*5</f>
        <v>5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">
        <f t="shared" si="202"/>
        <v>0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18.333333333333332</v>
      </c>
      <c r="H203" s="67">
        <f t="shared" si="192"/>
        <v>183.33333333333334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295</v>
      </c>
      <c r="O203" s="13">
        <f>N203*VLOOKUP('Données projet'!$B$9,Paramètres!$A$1:$I$89,3,0)*VLOOKUP('Données projet'!$B$9,Paramètres!$A$1:$I$89,5,0)</f>
        <v>176.41000000000003</v>
      </c>
      <c r="P203" s="13">
        <f t="shared" si="203"/>
        <v>44.522543239204609</v>
      </c>
      <c r="Q203" s="20">
        <f t="shared" si="162"/>
        <v>384.79084614161474</v>
      </c>
      <c r="R203" s="59">
        <f t="shared" si="191"/>
        <v>675.35608599456884</v>
      </c>
      <c r="S203" s="59">
        <f ca="1">AVERAGE(OFFSET($R$3,0,0,'Données projet'!$E$9+1,1))-AVERAGE(OFFSET($H$3,0,0,'Données projet'!$E$9+1,1))</f>
        <v>219.4022220248072</v>
      </c>
      <c r="T203" s="59">
        <f t="shared" si="204"/>
        <v>199.30065726913725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1.9986445641506629</v>
      </c>
      <c r="AA203" s="21">
        <f>EXP(-LN(2)/25)*AA202+(1-EXP(-LN(2)/25))/(LN(2)/25)*Calculateur!V203*Calculateur!X203*VLOOKUP('Données projet'!$B$9,Paramètres!$A$1:$I$89,3,0)*0.475*44/12</f>
        <v>0.13982722993466429</v>
      </c>
      <c r="AB203" s="21">
        <f>EXP(-LN(2)/2)*AB202+(1-EXP(-LN(2)/2))/(LN(2)/2)*V203*Y203*VLOOKUP('Données projet'!$B$9,Paramètres!$A$1:$I$89,3,0)*0.475*44/12</f>
        <v>1.679878808984125E-21</v>
      </c>
      <c r="AC203" s="22">
        <f t="shared" si="163"/>
        <v>2.1384717940853273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268.00000000000011</v>
      </c>
      <c r="AJ203" s="13">
        <f>AI203*VLOOKUP('Données projet'!$B$10,Paramètres!$A$1:$I$89,3,0)*VLOOKUP('Données projet'!$B$10,Paramètres!$A$1:$I$89,5,0)</f>
        <v>242.48640000000009</v>
      </c>
      <c r="AK203" s="13">
        <f t="shared" si="164"/>
        <v>58.974170235372476</v>
      </c>
      <c r="AL203" s="20">
        <f t="shared" si="165"/>
        <v>525.04382649327385</v>
      </c>
      <c r="AM203" s="59">
        <f t="shared" si="193"/>
        <v>815.60906634622802</v>
      </c>
      <c r="AN203" s="59">
        <f ca="1">AVERAGE(OFFSET($AM$3,0,0,'Données projet'!$E$10+1,1))-AVERAGE(OFFSET($H$3,0,0,'Données projet'!$E$10+1,1))</f>
        <v>406.64650428071837</v>
      </c>
      <c r="AO203" s="59">
        <f t="shared" si="205"/>
        <v>250.47702091764884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11.965626658209038</v>
      </c>
      <c r="AV203" s="21">
        <f>EXP(-LN(2)/25)*AV202+(1-EXP(-LN(2)/25))/(LN(2)/25)*Calculateur!AQ203*Calculateur!AS203*VLOOKUP('Données projet'!$B$10,Paramètres!$A$1:$I$89,3,0)*0.475*44/12</f>
        <v>0.26914633727773646</v>
      </c>
      <c r="AW203" s="21">
        <f>EXP(-LN(2)/2)*AW202+(1-EXP(-LN(2)/2))/(LN(2)/2)*AQ203*AT203*VLOOKUP('Données projet'!$B$10,Paramètres!$A$1:$I$89,3,0)*0.475*44/12</f>
        <v>9.7417226304097145E-13</v>
      </c>
      <c r="AX203" s="21">
        <f t="shared" si="166"/>
        <v>12.234772995487747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290.99999999999994</v>
      </c>
      <c r="BE203" s="13">
        <f>BD203*VLOOKUP('Données projet'!$B$11,Paramètres!$A$1:$I$89,3,0)*VLOOKUP('Données projet'!$B$11,Paramètres!$A$1:$I$89,5,0)</f>
        <v>276.91559999999993</v>
      </c>
      <c r="BF203" s="13">
        <f t="shared" si="167"/>
        <v>66.314766879144742</v>
      </c>
      <c r="BG203" s="20">
        <f t="shared" si="168"/>
        <v>597.79288898117682</v>
      </c>
      <c r="BH203" s="59">
        <f t="shared" si="194"/>
        <v>888.35812883413087</v>
      </c>
      <c r="BI203" s="59">
        <f ca="1">AVERAGE(OFFSET($BH$3,0,0,'Données projet'!$E$11+1,1))-AVERAGE(OFFSET($H$3,0,0,'Données projet'!$E$11+1,1))</f>
        <v>387.78453964980849</v>
      </c>
      <c r="BJ203" s="59">
        <f t="shared" si="206"/>
        <v>395.13533152274488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3.461422987067718</v>
      </c>
      <c r="BQ203" s="21">
        <f>EXP(-LN(2)/25)*BQ202+(1-EXP(-LN(2)/25))/(LN(2)/25)*Calculateur!BL203*Calculateur!BN203*VLOOKUP('Données projet'!$B$11,Paramètres!$A$1:$I$89,3,0)*0.475*44/12</f>
        <v>7.4458611725169863E-2</v>
      </c>
      <c r="BR203" s="21">
        <f>EXP(-LN(2)/2)*BR202+(1-EXP(-LN(2)/2))/(LN(2)/2)*BL203*BO203*VLOOKUP('Données projet'!$B$11,Paramètres!$A$1:$I$89,3,0)*0.475*44/12</f>
        <v>3.9337947632590922E-20</v>
      </c>
      <c r="BS203" s="22">
        <f t="shared" si="169"/>
        <v>3.535881598792888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35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" thickBot="1" x14ac:dyDescent="0.35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1.2785659547808153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1.1852335095914694</v>
      </c>
      <c r="BA205" s="82">
        <f>EXP(LN('Données projet'!B88)/'Données projet'!A88)</f>
        <v>1.3093577517960842</v>
      </c>
      <c r="BV205" s="82" t="e">
        <f>EXP(LN('Données projet'!B114)/'Données projet'!A114)</f>
        <v>#NUM!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4" bestFit="1" customWidth="1"/>
    <col min="2" max="2" width="27.6640625" style="4" bestFit="1" customWidth="1"/>
    <col min="3" max="3" width="11.88671875" style="4" bestFit="1" customWidth="1"/>
    <col min="4" max="4" width="40" style="4" bestFit="1" customWidth="1"/>
    <col min="5" max="5" width="11.88671875" style="4" bestFit="1" customWidth="1"/>
    <col min="6" max="6" width="13.6640625" style="4" bestFit="1" customWidth="1"/>
    <col min="7" max="7" width="11.44140625" style="4" bestFit="1" customWidth="1"/>
    <col min="8" max="8" width="39" style="4" bestFit="1" customWidth="1"/>
    <col min="9" max="9" width="16.6640625" style="4" customWidth="1"/>
    <col min="10" max="14" width="11.44140625" style="4"/>
    <col min="15" max="15" width="23.44140625" style="4" bestFit="1" customWidth="1"/>
    <col min="16" max="16384" width="11.44140625" style="4"/>
  </cols>
  <sheetData>
    <row r="1" spans="1:16" ht="43.8" thickBot="1" x14ac:dyDescent="0.35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3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1" t="s">
        <v>238</v>
      </c>
      <c r="P2" s="121">
        <v>0</v>
      </c>
    </row>
    <row r="3" spans="1:16" ht="15" thickBot="1" x14ac:dyDescent="0.35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" thickBot="1" x14ac:dyDescent="0.35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3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1" t="s">
        <v>237</v>
      </c>
      <c r="P5" s="121">
        <v>0</v>
      </c>
    </row>
    <row r="6" spans="1:16" x14ac:dyDescent="0.3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3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" thickBot="1" x14ac:dyDescent="0.35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" thickBot="1" x14ac:dyDescent="0.35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3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1" t="s">
        <v>236</v>
      </c>
      <c r="P10" s="121">
        <v>0</v>
      </c>
    </row>
    <row r="11" spans="1:16" ht="15" thickBot="1" x14ac:dyDescent="0.35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3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3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3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3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3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3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3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3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3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3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3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3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3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3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3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3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3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3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3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3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3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3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3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3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3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3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3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3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3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3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3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3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3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3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3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3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3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3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3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3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3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3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3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3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3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3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3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3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3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3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3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3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3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3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3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3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3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3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3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3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3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3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3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3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3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3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3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3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3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3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3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3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3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3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3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3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3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" thickBot="1" x14ac:dyDescent="0.35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3">
      <c r="A93" s="122" t="s">
        <v>208</v>
      </c>
    </row>
    <row r="94" spans="1:14" x14ac:dyDescent="0.3">
      <c r="A94" s="122" t="s">
        <v>209</v>
      </c>
    </row>
    <row r="95" spans="1:14" x14ac:dyDescent="0.3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topLeftCell="A4" zoomScale="90" zoomScaleNormal="90" workbookViewId="0">
      <selection activeCell="N8" sqref="N8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2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4" thickBot="1" x14ac:dyDescent="0.55000000000000004">
      <c r="A2" s="272" t="s">
        <v>271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3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2.599999999999994" thickBot="1" x14ac:dyDescent="0.35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">
      <c r="A6" s="145" t="str">
        <f>IF('Données projet'!$B$9="","",'Données projet'!$B$9)</f>
        <v>Pin taeda</v>
      </c>
      <c r="B6" s="146">
        <f>'Données projet'!D9</f>
        <v>5.7600000000000007</v>
      </c>
      <c r="C6" s="147">
        <f ca="1">IF(OR('Données projet'!B9="",'Données projet'!C9="",'Données projet'!C9=0%),0,Calculateur!S3)</f>
        <v>219.4022220248072</v>
      </c>
      <c r="D6" s="147">
        <f>IF(OR('Données projet'!B9="",'Données projet'!C9="",'Données projet'!C9=0%),0,Calculateur!T3)</f>
        <v>199.30065726913725</v>
      </c>
      <c r="E6" s="147">
        <f ca="1">MIN(C6,D6)</f>
        <v>199.30065726913725</v>
      </c>
      <c r="F6" s="147">
        <f ca="1">E6*B6</f>
        <v>1147.9717858702306</v>
      </c>
      <c r="G6" s="147">
        <f ca="1">F6*(100%-'Données projet'!$C$24)*(100%-'Données projet'!$C$25)*(100%-'Données projet'!$C$26)*(100%-'Données projet'!$C$27)</f>
        <v>981.51587691904729</v>
      </c>
      <c r="H6" s="148">
        <f>IF(OR('Données projet'!B9="",'Données projet'!C9="",'Données projet'!C9=0%),0,AVERAGE(Calculateur!$AC$3:$AC$33)*B6)</f>
        <v>40.320407660003369</v>
      </c>
      <c r="I6" s="149">
        <f>H6*(100%-'Données projet'!$C$24)*(100%-'Données projet'!$C$25)*(100%-'Données projet'!$C$26)*(100%-'Données projet'!$C$27)</f>
        <v>34.473948549302882</v>
      </c>
      <c r="J6" s="150">
        <f>IF(OR('Données projet'!B9="",'Données projet'!C9="",'Données projet'!C9=0%),0,SUM(Calculateur!$V$3:$V$33)*VLOOKUP('Données projet'!$B$9,Paramètres!$A$1:$I$89,9,0)*B6)</f>
        <v>255.11040000000003</v>
      </c>
      <c r="K6" s="151">
        <f>J6*(100%-'Données projet'!$C$24)*(100%-'Données projet'!$C$25)*(100%-'Données projet'!$C$26)*(100%-'Données projet'!$C$27)</f>
        <v>218.119392</v>
      </c>
      <c r="L6" s="152">
        <f ca="1">G6+I6+K6</f>
        <v>1234.1092174683502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">
      <c r="A7" s="153" t="str">
        <f>IF('Données projet'!$B$10="","",'Données projet'!$B$10)</f>
        <v>Chêne sessile</v>
      </c>
      <c r="B7" s="154">
        <f>'Données projet'!D10</f>
        <v>0.32000000000000006</v>
      </c>
      <c r="C7" s="147">
        <f ca="1">IF(OR('Données projet'!B10="",'Données projet'!C10="",'Données projet'!C10=0%),0,Calculateur!AN3)</f>
        <v>406.64650428071837</v>
      </c>
      <c r="D7" s="147">
        <f>IF(OR('Données projet'!B10="",'Données projet'!C10="",'Données projet'!C10=0%),0,Calculateur!AO3)</f>
        <v>250.47702091764884</v>
      </c>
      <c r="E7" s="147">
        <f t="shared" ref="E7:E15" ca="1" si="0">MIN(C7,D7)</f>
        <v>250.47702091764884</v>
      </c>
      <c r="F7" s="147">
        <f t="shared" ref="F7:F15" ca="1" si="1">E7*B7</f>
        <v>80.15264669364764</v>
      </c>
      <c r="G7" s="147">
        <f ca="1">F7*(100%-'Données projet'!$C$24)*(100%-'Données projet'!$C$25)*(100%-'Données projet'!$C$26)*(100%-'Données projet'!$C$27)</f>
        <v>68.530512923068727</v>
      </c>
      <c r="H7" s="155">
        <f>IF(OR('Données projet'!B10="",'Données projet'!C10="",'Données projet'!C10=0%),0,AVERAGE(Calculateur!$AX$3:$AX$33)*B7)</f>
        <v>0</v>
      </c>
      <c r="I7" s="149">
        <f>H7*(100%-'Données projet'!$C$24)*(100%-'Données projet'!$C$25)*(100%-'Données projet'!$C$26)*(100%-'Données projet'!$C$27)</f>
        <v>0</v>
      </c>
      <c r="J7" s="150">
        <f>IF(OR('Données projet'!B10="",'Données projet'!C10="",'Données projet'!C10=0%),0,SUM(Calculateur!$AQ$3:$AQ$33)*VLOOKUP('Données projet'!$B$10,Paramètres!$A$1:$I$89,9,0)*B7)</f>
        <v>2.3200000000000003</v>
      </c>
      <c r="K7" s="151">
        <f>J7*(100%-'Données projet'!$C$24)*(100%-'Données projet'!$C$25)*(100%-'Données projet'!$C$26)*(100%-'Données projet'!$C$27)</f>
        <v>1.9836000000000005</v>
      </c>
      <c r="L7" s="152">
        <f t="shared" ref="L7:L15" ca="1" si="2">G7+I7+K7</f>
        <v>70.514112923068723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">
      <c r="A8" s="153" t="str">
        <f>IF('Données projet'!$B$11="","",'Données projet'!$B$11)</f>
        <v>Charme</v>
      </c>
      <c r="B8" s="154">
        <f>'Données projet'!D11</f>
        <v>0.32000000000000006</v>
      </c>
      <c r="C8" s="147">
        <f ca="1">IF(OR('Données projet'!B11="",'Données projet'!C11="",'Données projet'!C11=0%),0,Calculateur!BI3)</f>
        <v>387.78453964980849</v>
      </c>
      <c r="D8" s="147">
        <f>IF(OR('Données projet'!B11="",'Données projet'!C11="",'Données projet'!C11=0%),0,Calculateur!BJ3)</f>
        <v>395.13533152274488</v>
      </c>
      <c r="E8" s="147">
        <f t="shared" ca="1" si="0"/>
        <v>387.78453964980849</v>
      </c>
      <c r="F8" s="147">
        <f t="shared" ca="1" si="1"/>
        <v>124.09105268793874</v>
      </c>
      <c r="G8" s="147">
        <f ca="1">F8*(100%-'Données projet'!$C$24)*(100%-'Données projet'!$C$25)*(100%-'Données projet'!$C$26)*(100%-'Données projet'!$C$27)</f>
        <v>106.09785004818762</v>
      </c>
      <c r="H8" s="155">
        <f>IF(OR('Données projet'!B11="",'Données projet'!C11="",'Données projet'!C11=0%),0,AVERAGE(Calculateur!$BS$3:$BS$33)*B8)</f>
        <v>0.37589634831376911</v>
      </c>
      <c r="I8" s="149">
        <f>H8*(100%-'Données projet'!$C$24)*(100%-'Données projet'!$C$25)*(100%-'Données projet'!$C$26)*(100%-'Données projet'!$C$27)</f>
        <v>0.32139137780827259</v>
      </c>
      <c r="J8" s="150">
        <f>IF(OR('Données projet'!B11="",'Données projet'!C11="",'Données projet'!C11=0%),0,SUM(Calculateur!$BL$3:$BL$33)*VLOOKUP('Données projet'!$B$11,Paramètres!$A$1:$I$89,9,0)*B8)</f>
        <v>5.2800000000000011</v>
      </c>
      <c r="K8" s="151">
        <f>J8*(100%-'Données projet'!$C$24)*(100%-'Données projet'!$C$25)*(100%-'Données projet'!$C$26)*(100%-'Données projet'!$C$27)</f>
        <v>4.5144000000000011</v>
      </c>
      <c r="L8" s="152">
        <f t="shared" ca="1" si="2"/>
        <v>110.93364142599589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">
      <c r="A9" s="153" t="str">
        <f>IF('Données projet'!$B$12="","",'Données projet'!$B$12)</f>
        <v/>
      </c>
      <c r="B9" s="154">
        <f>'Données projet'!D12</f>
        <v>0</v>
      </c>
      <c r="C9" s="147">
        <f>IF(OR('Données projet'!B12="",'Données projet'!C12="",'Données projet'!C12=0%),0,Calculateur!CD3)</f>
        <v>0</v>
      </c>
      <c r="D9" s="147">
        <f>IF(OR('Données projet'!B12="",'Données projet'!C12="",'Données projet'!C12=0%),0,Calculateur!CE3)</f>
        <v>0</v>
      </c>
      <c r="E9" s="147">
        <f t="shared" si="0"/>
        <v>0</v>
      </c>
      <c r="F9" s="147">
        <f t="shared" si="1"/>
        <v>0</v>
      </c>
      <c r="G9" s="147">
        <f>F9*(100%-'Données projet'!$C$24)*(100%-'Données projet'!$C$25)*(100%-'Données projet'!$C$26)*(100%-'Données projet'!$C$27)</f>
        <v>0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35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35">
      <c r="A16" s="209"/>
      <c r="B16" s="213"/>
      <c r="C16" s="214"/>
      <c r="D16" s="23"/>
      <c r="E16" s="23"/>
      <c r="F16" s="165">
        <f t="shared" ref="F16:L16" ca="1" si="3">SUM(F6:F15)</f>
        <v>1352.2154852518172</v>
      </c>
      <c r="G16" s="166">
        <f t="shared" ca="1" si="3"/>
        <v>1156.1442398903037</v>
      </c>
      <c r="H16" s="167">
        <f t="shared" si="3"/>
        <v>40.696304008317135</v>
      </c>
      <c r="I16" s="167">
        <f t="shared" si="3"/>
        <v>34.795339927111158</v>
      </c>
      <c r="J16" s="168">
        <f t="shared" si="3"/>
        <v>262.71040000000005</v>
      </c>
      <c r="K16" s="168">
        <f t="shared" si="3"/>
        <v>224.617392</v>
      </c>
      <c r="L16" s="169">
        <f t="shared" ca="1" si="3"/>
        <v>1415.5569718174147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">
      <c r="A17" s="209"/>
      <c r="B17" s="213"/>
      <c r="C17" s="214"/>
      <c r="D17" s="23"/>
      <c r="E17" s="23"/>
      <c r="F17" s="284" t="s">
        <v>246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3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35">
      <c r="A21" s="170" t="str">
        <f>A6</f>
        <v>Pin taeda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3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35">
      <c r="A39" s="170" t="str">
        <f>A7</f>
        <v>Chêne sessile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3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35">
      <c r="A57" s="170" t="str">
        <f>A8</f>
        <v>Charme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3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35">
      <c r="A76" s="170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3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35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3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35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3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35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3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35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3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35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3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35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I11" zoomScale="80" zoomScaleNormal="80" workbookViewId="0">
      <selection activeCell="L26" sqref="L26:P27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1" customWidth="1"/>
    <col min="7" max="7" width="17.5546875" style="1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4" thickBot="1" x14ac:dyDescent="0.55000000000000004">
      <c r="A2" s="4"/>
      <c r="B2" s="272" t="s">
        <v>272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">
      <c r="A4" s="4"/>
      <c r="B4" s="4"/>
      <c r="C4" s="4"/>
      <c r="D4" s="4"/>
      <c r="E4" s="4"/>
      <c r="G4" s="4"/>
      <c r="H4" s="258" t="s">
        <v>315</v>
      </c>
      <c r="I4" s="258"/>
      <c r="K4" s="300" t="s">
        <v>253</v>
      </c>
      <c r="L4" s="301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35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55000000000000004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2" t="s">
        <v>310</v>
      </c>
      <c r="S7" s="293"/>
      <c r="T7" s="293"/>
      <c r="U7" s="293"/>
      <c r="V7" s="29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Pin taeda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1443.5128183817628</v>
      </c>
      <c r="U10" s="178">
        <f>'Données projet'!D9</f>
        <v>5.7600000000000007</v>
      </c>
      <c r="V10" s="177">
        <f>U10*T10</f>
        <v>8314.6338338789556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Chêne sessile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2048.0968695858842</v>
      </c>
      <c r="U11" s="178">
        <f>'Données projet'!D10</f>
        <v>0.32000000000000006</v>
      </c>
      <c r="V11" s="177">
        <f t="shared" ref="V11" si="0">U11*T11</f>
        <v>655.39099826748304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Charme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1034.8016888898883</v>
      </c>
      <c r="U12" s="178">
        <f>'Données projet'!D11</f>
        <v>0.32000000000000006</v>
      </c>
      <c r="V12" s="177">
        <f t="shared" ref="V12:V19" si="1">U12*T12</f>
        <v>331.13654044476431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/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8">
        <f>'Données projet'!D12</f>
        <v>0</v>
      </c>
      <c r="V13" s="177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">
      <c r="A14" s="46" t="s">
        <v>165</v>
      </c>
      <c r="B14" s="174" t="str">
        <f>IF('Données projet'!$B$9="","",'Données projet'!$B$9)</f>
        <v>Pin taeda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">
      <c r="A15" s="4"/>
      <c r="B15" s="4"/>
      <c r="C15" s="4"/>
      <c r="D15" s="4"/>
      <c r="E15" s="4"/>
      <c r="F15" s="230"/>
      <c r="G15" s="303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303"/>
      <c r="H16" s="190"/>
      <c r="I16" s="191"/>
      <c r="J16" s="202"/>
      <c r="K16" s="208"/>
      <c r="L16" s="300" t="s">
        <v>254</v>
      </c>
      <c r="M16" s="301"/>
      <c r="N16" s="2"/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">
      <c r="A17" s="49">
        <v>0</v>
      </c>
      <c r="B17" s="199" t="s">
        <v>132</v>
      </c>
      <c r="C17" s="198" t="s">
        <v>132</v>
      </c>
      <c r="D17" s="197" t="s">
        <v>132</v>
      </c>
      <c r="E17" s="193"/>
      <c r="F17" s="230"/>
      <c r="G17" s="303"/>
      <c r="J17" s="202"/>
      <c r="K17" s="208"/>
      <c r="L17" s="260" t="s">
        <v>289</v>
      </c>
      <c r="M17" s="262"/>
      <c r="N17" s="175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303"/>
      <c r="J18" s="202"/>
      <c r="K18" s="208"/>
      <c r="L18" s="260" t="s">
        <v>255</v>
      </c>
      <c r="M18" s="262"/>
      <c r="N18" s="192"/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303"/>
      <c r="H19" s="212" t="s">
        <v>178</v>
      </c>
      <c r="I19" s="212" t="s">
        <v>287</v>
      </c>
      <c r="J19" s="93"/>
      <c r="K19" s="173"/>
      <c r="L19" s="300" t="s">
        <v>288</v>
      </c>
      <c r="M19" s="301"/>
      <c r="N19" s="179">
        <f>N17*N18</f>
        <v>0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303"/>
      <c r="H20" s="190">
        <v>1</v>
      </c>
      <c r="I20" s="191">
        <f>2734.5*(1+10%)</f>
        <v>3007.9500000000003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2</v>
      </c>
      <c r="I21" s="191">
        <f>210*(1+10%)</f>
        <v>231.00000000000003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3</v>
      </c>
      <c r="I22" s="191">
        <f t="shared" ref="I22:I24" si="2">210*(1+10%)</f>
        <v>231.00000000000003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">
      <c r="A23" s="180">
        <f>'Données projet'!A36</f>
        <v>16</v>
      </c>
      <c r="B23" s="181">
        <f>'Données projet'!D36</f>
        <v>15</v>
      </c>
      <c r="C23" s="193">
        <f>7.6*1.1</f>
        <v>8.36</v>
      </c>
      <c r="D23" s="182">
        <f>B23*C23</f>
        <v>125.39999999999999</v>
      </c>
      <c r="E23" s="193">
        <f>75+(D23*12%)</f>
        <v>90.048000000000002</v>
      </c>
      <c r="F23" s="230"/>
      <c r="H23" s="190">
        <v>4</v>
      </c>
      <c r="I23" s="191">
        <f t="shared" si="2"/>
        <v>231.00000000000003</v>
      </c>
      <c r="K23" s="208"/>
      <c r="L23" s="302" t="s">
        <v>260</v>
      </c>
      <c r="M23" s="302"/>
      <c r="N23" s="302"/>
      <c r="O23" s="23"/>
      <c r="P23" s="23"/>
      <c r="Q23" s="234"/>
      <c r="R23" s="23"/>
      <c r="S23" s="36" t="s">
        <v>264</v>
      </c>
      <c r="T23" s="297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-14196.138141109845</v>
      </c>
      <c r="U23" s="297"/>
      <c r="V23" s="297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">
      <c r="A24" s="180">
        <f>'Données projet'!A37</f>
        <v>20</v>
      </c>
      <c r="B24" s="181">
        <f>'Données projet'!D37</f>
        <v>22</v>
      </c>
      <c r="C24" s="193">
        <f>13.2*1.1</f>
        <v>14.52</v>
      </c>
      <c r="D24" s="182">
        <f t="shared" ref="D24:D42" si="3">B24*C24</f>
        <v>319.44</v>
      </c>
      <c r="E24" s="193">
        <f t="shared" ref="E24:E31" si="4">75+(D24*12%)</f>
        <v>113.33279999999999</v>
      </c>
      <c r="F24" s="233"/>
      <c r="H24" s="190">
        <v>5</v>
      </c>
      <c r="I24" s="191">
        <f t="shared" si="2"/>
        <v>231.00000000000003</v>
      </c>
      <c r="K24" s="208"/>
      <c r="O24" s="23"/>
      <c r="P24" s="23"/>
      <c r="Q24" s="234"/>
      <c r="R24" s="23"/>
      <c r="S24" s="36" t="s">
        <v>261</v>
      </c>
      <c r="T24" s="298">
        <f ca="1">'Scénario référence'!$B$8*$M$30*'Données projet'!$C$5+('Scénario référence'!B9+'Scénario référence'!B10+'Scénario référence'!F8+'Scénario référence'!F9)*$N$19/(1+M4)^N16*'Données projet'!$C$5</f>
        <v>13933.774505576097</v>
      </c>
      <c r="U24" s="298"/>
      <c r="V24" s="298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">
      <c r="A25" s="180">
        <f>'Données projet'!A38</f>
        <v>24</v>
      </c>
      <c r="B25" s="181">
        <f>'Données projet'!D38</f>
        <v>31</v>
      </c>
      <c r="C25" s="193">
        <f>18.8*1.1</f>
        <v>20.680000000000003</v>
      </c>
      <c r="D25" s="182">
        <f t="shared" si="3"/>
        <v>641.08000000000015</v>
      </c>
      <c r="E25" s="193">
        <f t="shared" si="4"/>
        <v>151.92960000000002</v>
      </c>
      <c r="F25" s="233"/>
      <c r="H25" s="190"/>
      <c r="I25" s="191"/>
      <c r="K25" s="208"/>
      <c r="L25" s="130" t="s">
        <v>285</v>
      </c>
      <c r="M25" s="130"/>
      <c r="N25" s="130"/>
      <c r="O25" s="130"/>
      <c r="P25" s="192">
        <v>100</v>
      </c>
      <c r="Q25" s="234"/>
      <c r="R25" s="23"/>
      <c r="S25" s="186" t="s">
        <v>266</v>
      </c>
      <c r="T25" s="299">
        <f ca="1">T23-T24</f>
        <v>-28129.912646685942</v>
      </c>
      <c r="U25" s="299"/>
      <c r="V25" s="299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">
      <c r="A26" s="180">
        <f>'Données projet'!A39</f>
        <v>28</v>
      </c>
      <c r="B26" s="181">
        <f>'Données projet'!D39</f>
        <v>35</v>
      </c>
      <c r="C26" s="193">
        <f>37.28*1.1</f>
        <v>41.008000000000003</v>
      </c>
      <c r="D26" s="182">
        <f t="shared" si="3"/>
        <v>1435.2800000000002</v>
      </c>
      <c r="E26" s="193">
        <f t="shared" si="4"/>
        <v>247.23360000000002</v>
      </c>
      <c r="F26" s="233"/>
      <c r="G26" s="229"/>
      <c r="H26" s="190"/>
      <c r="I26" s="191"/>
      <c r="K26" s="208"/>
      <c r="L26" s="286" t="s">
        <v>258</v>
      </c>
      <c r="M26" s="287"/>
      <c r="N26" s="287"/>
      <c r="O26" s="287"/>
      <c r="P26" s="288"/>
      <c r="Q26" s="234"/>
      <c r="R26" s="23"/>
      <c r="S26" s="186" t="s">
        <v>265</v>
      </c>
      <c r="T26" s="296" t="str">
        <f ca="1">IF(T25&lt;0,"Votre projet est additionnel","Votre projet n'est pas additionnel")</f>
        <v>Votre projet est additionnel</v>
      </c>
      <c r="U26" s="296"/>
      <c r="V26" s="296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">
      <c r="A27" s="180">
        <f>'Données projet'!A40</f>
        <v>34</v>
      </c>
      <c r="B27" s="181">
        <f>'Données projet'!D40</f>
        <v>46</v>
      </c>
      <c r="C27" s="193">
        <f>37.28*1.1</f>
        <v>41.008000000000003</v>
      </c>
      <c r="D27" s="182">
        <f t="shared" si="3"/>
        <v>1886.3680000000002</v>
      </c>
      <c r="E27" s="193">
        <f t="shared" si="4"/>
        <v>301.36415999999997</v>
      </c>
      <c r="F27" s="233"/>
      <c r="G27" s="229"/>
      <c r="H27" s="190"/>
      <c r="I27" s="191"/>
      <c r="K27" s="208"/>
      <c r="L27" s="289"/>
      <c r="M27" s="290"/>
      <c r="N27" s="290"/>
      <c r="O27" s="290"/>
      <c r="P27" s="291"/>
      <c r="Q27" s="234"/>
      <c r="R27" s="23"/>
      <c r="S27" s="295" t="s">
        <v>267</v>
      </c>
      <c r="T27" s="295"/>
      <c r="U27" s="295"/>
      <c r="V27" s="295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">
      <c r="A28" s="180">
        <f>'Données projet'!A41</f>
        <v>40</v>
      </c>
      <c r="B28" s="181">
        <f>'Données projet'!D41</f>
        <v>41</v>
      </c>
      <c r="C28" s="193">
        <f t="shared" ref="C28" si="5">37.28*1.1</f>
        <v>41.008000000000003</v>
      </c>
      <c r="D28" s="182">
        <f t="shared" si="3"/>
        <v>1681.3280000000002</v>
      </c>
      <c r="E28" s="193">
        <f t="shared" si="4"/>
        <v>276.75936000000002</v>
      </c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">
      <c r="A29" s="180">
        <f>'Données projet'!A42</f>
        <v>46</v>
      </c>
      <c r="B29" s="181">
        <f>'Données projet'!D42</f>
        <v>29</v>
      </c>
      <c r="C29" s="193">
        <f>44.28*1.1</f>
        <v>48.708000000000006</v>
      </c>
      <c r="D29" s="182">
        <f t="shared" si="3"/>
        <v>1412.5320000000002</v>
      </c>
      <c r="E29" s="193">
        <f t="shared" si="4"/>
        <v>244.50384000000003</v>
      </c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">
      <c r="A30" s="180">
        <f>'Données projet'!A43</f>
        <v>54</v>
      </c>
      <c r="B30" s="181">
        <f>'Données projet'!D43</f>
        <v>16</v>
      </c>
      <c r="C30" s="193">
        <f>44*1.1</f>
        <v>48.400000000000006</v>
      </c>
      <c r="D30" s="182">
        <f t="shared" si="3"/>
        <v>774.40000000000009</v>
      </c>
      <c r="E30" s="193">
        <f t="shared" si="4"/>
        <v>167.928</v>
      </c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2177.1522664962649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">
      <c r="A31" s="180">
        <f>'Données projet'!A44</f>
        <v>62</v>
      </c>
      <c r="B31" s="181">
        <f>'Données projet'!D44</f>
        <v>7</v>
      </c>
      <c r="C31" s="193">
        <f>50*1.1</f>
        <v>55.000000000000007</v>
      </c>
      <c r="D31" s="182">
        <f t="shared" si="3"/>
        <v>385.00000000000006</v>
      </c>
      <c r="E31" s="193">
        <f t="shared" si="4"/>
        <v>121.2</v>
      </c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">
      <c r="A32" s="180">
        <f>'Données projet'!A45</f>
        <v>0</v>
      </c>
      <c r="B32" s="181">
        <f>'Données projet'!D45</f>
        <v>0</v>
      </c>
      <c r="C32" s="193"/>
      <c r="D32" s="182">
        <f t="shared" si="3"/>
        <v>0</v>
      </c>
      <c r="E32" s="193"/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">
      <c r="A33" s="180">
        <f>'Données projet'!A46</f>
        <v>0</v>
      </c>
      <c r="B33" s="181">
        <f>'Données projet'!D46</f>
        <v>0</v>
      </c>
      <c r="C33" s="193"/>
      <c r="D33" s="182">
        <f t="shared" si="3"/>
        <v>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6">$P$25/(1+$M$4)^O33</f>
        <v>100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">
      <c r="A34" s="180">
        <f>'Données projet'!A47</f>
        <v>0</v>
      </c>
      <c r="B34" s="181">
        <f>'Données projet'!D47</f>
        <v>0</v>
      </c>
      <c r="C34" s="193"/>
      <c r="D34" s="182">
        <f t="shared" si="3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6"/>
        <v>95.693779904306226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">
      <c r="A35" s="180">
        <f>'Données projet'!A48</f>
        <v>0</v>
      </c>
      <c r="B35" s="181">
        <f>'Données projet'!D48</f>
        <v>0</v>
      </c>
      <c r="C35" s="193"/>
      <c r="D35" s="182">
        <f t="shared" si="3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6"/>
        <v>91.572995123738025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">
      <c r="A36" s="180">
        <f>'Données projet'!A49</f>
        <v>0</v>
      </c>
      <c r="B36" s="181">
        <f>'Données projet'!D49</f>
        <v>0</v>
      </c>
      <c r="C36" s="193"/>
      <c r="D36" s="182">
        <f t="shared" si="3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6"/>
        <v>87.629660405490938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">
      <c r="A37" s="180">
        <f>'Données projet'!A50</f>
        <v>0</v>
      </c>
      <c r="B37" s="181">
        <f>'Données projet'!D50</f>
        <v>0</v>
      </c>
      <c r="C37" s="193"/>
      <c r="D37" s="182">
        <f t="shared" si="3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6"/>
        <v>83.856134359321487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">
      <c r="A38" s="180">
        <f>'Données projet'!A51</f>
        <v>0</v>
      </c>
      <c r="B38" s="181">
        <f>'Données projet'!D51</f>
        <v>0</v>
      </c>
      <c r="C38" s="193"/>
      <c r="D38" s="182">
        <f t="shared" si="3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6"/>
        <v>80.245104650068413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">
      <c r="A39" s="180">
        <f>'Données projet'!A52</f>
        <v>0</v>
      </c>
      <c r="B39" s="181">
        <f>'Données projet'!D52</f>
        <v>0</v>
      </c>
      <c r="C39" s="193"/>
      <c r="D39" s="182">
        <f t="shared" si="3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6"/>
        <v>76.789573827816682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">
      <c r="A40" s="180">
        <f>'Données projet'!A53</f>
        <v>0</v>
      </c>
      <c r="B40" s="181">
        <f>'Données projet'!D53</f>
        <v>0</v>
      </c>
      <c r="C40" s="193"/>
      <c r="D40" s="182">
        <f t="shared" si="3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6"/>
        <v>73.482845768245625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">
      <c r="A41" s="180">
        <f>'Données projet'!A54</f>
        <v>0</v>
      </c>
      <c r="B41" s="181">
        <f>'Données projet'!D54</f>
        <v>0</v>
      </c>
      <c r="C41" s="193"/>
      <c r="D41" s="182">
        <f t="shared" si="3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6"/>
        <v>70.31851269688579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">
      <c r="A42" s="180">
        <f>'Données projet'!A55</f>
        <v>0</v>
      </c>
      <c r="B42" s="181">
        <f>'Données projet'!D55</f>
        <v>0</v>
      </c>
      <c r="C42" s="193"/>
      <c r="D42" s="182">
        <f t="shared" si="3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6"/>
        <v>67.290442772139514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6"/>
        <v>64.392768203004323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6"/>
        <v>61.619873878473044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">
      <c r="A45" s="46" t="s">
        <v>166</v>
      </c>
      <c r="B45" s="174" t="str">
        <f>IF('Données projet'!$B$10="","",'Données projet'!$B$10)</f>
        <v>Chêne sessile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6"/>
        <v>58.966386486577086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6"/>
        <v>56.427164101987636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6"/>
        <v>53.997286221997754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">
      <c r="A48" s="49">
        <v>0</v>
      </c>
      <c r="B48" s="199" t="s">
        <v>132</v>
      </c>
      <c r="C48" s="198" t="s">
        <v>132</v>
      </c>
      <c r="D48" s="197" t="s">
        <v>132</v>
      </c>
      <c r="E48" s="193"/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6"/>
        <v>51.672044231576791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3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6"/>
        <v>49.446932279020878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3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6"/>
        <v>47.317638544517585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6"/>
        <v>45.280036884705829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6"/>
        <v>43.330178837039071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6"/>
        <v>41.464285968458455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">
      <c r="A54" s="180">
        <f>'Données projet'!A62</f>
        <v>25</v>
      </c>
      <c r="B54" s="181">
        <f>'Données projet'!D62</f>
        <v>8</v>
      </c>
      <c r="C54" s="191">
        <f>13*(1+10%)</f>
        <v>14.3</v>
      </c>
      <c r="D54" s="179">
        <f>B54*C54</f>
        <v>114.4</v>
      </c>
      <c r="E54" s="193">
        <f>75+(D54*12%)</f>
        <v>88.727999999999994</v>
      </c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6"/>
        <v>39.678742553548759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">
      <c r="A55" s="180">
        <f>'Données projet'!A63</f>
        <v>30</v>
      </c>
      <c r="B55" s="181">
        <f>'Données projet'!D63</f>
        <v>21</v>
      </c>
      <c r="C55" s="191">
        <f>35*(1+10%)</f>
        <v>38.5</v>
      </c>
      <c r="D55" s="179">
        <f t="shared" ref="D55:D73" si="7">B55*C55</f>
        <v>808.5</v>
      </c>
      <c r="E55" s="193">
        <f t="shared" ref="E55:E73" si="8">75+(D55*12%)</f>
        <v>172.01999999999998</v>
      </c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6"/>
        <v>37.970088567989251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">
      <c r="A56" s="180">
        <f>'Données projet'!A64</f>
        <v>35</v>
      </c>
      <c r="B56" s="181">
        <f>'Données projet'!D64</f>
        <v>21</v>
      </c>
      <c r="C56" s="191">
        <f>40*(1+10%)</f>
        <v>44</v>
      </c>
      <c r="D56" s="179">
        <f t="shared" si="7"/>
        <v>924</v>
      </c>
      <c r="E56" s="193">
        <f t="shared" si="8"/>
        <v>185.88</v>
      </c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6"/>
        <v>36.335012983721775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">
      <c r="A57" s="180">
        <f>'Données projet'!A65</f>
        <v>40</v>
      </c>
      <c r="B57" s="181">
        <f>'Données projet'!D65</f>
        <v>21</v>
      </c>
      <c r="C57" s="191">
        <f>40*(1+10%)</f>
        <v>44</v>
      </c>
      <c r="D57" s="179">
        <f t="shared" si="7"/>
        <v>924</v>
      </c>
      <c r="E57" s="193">
        <f t="shared" si="8"/>
        <v>185.88</v>
      </c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6"/>
        <v>34.770347352843807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">
      <c r="A58" s="180">
        <f>'Données projet'!A66</f>
        <v>45</v>
      </c>
      <c r="B58" s="181">
        <f>'Données projet'!D66</f>
        <v>21</v>
      </c>
      <c r="C58" s="191">
        <f>70*(1+10%)</f>
        <v>77</v>
      </c>
      <c r="D58" s="179">
        <f t="shared" si="7"/>
        <v>1617</v>
      </c>
      <c r="E58" s="193">
        <f t="shared" si="8"/>
        <v>269.03999999999996</v>
      </c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6"/>
        <v>33.27305966779312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">
      <c r="A59" s="180">
        <f>'Données projet'!A67</f>
        <v>50</v>
      </c>
      <c r="B59" s="181">
        <f>'Données projet'!D67</f>
        <v>21</v>
      </c>
      <c r="C59" s="191">
        <f>70*(1+10%)</f>
        <v>77</v>
      </c>
      <c r="D59" s="179">
        <f t="shared" si="7"/>
        <v>1617</v>
      </c>
      <c r="E59" s="193">
        <f t="shared" si="8"/>
        <v>269.03999999999996</v>
      </c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6"/>
        <v>31.840248485926438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">
      <c r="A60" s="180">
        <f>'Données projet'!A68</f>
        <v>55</v>
      </c>
      <c r="B60" s="181">
        <f>'Données projet'!D68</f>
        <v>21</v>
      </c>
      <c r="C60" s="191">
        <f>90*(1+10%)</f>
        <v>99.000000000000014</v>
      </c>
      <c r="D60" s="179">
        <f t="shared" si="7"/>
        <v>2079.0000000000005</v>
      </c>
      <c r="E60" s="193">
        <f t="shared" si="8"/>
        <v>324.48</v>
      </c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6"/>
        <v>30.469137307106639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">
      <c r="A61" s="180">
        <f>'Données projet'!A69</f>
        <v>60</v>
      </c>
      <c r="B61" s="181">
        <f>'Données projet'!D69</f>
        <v>21</v>
      </c>
      <c r="C61" s="191">
        <f>90*(1+10%)</f>
        <v>99.000000000000014</v>
      </c>
      <c r="D61" s="179">
        <f t="shared" si="7"/>
        <v>2079.0000000000005</v>
      </c>
      <c r="E61" s="193">
        <f t="shared" si="8"/>
        <v>324.48</v>
      </c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6"/>
        <v>29.15706919340349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">
      <c r="A62" s="180">
        <f>'Données projet'!A70</f>
        <v>65</v>
      </c>
      <c r="B62" s="181">
        <f>'Données projet'!D70</f>
        <v>21</v>
      </c>
      <c r="C62" s="191">
        <f>90*(1+10%)</f>
        <v>99.000000000000014</v>
      </c>
      <c r="D62" s="179">
        <f t="shared" si="7"/>
        <v>2079.0000000000005</v>
      </c>
      <c r="E62" s="193">
        <f t="shared" si="8"/>
        <v>324.48</v>
      </c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6"/>
        <v>27.901501620481802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">
      <c r="A63" s="180">
        <f>'Données projet'!A71</f>
        <v>70</v>
      </c>
      <c r="B63" s="181">
        <f>'Données projet'!D71</f>
        <v>21</v>
      </c>
      <c r="C63" s="191">
        <f>200*(1+10%)</f>
        <v>220.00000000000003</v>
      </c>
      <c r="D63" s="179">
        <f t="shared" si="7"/>
        <v>4620.0000000000009</v>
      </c>
      <c r="E63" s="193">
        <f t="shared" si="8"/>
        <v>629.40000000000009</v>
      </c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6"/>
        <v>26.7000015507003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">
      <c r="A64" s="180">
        <f>'Données projet'!A72</f>
        <v>75</v>
      </c>
      <c r="B64" s="181">
        <f>'Données projet'!D72</f>
        <v>21</v>
      </c>
      <c r="C64" s="191">
        <f>200*(1+10%)</f>
        <v>220.00000000000003</v>
      </c>
      <c r="D64" s="179">
        <f t="shared" si="7"/>
        <v>4620.0000000000009</v>
      </c>
      <c r="E64" s="193">
        <f t="shared" si="8"/>
        <v>629.40000000000009</v>
      </c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6"/>
        <v>25.550240718373487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">
      <c r="A65" s="180">
        <f>'Données projet'!A73</f>
        <v>80</v>
      </c>
      <c r="B65" s="181">
        <f>'Données projet'!D73</f>
        <v>21</v>
      </c>
      <c r="C65" s="191">
        <f>200*(1+10%)</f>
        <v>220.00000000000003</v>
      </c>
      <c r="D65" s="179">
        <f t="shared" si="7"/>
        <v>4620.0000000000009</v>
      </c>
      <c r="E65" s="193">
        <f t="shared" si="8"/>
        <v>629.40000000000009</v>
      </c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9">$P$25/(1+$M$4)^O65</f>
        <v>24.449991118060769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">
      <c r="A66" s="180">
        <f>'Données projet'!A74</f>
        <v>85</v>
      </c>
      <c r="B66" s="181">
        <f>'Données projet'!D74</f>
        <v>21</v>
      </c>
      <c r="C66" s="191">
        <f>250*(1+10%)</f>
        <v>275</v>
      </c>
      <c r="D66" s="179">
        <f t="shared" si="7"/>
        <v>5775</v>
      </c>
      <c r="E66" s="193">
        <f t="shared" si="8"/>
        <v>768</v>
      </c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9"/>
        <v>23.397120687139495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">
      <c r="A67" s="180">
        <f>'Données projet'!A75</f>
        <v>90</v>
      </c>
      <c r="B67" s="181">
        <f>'Données projet'!D75</f>
        <v>21</v>
      </c>
      <c r="C67" s="191">
        <f>300*(1+10%)</f>
        <v>330</v>
      </c>
      <c r="D67" s="179">
        <f t="shared" si="7"/>
        <v>6930</v>
      </c>
      <c r="E67" s="193">
        <f t="shared" si="8"/>
        <v>906.6</v>
      </c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9"/>
        <v>22.389589174296169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">
      <c r="A68" s="180">
        <f>'Données projet'!A76</f>
        <v>95</v>
      </c>
      <c r="B68" s="181">
        <f>'Données projet'!D76</f>
        <v>21</v>
      </c>
      <c r="C68" s="191">
        <f>300*(1+10%)</f>
        <v>330</v>
      </c>
      <c r="D68" s="179">
        <f t="shared" si="7"/>
        <v>6930</v>
      </c>
      <c r="E68" s="193">
        <f t="shared" si="8"/>
        <v>906.6</v>
      </c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9"/>
        <v>21.425444185929347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">
      <c r="A69" s="180">
        <f>'Données projet'!A77</f>
        <v>100</v>
      </c>
      <c r="B69" s="181">
        <f>'Données projet'!D77</f>
        <v>21</v>
      </c>
      <c r="C69" s="191">
        <f>300*(1+10%)</f>
        <v>330</v>
      </c>
      <c r="D69" s="179">
        <f t="shared" si="7"/>
        <v>6930</v>
      </c>
      <c r="E69" s="193">
        <f t="shared" si="8"/>
        <v>906.6</v>
      </c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9"/>
        <v>20.50281740280321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">
      <c r="A70" s="180">
        <f>'Données projet'!A78</f>
        <v>105</v>
      </c>
      <c r="B70" s="181">
        <f>'Données projet'!D78</f>
        <v>20</v>
      </c>
      <c r="C70" s="191">
        <f>300*(1+10%)</f>
        <v>330</v>
      </c>
      <c r="D70" s="179">
        <f t="shared" si="7"/>
        <v>6600</v>
      </c>
      <c r="E70" s="193">
        <f t="shared" si="8"/>
        <v>867</v>
      </c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9"/>
        <v>19.619920959620295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">
      <c r="A71" s="180">
        <f>'Données projet'!A79</f>
        <v>110</v>
      </c>
      <c r="B71" s="181">
        <f>'Données projet'!D79</f>
        <v>19</v>
      </c>
      <c r="C71" s="191">
        <f>400*(1+10%)</f>
        <v>440.00000000000006</v>
      </c>
      <c r="D71" s="179">
        <f t="shared" si="7"/>
        <v>8360.0000000000018</v>
      </c>
      <c r="E71" s="193">
        <f t="shared" si="8"/>
        <v>1078.2000000000003</v>
      </c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9"/>
        <v>18.775043980497895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">
      <c r="A72" s="180">
        <f>'Données projet'!A80</f>
        <v>115</v>
      </c>
      <c r="B72" s="181">
        <f>'Données projet'!D80</f>
        <v>18</v>
      </c>
      <c r="C72" s="191">
        <f>400*(1+10%)</f>
        <v>440.00000000000006</v>
      </c>
      <c r="D72" s="179">
        <f t="shared" si="7"/>
        <v>7920.0000000000009</v>
      </c>
      <c r="E72" s="193">
        <f t="shared" si="8"/>
        <v>1025.4000000000001</v>
      </c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9"/>
        <v>17.966549263634349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">
      <c r="A73" s="180">
        <f>'Données projet'!A81</f>
        <v>120</v>
      </c>
      <c r="B73" s="181">
        <f>'Données projet'!D81</f>
        <v>17</v>
      </c>
      <c r="C73" s="191">
        <f>400*(1+10%)</f>
        <v>440.00000000000006</v>
      </c>
      <c r="D73" s="179">
        <f t="shared" si="7"/>
        <v>7480.0000000000009</v>
      </c>
      <c r="E73" s="193">
        <f t="shared" si="8"/>
        <v>972.6</v>
      </c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9"/>
        <v>17.192870108741008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9"/>
        <v>16.452507281091876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9"/>
        <v>15.744026106308016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">
      <c r="A76" s="46" t="s">
        <v>167</v>
      </c>
      <c r="B76" s="174" t="str">
        <f>IF('Données projet'!B11="","",'Données projet'!B11)</f>
        <v>Charme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9"/>
        <v>15.066053690246907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9"/>
        <v>14.417276258609482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9"/>
        <v>13.79643661110955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">
      <c r="A79" s="49">
        <v>0</v>
      </c>
      <c r="B79" s="199" t="s">
        <v>132</v>
      </c>
      <c r="C79" s="198" t="s">
        <v>132</v>
      </c>
      <c r="D79" s="197" t="s">
        <v>132</v>
      </c>
      <c r="E79" s="193"/>
      <c r="F79" s="231"/>
      <c r="G79" s="206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9"/>
        <v>13.2023316852723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9"/>
        <v>12.633810225140957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9"/>
        <v>12.089770550374126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9"/>
        <v>11.569158421410647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9"/>
        <v>11.070964996565214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9"/>
        <v>10.5942248770959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">
      <c r="A85" s="180">
        <f>'Données projet'!A88</f>
        <v>15</v>
      </c>
      <c r="B85" s="181">
        <f>'Données projet'!D88</f>
        <v>11</v>
      </c>
      <c r="C85" s="191">
        <f>7.6*(1+10%)</f>
        <v>8.36</v>
      </c>
      <c r="D85" s="179">
        <f>B85*C85</f>
        <v>91.96</v>
      </c>
      <c r="E85" s="193">
        <f>75+(D85*12%)</f>
        <v>86.035200000000003</v>
      </c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9"/>
        <v>10.138014236455408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">
      <c r="A86" s="180">
        <f>'Données projet'!A89</f>
        <v>20</v>
      </c>
      <c r="B86" s="181">
        <f>'Données projet'!D89</f>
        <v>15</v>
      </c>
      <c r="C86" s="191">
        <f>13.2*(1+10%)</f>
        <v>14.52</v>
      </c>
      <c r="D86" s="179">
        <f t="shared" ref="D86:D104" si="10">B86*C86</f>
        <v>217.79999999999998</v>
      </c>
      <c r="E86" s="193">
        <f t="shared" ref="E86:E96" si="11">75+(D86*12%)</f>
        <v>101.136</v>
      </c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9"/>
        <v>9.7014490301008696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">
      <c r="A87" s="180">
        <f>'Données projet'!A90</f>
        <v>25</v>
      </c>
      <c r="B87" s="181">
        <f>'Données projet'!D90</f>
        <v>19</v>
      </c>
      <c r="C87" s="191">
        <f>18.8*(1+10%)</f>
        <v>20.680000000000003</v>
      </c>
      <c r="D87" s="179">
        <f t="shared" si="10"/>
        <v>392.92000000000007</v>
      </c>
      <c r="E87" s="193">
        <f t="shared" si="11"/>
        <v>122.1504</v>
      </c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9"/>
        <v>9.283683282393179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">
      <c r="A88" s="180">
        <f>'Données projet'!A91</f>
        <v>30</v>
      </c>
      <c r="B88" s="181">
        <f>'Données projet'!D91</f>
        <v>21</v>
      </c>
      <c r="C88" s="191">
        <f>30.28*(1+10%)</f>
        <v>33.308000000000007</v>
      </c>
      <c r="D88" s="179">
        <f t="shared" si="10"/>
        <v>699.46800000000019</v>
      </c>
      <c r="E88" s="193">
        <f t="shared" si="11"/>
        <v>158.93616000000003</v>
      </c>
      <c r="F88" s="232"/>
      <c r="G88" s="205"/>
      <c r="H88" s="190"/>
      <c r="I88" s="191"/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9"/>
        <v>8.8839074472661999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">
      <c r="A89" s="180">
        <f>'Données projet'!A92</f>
        <v>35</v>
      </c>
      <c r="B89" s="181">
        <f>'Données projet'!D92</f>
        <v>22</v>
      </c>
      <c r="C89" s="191">
        <f>30.28*(1+10%)</f>
        <v>33.308000000000007</v>
      </c>
      <c r="D89" s="179">
        <f t="shared" si="10"/>
        <v>732.77600000000018</v>
      </c>
      <c r="E89" s="193">
        <f t="shared" si="11"/>
        <v>162.93312000000003</v>
      </c>
      <c r="F89" s="232"/>
      <c r="G89" s="205"/>
      <c r="H89" s="190"/>
      <c r="I89" s="191"/>
      <c r="J89" s="4"/>
      <c r="K89" s="173"/>
      <c r="L89" s="4"/>
      <c r="M89" s="4"/>
      <c r="N89" s="4"/>
      <c r="O89" s="194">
        <f>IF(O88+1&lt;=MIN('Données projet'!$E$9:$E$18),O88+1,"STOP")</f>
        <v>56</v>
      </c>
      <c r="P89" s="185">
        <f t="shared" si="9"/>
        <v>8.5013468394891873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">
      <c r="A90" s="180">
        <f>'Données projet'!A93</f>
        <v>40</v>
      </c>
      <c r="B90" s="181">
        <f>'Données projet'!D93</f>
        <v>23</v>
      </c>
      <c r="C90" s="191">
        <f>30.28*(1+10%)</f>
        <v>33.308000000000007</v>
      </c>
      <c r="D90" s="179">
        <f t="shared" si="10"/>
        <v>766.08400000000017</v>
      </c>
      <c r="E90" s="193">
        <f t="shared" si="11"/>
        <v>166.93008000000003</v>
      </c>
      <c r="F90" s="232"/>
      <c r="G90" s="205"/>
      <c r="H90" s="190"/>
      <c r="I90" s="191"/>
      <c r="J90" s="4"/>
      <c r="K90" s="173"/>
      <c r="L90" s="4"/>
      <c r="M90" s="4"/>
      <c r="N90" s="4"/>
      <c r="O90" s="194">
        <f>IF(O89+1&lt;=MIN('Données projet'!$E$9:$E$18),O89+1,"STOP")</f>
        <v>57</v>
      </c>
      <c r="P90" s="185">
        <f t="shared" si="9"/>
        <v>8.1352601334824772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">
      <c r="A91" s="180">
        <f>'Données projet'!A94</f>
        <v>45</v>
      </c>
      <c r="B91" s="181">
        <f>'Données projet'!D94</f>
        <v>24</v>
      </c>
      <c r="C91" s="191">
        <f>40*(1+10%)</f>
        <v>44</v>
      </c>
      <c r="D91" s="179">
        <f t="shared" si="10"/>
        <v>1056</v>
      </c>
      <c r="E91" s="193">
        <f t="shared" si="11"/>
        <v>201.72</v>
      </c>
      <c r="F91" s="232"/>
      <c r="G91" s="206"/>
      <c r="H91" s="190"/>
      <c r="I91" s="191"/>
      <c r="J91" s="4"/>
      <c r="K91" s="173"/>
      <c r="L91" s="4"/>
      <c r="M91" s="4"/>
      <c r="N91" s="4"/>
      <c r="O91" s="194">
        <f>IF(O90+1&lt;=MIN('Données projet'!$E$9:$E$18),O90+1,"STOP")</f>
        <v>58</v>
      </c>
      <c r="P91" s="185">
        <f t="shared" si="9"/>
        <v>7.7849379267774923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">
      <c r="A92" s="180">
        <f>'Données projet'!A95</f>
        <v>50</v>
      </c>
      <c r="B92" s="181">
        <f>'Données projet'!D95</f>
        <v>24</v>
      </c>
      <c r="C92" s="191">
        <f>40*(1+10%)</f>
        <v>44</v>
      </c>
      <c r="D92" s="179">
        <f t="shared" si="10"/>
        <v>1056</v>
      </c>
      <c r="E92" s="193">
        <f t="shared" si="11"/>
        <v>201.72</v>
      </c>
      <c r="F92" s="232"/>
      <c r="G92" s="206"/>
      <c r="H92" s="190"/>
      <c r="I92" s="191"/>
      <c r="J92" s="4"/>
      <c r="K92" s="173"/>
      <c r="L92" s="4"/>
      <c r="M92" s="4"/>
      <c r="N92" s="4"/>
      <c r="O92" s="194">
        <f>IF(O91+1&lt;=MIN('Données projet'!$E$9:$E$18),O91+1,"STOP")</f>
        <v>59</v>
      </c>
      <c r="P92" s="185">
        <f t="shared" si="9"/>
        <v>7.4497013653373134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">
      <c r="A93" s="180">
        <f>'Données projet'!A96</f>
        <v>55</v>
      </c>
      <c r="B93" s="181">
        <f>'Données projet'!D96</f>
        <v>23</v>
      </c>
      <c r="C93" s="191">
        <f>55*(1+10%)</f>
        <v>60.500000000000007</v>
      </c>
      <c r="D93" s="179">
        <f t="shared" si="10"/>
        <v>1391.5000000000002</v>
      </c>
      <c r="E93" s="193">
        <f t="shared" si="11"/>
        <v>241.98000000000002</v>
      </c>
      <c r="F93" s="232"/>
      <c r="G93" s="206"/>
      <c r="H93" s="190"/>
      <c r="I93" s="191"/>
      <c r="J93" s="4"/>
      <c r="K93" s="173"/>
      <c r="L93" s="4"/>
      <c r="M93" s="4"/>
      <c r="N93" s="4"/>
      <c r="O93" s="194">
        <f>IF(O92+1&lt;=MIN('Données projet'!$E$9:$E$18),O92+1,"STOP")</f>
        <v>60</v>
      </c>
      <c r="P93" s="185">
        <f t="shared" si="9"/>
        <v>7.1289008280739852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">
      <c r="A94" s="180">
        <f>'Données projet'!A97</f>
        <v>60</v>
      </c>
      <c r="B94" s="181">
        <f>'Données projet'!D97</f>
        <v>23</v>
      </c>
      <c r="C94" s="191">
        <f>55*(1+10%)</f>
        <v>60.500000000000007</v>
      </c>
      <c r="D94" s="179">
        <f t="shared" si="10"/>
        <v>1391.5000000000002</v>
      </c>
      <c r="E94" s="193">
        <f t="shared" si="11"/>
        <v>241.98000000000002</v>
      </c>
      <c r="F94" s="232"/>
      <c r="G94" s="206"/>
      <c r="H94" s="190"/>
      <c r="I94" s="191"/>
      <c r="J94" s="4"/>
      <c r="K94" s="173"/>
      <c r="L94" s="4"/>
      <c r="M94" s="4"/>
      <c r="N94" s="4"/>
      <c r="O94" s="194">
        <f>IF(O93+1&lt;=MIN('Données projet'!$E$9:$E$18),O93+1,"STOP")</f>
        <v>61</v>
      </c>
      <c r="P94" s="185">
        <f t="shared" si="9"/>
        <v>6.821914668013382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">
      <c r="A95" s="180">
        <f>'Données projet'!A98</f>
        <v>65</v>
      </c>
      <c r="B95" s="181">
        <f>'Données projet'!D98</f>
        <v>23</v>
      </c>
      <c r="C95" s="191">
        <f>60*(1+10%)</f>
        <v>66</v>
      </c>
      <c r="D95" s="179">
        <f t="shared" si="10"/>
        <v>1518</v>
      </c>
      <c r="E95" s="193">
        <f t="shared" si="11"/>
        <v>257.15999999999997</v>
      </c>
      <c r="F95" s="232"/>
      <c r="G95" s="206"/>
      <c r="H95" s="190"/>
      <c r="I95" s="191"/>
      <c r="J95" s="4"/>
      <c r="K95" s="173"/>
      <c r="L95" s="4"/>
      <c r="M95" s="4"/>
      <c r="N95" s="4"/>
      <c r="O95" s="194">
        <f>IF(O94+1&lt;=MIN('Données projet'!$E$9:$E$18),O94+1,"STOP")</f>
        <v>62</v>
      </c>
      <c r="P95" s="185">
        <f t="shared" si="9"/>
        <v>6.5281480076683112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">
      <c r="A96" s="180">
        <f>'Données projet'!A99</f>
        <v>70</v>
      </c>
      <c r="B96" s="181">
        <f>'Données projet'!D99</f>
        <v>22</v>
      </c>
      <c r="C96" s="191">
        <f>60*(1+10%)</f>
        <v>66</v>
      </c>
      <c r="D96" s="179">
        <f t="shared" si="10"/>
        <v>1452</v>
      </c>
      <c r="E96" s="193">
        <f t="shared" si="11"/>
        <v>249.23999999999998</v>
      </c>
      <c r="F96" s="232"/>
      <c r="G96" s="206"/>
      <c r="H96" s="190"/>
      <c r="I96" s="191"/>
      <c r="J96" s="4"/>
      <c r="K96" s="173"/>
      <c r="L96" s="4"/>
      <c r="M96" s="4"/>
      <c r="N96" s="4"/>
      <c r="O96" s="194" t="str">
        <f>IF(O95+1&lt;=MIN('Données projet'!$E$9:$E$18),O95+1,"STOP")</f>
        <v>STOP</v>
      </c>
      <c r="P96" s="185" t="e">
        <f t="shared" si="9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">
      <c r="A97" s="180">
        <f>'Données projet'!A100</f>
        <v>0</v>
      </c>
      <c r="B97" s="181">
        <f>'Données projet'!D100</f>
        <v>0</v>
      </c>
      <c r="C97" s="191"/>
      <c r="D97" s="179">
        <f t="shared" si="10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12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">
      <c r="A98" s="180">
        <f>'Données projet'!A101</f>
        <v>0</v>
      </c>
      <c r="B98" s="181">
        <f>'Données projet'!D101</f>
        <v>0</v>
      </c>
      <c r="C98" s="191"/>
      <c r="D98" s="179">
        <f t="shared" si="10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12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">
      <c r="A99" s="180">
        <f>'Données projet'!A102</f>
        <v>0</v>
      </c>
      <c r="B99" s="181">
        <f>'Données projet'!D102</f>
        <v>0</v>
      </c>
      <c r="C99" s="191"/>
      <c r="D99" s="179">
        <f t="shared" si="10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12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">
      <c r="A100" s="180">
        <f>'Données projet'!A103</f>
        <v>0</v>
      </c>
      <c r="B100" s="181">
        <f>'Données projet'!D103</f>
        <v>0</v>
      </c>
      <c r="C100" s="191"/>
      <c r="D100" s="179">
        <f t="shared" si="10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12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">
      <c r="A101" s="180">
        <f>'Données projet'!A104</f>
        <v>0</v>
      </c>
      <c r="B101" s="181">
        <f>'Données projet'!D104</f>
        <v>0</v>
      </c>
      <c r="C101" s="191"/>
      <c r="D101" s="179">
        <f t="shared" si="10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12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">
      <c r="A102" s="180">
        <f>'Données projet'!A105</f>
        <v>0</v>
      </c>
      <c r="B102" s="181">
        <f>'Données projet'!D105</f>
        <v>0</v>
      </c>
      <c r="C102" s="191"/>
      <c r="D102" s="179">
        <f t="shared" si="10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12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">
      <c r="A103" s="180">
        <f>'Données projet'!A106</f>
        <v>0</v>
      </c>
      <c r="B103" s="181">
        <f>'Données projet'!D106</f>
        <v>0</v>
      </c>
      <c r="C103" s="191"/>
      <c r="D103" s="179">
        <f t="shared" si="10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12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">
      <c r="A104" s="180">
        <f>'Données projet'!A107</f>
        <v>0</v>
      </c>
      <c r="B104" s="181">
        <f>'Données projet'!D107</f>
        <v>0</v>
      </c>
      <c r="C104" s="191"/>
      <c r="D104" s="179">
        <f t="shared" si="10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12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12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12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">
      <c r="A107" s="46" t="s">
        <v>168</v>
      </c>
      <c r="B107" s="174" t="str">
        <f>IF('Données projet'!B12="","",'Données projet'!B12)</f>
        <v/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12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12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12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">
      <c r="A110" s="49">
        <v>0</v>
      </c>
      <c r="B110" s="199" t="s">
        <v>132</v>
      </c>
      <c r="C110" s="198" t="s">
        <v>132</v>
      </c>
      <c r="D110" s="197" t="s">
        <v>132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12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12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12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12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12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12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">
      <c r="A116" s="180">
        <f>'Données projet'!A114</f>
        <v>0</v>
      </c>
      <c r="B116" s="181">
        <f>'Données projet'!D114</f>
        <v>0</v>
      </c>
      <c r="C116" s="191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12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">
      <c r="A117" s="180">
        <f>'Données projet'!A115</f>
        <v>0</v>
      </c>
      <c r="B117" s="181">
        <f>'Données projet'!D115</f>
        <v>0</v>
      </c>
      <c r="C117" s="191"/>
      <c r="D117" s="179">
        <f t="shared" ref="D117:D135" si="13">B117*C117</f>
        <v>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12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">
      <c r="A118" s="180">
        <f>'Données projet'!A116</f>
        <v>0</v>
      </c>
      <c r="B118" s="181">
        <f>'Données projet'!D116</f>
        <v>0</v>
      </c>
      <c r="C118" s="191"/>
      <c r="D118" s="179">
        <f t="shared" si="13"/>
        <v>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12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">
      <c r="A119" s="180">
        <f>'Données projet'!A117</f>
        <v>0</v>
      </c>
      <c r="B119" s="181">
        <f>'Données projet'!D117</f>
        <v>0</v>
      </c>
      <c r="C119" s="191"/>
      <c r="D119" s="179">
        <f t="shared" si="13"/>
        <v>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12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">
      <c r="A120" s="180">
        <f>'Données projet'!A118</f>
        <v>0</v>
      </c>
      <c r="B120" s="181">
        <f>'Données projet'!D118</f>
        <v>0</v>
      </c>
      <c r="C120" s="191"/>
      <c r="D120" s="179">
        <f t="shared" si="13"/>
        <v>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12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">
      <c r="A121" s="180">
        <f>'Données projet'!A119</f>
        <v>0</v>
      </c>
      <c r="B121" s="181">
        <f>'Données projet'!D119</f>
        <v>0</v>
      </c>
      <c r="C121" s="191"/>
      <c r="D121" s="179">
        <f t="shared" si="13"/>
        <v>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12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">
      <c r="A122" s="180">
        <f>'Données projet'!A120</f>
        <v>0</v>
      </c>
      <c r="B122" s="181">
        <f>'Données projet'!D120</f>
        <v>0</v>
      </c>
      <c r="C122" s="191"/>
      <c r="D122" s="179">
        <f t="shared" si="13"/>
        <v>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12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">
      <c r="A123" s="180">
        <f>'Données projet'!A121</f>
        <v>0</v>
      </c>
      <c r="B123" s="181">
        <f>'Données projet'!D121</f>
        <v>0</v>
      </c>
      <c r="C123" s="191"/>
      <c r="D123" s="179">
        <f t="shared" si="13"/>
        <v>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12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">
      <c r="A124" s="180">
        <f>'Données projet'!A122</f>
        <v>0</v>
      </c>
      <c r="B124" s="181">
        <f>'Données projet'!D122</f>
        <v>0</v>
      </c>
      <c r="C124" s="191"/>
      <c r="D124" s="179">
        <f t="shared" si="13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12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">
      <c r="A125" s="180">
        <f>'Données projet'!A123</f>
        <v>0</v>
      </c>
      <c r="B125" s="181">
        <f>'Données projet'!D123</f>
        <v>0</v>
      </c>
      <c r="C125" s="191"/>
      <c r="D125" s="179">
        <f t="shared" si="13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12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">
      <c r="A126" s="180">
        <f>'Données projet'!A124</f>
        <v>0</v>
      </c>
      <c r="B126" s="181">
        <f>'Données projet'!D124</f>
        <v>0</v>
      </c>
      <c r="C126" s="191"/>
      <c r="D126" s="179">
        <f t="shared" si="13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12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">
      <c r="A127" s="180">
        <f>'Données projet'!A125</f>
        <v>0</v>
      </c>
      <c r="B127" s="181">
        <f>'Données projet'!D125</f>
        <v>0</v>
      </c>
      <c r="C127" s="191"/>
      <c r="D127" s="179">
        <f t="shared" si="13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12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">
      <c r="A128" s="180">
        <f>'Données projet'!A126</f>
        <v>0</v>
      </c>
      <c r="B128" s="181">
        <f>'Données projet'!D126</f>
        <v>0</v>
      </c>
      <c r="C128" s="191"/>
      <c r="D128" s="179">
        <f t="shared" si="13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12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">
      <c r="A129" s="180">
        <f>'Données projet'!A127</f>
        <v>0</v>
      </c>
      <c r="B129" s="181">
        <f>'Données projet'!D127</f>
        <v>0</v>
      </c>
      <c r="C129" s="191"/>
      <c r="D129" s="179">
        <f t="shared" si="13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14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">
      <c r="A130" s="180">
        <f>'Données projet'!A128</f>
        <v>0</v>
      </c>
      <c r="B130" s="181">
        <f>'Données projet'!D128</f>
        <v>0</v>
      </c>
      <c r="C130" s="191"/>
      <c r="D130" s="179">
        <f t="shared" si="13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14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">
      <c r="A131" s="180">
        <f>'Données projet'!A129</f>
        <v>0</v>
      </c>
      <c r="B131" s="181">
        <f>'Données projet'!D129</f>
        <v>0</v>
      </c>
      <c r="C131" s="191"/>
      <c r="D131" s="179">
        <f t="shared" si="13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14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">
      <c r="A132" s="180">
        <f>'Données projet'!A130</f>
        <v>0</v>
      </c>
      <c r="B132" s="181">
        <f>'Données projet'!D130</f>
        <v>0</v>
      </c>
      <c r="C132" s="191"/>
      <c r="D132" s="179">
        <f t="shared" si="13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14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">
      <c r="A133" s="180">
        <f>'Données projet'!A131</f>
        <v>0</v>
      </c>
      <c r="B133" s="181">
        <f>'Données projet'!D131</f>
        <v>0</v>
      </c>
      <c r="C133" s="191"/>
      <c r="D133" s="179">
        <f t="shared" si="13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">
      <c r="A134" s="180">
        <f>'Données projet'!A132</f>
        <v>0</v>
      </c>
      <c r="B134" s="181">
        <f>'Données projet'!D132</f>
        <v>0</v>
      </c>
      <c r="C134" s="191"/>
      <c r="D134" s="179">
        <f t="shared" si="13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">
      <c r="A135" s="180">
        <f>'Données projet'!A133</f>
        <v>0</v>
      </c>
      <c r="B135" s="181">
        <f>'Données projet'!D133</f>
        <v>0</v>
      </c>
      <c r="C135" s="191"/>
      <c r="D135" s="179">
        <f t="shared" si="13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">
      <c r="A138" s="46" t="s">
        <v>169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5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">
      <c r="A149" s="42">
        <f>'Données projet'!A142</f>
        <v>0</v>
      </c>
      <c r="B149" s="175">
        <f>'Données projet'!D142</f>
        <v>0</v>
      </c>
      <c r="C149" s="191"/>
      <c r="D149" s="182">
        <f t="shared" si="15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">
      <c r="A150" s="42">
        <f>'Données projet'!A143</f>
        <v>0</v>
      </c>
      <c r="B150" s="175">
        <f>'Données projet'!D143</f>
        <v>0</v>
      </c>
      <c r="C150" s="191"/>
      <c r="D150" s="182">
        <f t="shared" si="15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">
      <c r="A151" s="42">
        <f>'Données projet'!A144</f>
        <v>0</v>
      </c>
      <c r="B151" s="175">
        <f>'Données projet'!D144</f>
        <v>0</v>
      </c>
      <c r="C151" s="191"/>
      <c r="D151" s="182">
        <f t="shared" si="15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">
      <c r="A152" s="42">
        <f>'Données projet'!A145</f>
        <v>0</v>
      </c>
      <c r="B152" s="175">
        <f>'Données projet'!D145</f>
        <v>0</v>
      </c>
      <c r="C152" s="191"/>
      <c r="D152" s="182">
        <f t="shared" si="15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">
      <c r="A153" s="42">
        <f>'Données projet'!A146</f>
        <v>0</v>
      </c>
      <c r="B153" s="175">
        <f>'Données projet'!D146</f>
        <v>0</v>
      </c>
      <c r="C153" s="191"/>
      <c r="D153" s="182">
        <f t="shared" si="15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">
      <c r="A154" s="42">
        <f>'Données projet'!A147</f>
        <v>0</v>
      </c>
      <c r="B154" s="175">
        <f>'Données projet'!D147</f>
        <v>0</v>
      </c>
      <c r="C154" s="191"/>
      <c r="D154" s="182">
        <f t="shared" si="15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">
      <c r="A155" s="42">
        <f>'Données projet'!A148</f>
        <v>0</v>
      </c>
      <c r="B155" s="175">
        <f>'Données projet'!D148</f>
        <v>0</v>
      </c>
      <c r="C155" s="191"/>
      <c r="D155" s="182">
        <f t="shared" si="15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">
      <c r="A156" s="42">
        <f>'Données projet'!A149</f>
        <v>0</v>
      </c>
      <c r="B156" s="175">
        <f>'Données projet'!D149</f>
        <v>0</v>
      </c>
      <c r="C156" s="191"/>
      <c r="D156" s="182">
        <f t="shared" si="15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">
      <c r="A157" s="42">
        <f>'Données projet'!A150</f>
        <v>0</v>
      </c>
      <c r="B157" s="175">
        <f>'Données projet'!D150</f>
        <v>0</v>
      </c>
      <c r="C157" s="191"/>
      <c r="D157" s="182">
        <f t="shared" si="15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">
      <c r="A158" s="42">
        <f>'Données projet'!A151</f>
        <v>0</v>
      </c>
      <c r="B158" s="175">
        <f>'Données projet'!D151</f>
        <v>0</v>
      </c>
      <c r="C158" s="191"/>
      <c r="D158" s="182">
        <f t="shared" si="15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">
      <c r="A159" s="42">
        <f>'Données projet'!A152</f>
        <v>0</v>
      </c>
      <c r="B159" s="175">
        <f>'Données projet'!D152</f>
        <v>0</v>
      </c>
      <c r="C159" s="191"/>
      <c r="D159" s="182">
        <f t="shared" si="15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">
      <c r="A160" s="42">
        <f>'Données projet'!A153</f>
        <v>0</v>
      </c>
      <c r="B160" s="175">
        <f>'Données projet'!D153</f>
        <v>0</v>
      </c>
      <c r="C160" s="191"/>
      <c r="D160" s="182">
        <f t="shared" si="15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">
      <c r="A161" s="42">
        <f>'Données projet'!A154</f>
        <v>0</v>
      </c>
      <c r="B161" s="175">
        <f>'Données projet'!D154</f>
        <v>0</v>
      </c>
      <c r="C161" s="191"/>
      <c r="D161" s="182">
        <f t="shared" si="15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">
      <c r="A162" s="42">
        <f>'Données projet'!A155</f>
        <v>0</v>
      </c>
      <c r="B162" s="175">
        <f>'Données projet'!D155</f>
        <v>0</v>
      </c>
      <c r="C162" s="191"/>
      <c r="D162" s="182">
        <f t="shared" si="15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">
      <c r="A163" s="42">
        <f>'Données projet'!A156</f>
        <v>0</v>
      </c>
      <c r="B163" s="175">
        <f>'Données projet'!D156</f>
        <v>0</v>
      </c>
      <c r="C163" s="191"/>
      <c r="D163" s="182">
        <f t="shared" si="15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">
      <c r="A164" s="42">
        <f>'Données projet'!A157</f>
        <v>0</v>
      </c>
      <c r="B164" s="175">
        <f>'Données projet'!D157</f>
        <v>0</v>
      </c>
      <c r="C164" s="191"/>
      <c r="D164" s="182">
        <f t="shared" si="15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">
      <c r="A165" s="42">
        <f>'Données projet'!A158</f>
        <v>0</v>
      </c>
      <c r="B165" s="175">
        <f>'Données projet'!D158</f>
        <v>0</v>
      </c>
      <c r="C165" s="191"/>
      <c r="D165" s="182">
        <f t="shared" si="15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">
      <c r="A166" s="42">
        <f>'Données projet'!A159</f>
        <v>0</v>
      </c>
      <c r="B166" s="175">
        <f>'Données projet'!D159</f>
        <v>0</v>
      </c>
      <c r="C166" s="191"/>
      <c r="D166" s="182">
        <f t="shared" si="15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6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">
      <c r="A180" s="180">
        <f>'Données projet'!A168</f>
        <v>0</v>
      </c>
      <c r="B180" s="181">
        <f>'Données projet'!D168</f>
        <v>0</v>
      </c>
      <c r="C180" s="193"/>
      <c r="D180" s="179">
        <f t="shared" si="16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">
      <c r="A181" s="180">
        <f>'Données projet'!A169</f>
        <v>0</v>
      </c>
      <c r="B181" s="181">
        <f>'Données projet'!D169</f>
        <v>0</v>
      </c>
      <c r="C181" s="193"/>
      <c r="D181" s="179">
        <f t="shared" si="16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">
      <c r="A182" s="180">
        <f>'Données projet'!A170</f>
        <v>0</v>
      </c>
      <c r="B182" s="181">
        <f>'Données projet'!D170</f>
        <v>0</v>
      </c>
      <c r="C182" s="193"/>
      <c r="D182" s="179">
        <f t="shared" si="16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">
      <c r="A183" s="180">
        <f>'Données projet'!A171</f>
        <v>0</v>
      </c>
      <c r="B183" s="181">
        <f>'Données projet'!D171</f>
        <v>0</v>
      </c>
      <c r="C183" s="193"/>
      <c r="D183" s="179">
        <f t="shared" si="16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">
      <c r="A184" s="180">
        <f>'Données projet'!A172</f>
        <v>0</v>
      </c>
      <c r="B184" s="181">
        <f>'Données projet'!D172</f>
        <v>0</v>
      </c>
      <c r="C184" s="193"/>
      <c r="D184" s="179">
        <f t="shared" si="16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">
      <c r="A185" s="180">
        <f>'Données projet'!A173</f>
        <v>0</v>
      </c>
      <c r="B185" s="181">
        <f>'Données projet'!D173</f>
        <v>0</v>
      </c>
      <c r="C185" s="193"/>
      <c r="D185" s="179">
        <f t="shared" si="16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">
      <c r="A186" s="180">
        <f>'Données projet'!A174</f>
        <v>0</v>
      </c>
      <c r="B186" s="181">
        <f>'Données projet'!D174</f>
        <v>0</v>
      </c>
      <c r="C186" s="193"/>
      <c r="D186" s="179">
        <f t="shared" si="16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">
      <c r="A187" s="180">
        <f>'Données projet'!A175</f>
        <v>0</v>
      </c>
      <c r="B187" s="181">
        <f>'Données projet'!D175</f>
        <v>0</v>
      </c>
      <c r="C187" s="193"/>
      <c r="D187" s="179">
        <f t="shared" si="16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">
      <c r="A188" s="180">
        <f>'Données projet'!A176</f>
        <v>0</v>
      </c>
      <c r="B188" s="181">
        <f>'Données projet'!D176</f>
        <v>0</v>
      </c>
      <c r="C188" s="193"/>
      <c r="D188" s="179">
        <f t="shared" si="16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">
      <c r="A189" s="180">
        <f>'Données projet'!A177</f>
        <v>0</v>
      </c>
      <c r="B189" s="181">
        <f>'Données projet'!D177</f>
        <v>0</v>
      </c>
      <c r="C189" s="193"/>
      <c r="D189" s="179">
        <f t="shared" si="16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">
      <c r="A190" s="180">
        <f>'Données projet'!A178</f>
        <v>0</v>
      </c>
      <c r="B190" s="181">
        <f>'Données projet'!D178</f>
        <v>0</v>
      </c>
      <c r="C190" s="193"/>
      <c r="D190" s="179">
        <f t="shared" si="16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">
      <c r="A191" s="180">
        <f>'Données projet'!A179</f>
        <v>0</v>
      </c>
      <c r="B191" s="181">
        <f>'Données projet'!D179</f>
        <v>0</v>
      </c>
      <c r="C191" s="193"/>
      <c r="D191" s="179">
        <f t="shared" si="16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">
      <c r="A192" s="180">
        <f>'Données projet'!A180</f>
        <v>0</v>
      </c>
      <c r="B192" s="181">
        <f>'Données projet'!D180</f>
        <v>0</v>
      </c>
      <c r="C192" s="193"/>
      <c r="D192" s="179">
        <f t="shared" si="16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">
      <c r="A193" s="180">
        <f>'Données projet'!A181</f>
        <v>0</v>
      </c>
      <c r="B193" s="181">
        <f>'Données projet'!D181</f>
        <v>0</v>
      </c>
      <c r="C193" s="193"/>
      <c r="D193" s="179">
        <f t="shared" si="16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">
      <c r="A194" s="180">
        <f>'Données projet'!A182</f>
        <v>0</v>
      </c>
      <c r="B194" s="181">
        <f>'Données projet'!D182</f>
        <v>0</v>
      </c>
      <c r="C194" s="193"/>
      <c r="D194" s="179">
        <f t="shared" si="16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">
      <c r="A195" s="180">
        <f>'Données projet'!A183</f>
        <v>0</v>
      </c>
      <c r="B195" s="181">
        <f>'Données projet'!D183</f>
        <v>0</v>
      </c>
      <c r="C195" s="193"/>
      <c r="D195" s="179">
        <f t="shared" si="16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">
      <c r="A196" s="180">
        <f>'Données projet'!A184</f>
        <v>0</v>
      </c>
      <c r="B196" s="181">
        <f>'Données projet'!D184</f>
        <v>0</v>
      </c>
      <c r="C196" s="193"/>
      <c r="D196" s="179">
        <f t="shared" si="16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">
      <c r="A197" s="180">
        <f>'Données projet'!A185</f>
        <v>0</v>
      </c>
      <c r="B197" s="181">
        <f>'Données projet'!D185</f>
        <v>0</v>
      </c>
      <c r="C197" s="193"/>
      <c r="D197" s="179">
        <f t="shared" si="16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7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">
      <c r="A211" s="180">
        <f>'Données projet'!A194</f>
        <v>0</v>
      </c>
      <c r="B211" s="181">
        <f>'Données projet'!D194</f>
        <v>0</v>
      </c>
      <c r="C211" s="193"/>
      <c r="D211" s="179">
        <f t="shared" si="17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">
      <c r="A212" s="180">
        <f>'Données projet'!A195</f>
        <v>0</v>
      </c>
      <c r="B212" s="181">
        <f>'Données projet'!D195</f>
        <v>0</v>
      </c>
      <c r="C212" s="193"/>
      <c r="D212" s="179">
        <f t="shared" si="17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">
      <c r="A213" s="180">
        <f>'Données projet'!A196</f>
        <v>0</v>
      </c>
      <c r="B213" s="181">
        <f>'Données projet'!D196</f>
        <v>0</v>
      </c>
      <c r="C213" s="193"/>
      <c r="D213" s="179">
        <f t="shared" si="17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">
      <c r="A214" s="180">
        <f>'Données projet'!A197</f>
        <v>0</v>
      </c>
      <c r="B214" s="181">
        <f>'Données projet'!D197</f>
        <v>0</v>
      </c>
      <c r="C214" s="193"/>
      <c r="D214" s="179">
        <f t="shared" si="17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">
      <c r="A215" s="180">
        <f>'Données projet'!A198</f>
        <v>0</v>
      </c>
      <c r="B215" s="181">
        <f>'Données projet'!D198</f>
        <v>0</v>
      </c>
      <c r="C215" s="193"/>
      <c r="D215" s="179">
        <f t="shared" si="17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">
      <c r="A216" s="180">
        <f>'Données projet'!A199</f>
        <v>0</v>
      </c>
      <c r="B216" s="181">
        <f>'Données projet'!D199</f>
        <v>0</v>
      </c>
      <c r="C216" s="193"/>
      <c r="D216" s="179">
        <f t="shared" si="17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">
      <c r="A217" s="180">
        <f>'Données projet'!A200</f>
        <v>0</v>
      </c>
      <c r="B217" s="181">
        <f>'Données projet'!D200</f>
        <v>0</v>
      </c>
      <c r="C217" s="193"/>
      <c r="D217" s="179">
        <f t="shared" si="17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">
      <c r="A218" s="180">
        <f>'Données projet'!A201</f>
        <v>0</v>
      </c>
      <c r="B218" s="181">
        <f>'Données projet'!D201</f>
        <v>0</v>
      </c>
      <c r="C218" s="193"/>
      <c r="D218" s="179">
        <f t="shared" si="17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">
      <c r="A219" s="180">
        <f>'Données projet'!A202</f>
        <v>0</v>
      </c>
      <c r="B219" s="181">
        <f>'Données projet'!D202</f>
        <v>0</v>
      </c>
      <c r="C219" s="193"/>
      <c r="D219" s="179">
        <f t="shared" si="17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">
      <c r="A220" s="180">
        <f>'Données projet'!A203</f>
        <v>0</v>
      </c>
      <c r="B220" s="181">
        <f>'Données projet'!D203</f>
        <v>0</v>
      </c>
      <c r="C220" s="193"/>
      <c r="D220" s="179">
        <f t="shared" si="17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">
      <c r="A221" s="180">
        <f>'Données projet'!A204</f>
        <v>0</v>
      </c>
      <c r="B221" s="181">
        <f>'Données projet'!D204</f>
        <v>0</v>
      </c>
      <c r="C221" s="193"/>
      <c r="D221" s="179">
        <f t="shared" si="17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">
      <c r="A222" s="180">
        <f>'Données projet'!A205</f>
        <v>0</v>
      </c>
      <c r="B222" s="181">
        <f>'Données projet'!D205</f>
        <v>0</v>
      </c>
      <c r="C222" s="193"/>
      <c r="D222" s="179">
        <f t="shared" si="17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">
      <c r="A223" s="180">
        <f>'Données projet'!A206</f>
        <v>0</v>
      </c>
      <c r="B223" s="181">
        <f>'Données projet'!D206</f>
        <v>0</v>
      </c>
      <c r="C223" s="193"/>
      <c r="D223" s="179">
        <f t="shared" si="17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">
      <c r="A224" s="180">
        <f>'Données projet'!A207</f>
        <v>0</v>
      </c>
      <c r="B224" s="181">
        <f>'Données projet'!D207</f>
        <v>0</v>
      </c>
      <c r="C224" s="193"/>
      <c r="D224" s="179">
        <f t="shared" si="17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">
      <c r="A225" s="180">
        <f>'Données projet'!A208</f>
        <v>0</v>
      </c>
      <c r="B225" s="181">
        <f>'Données projet'!D208</f>
        <v>0</v>
      </c>
      <c r="C225" s="193"/>
      <c r="D225" s="179">
        <f t="shared" si="17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">
      <c r="A226" s="180">
        <f>'Données projet'!A209</f>
        <v>0</v>
      </c>
      <c r="B226" s="181">
        <f>'Données projet'!D209</f>
        <v>0</v>
      </c>
      <c r="C226" s="193"/>
      <c r="D226" s="179">
        <f t="shared" si="17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">
      <c r="A227" s="180">
        <f>'Données projet'!A210</f>
        <v>0</v>
      </c>
      <c r="B227" s="181">
        <f>'Données projet'!D210</f>
        <v>0</v>
      </c>
      <c r="C227" s="193"/>
      <c r="D227" s="179">
        <f t="shared" si="17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">
      <c r="A228" s="180">
        <f>'Données projet'!A211</f>
        <v>0</v>
      </c>
      <c r="B228" s="181">
        <f>'Données projet'!D211</f>
        <v>0</v>
      </c>
      <c r="C228" s="193"/>
      <c r="D228" s="179">
        <f t="shared" si="17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8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">
      <c r="A242" s="180">
        <f>'Données projet'!A220</f>
        <v>0</v>
      </c>
      <c r="B242" s="181">
        <f>'Données projet'!D220</f>
        <v>0</v>
      </c>
      <c r="C242" s="193"/>
      <c r="D242" s="179">
        <f t="shared" si="18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">
      <c r="A243" s="180">
        <f>'Données projet'!A221</f>
        <v>0</v>
      </c>
      <c r="B243" s="181">
        <f>'Données projet'!D221</f>
        <v>0</v>
      </c>
      <c r="C243" s="193"/>
      <c r="D243" s="179">
        <f t="shared" si="18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">
      <c r="A244" s="180">
        <f>'Données projet'!A222</f>
        <v>0</v>
      </c>
      <c r="B244" s="181">
        <f>'Données projet'!D222</f>
        <v>0</v>
      </c>
      <c r="C244" s="193"/>
      <c r="D244" s="179">
        <f t="shared" si="18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">
      <c r="A245" s="180">
        <f>'Données projet'!A223</f>
        <v>0</v>
      </c>
      <c r="B245" s="181">
        <f>'Données projet'!D223</f>
        <v>0</v>
      </c>
      <c r="C245" s="193"/>
      <c r="D245" s="179">
        <f t="shared" si="18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">
      <c r="A246" s="180">
        <f>'Données projet'!A224</f>
        <v>0</v>
      </c>
      <c r="B246" s="181">
        <f>'Données projet'!D224</f>
        <v>0</v>
      </c>
      <c r="C246" s="193"/>
      <c r="D246" s="179">
        <f t="shared" si="18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">
      <c r="A247" s="180">
        <f>'Données projet'!A225</f>
        <v>0</v>
      </c>
      <c r="B247" s="181">
        <f>'Données projet'!D225</f>
        <v>0</v>
      </c>
      <c r="C247" s="193"/>
      <c r="D247" s="179">
        <f t="shared" si="18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">
      <c r="A248" s="180">
        <f>'Données projet'!A226</f>
        <v>0</v>
      </c>
      <c r="B248" s="181">
        <f>'Données projet'!D226</f>
        <v>0</v>
      </c>
      <c r="C248" s="193"/>
      <c r="D248" s="179">
        <f t="shared" si="18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">
      <c r="A249" s="180">
        <f>'Données projet'!A227</f>
        <v>0</v>
      </c>
      <c r="B249" s="181">
        <f>'Données projet'!D227</f>
        <v>0</v>
      </c>
      <c r="C249" s="193"/>
      <c r="D249" s="179">
        <f t="shared" si="18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">
      <c r="A250" s="180">
        <f>'Données projet'!A228</f>
        <v>0</v>
      </c>
      <c r="B250" s="181">
        <f>'Données projet'!D228</f>
        <v>0</v>
      </c>
      <c r="C250" s="193"/>
      <c r="D250" s="179">
        <f t="shared" si="18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">
      <c r="A251" s="180">
        <f>'Données projet'!A229</f>
        <v>0</v>
      </c>
      <c r="B251" s="181">
        <f>'Données projet'!D229</f>
        <v>0</v>
      </c>
      <c r="C251" s="193"/>
      <c r="D251" s="179">
        <f t="shared" si="18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">
      <c r="A252" s="180">
        <f>'Données projet'!A230</f>
        <v>0</v>
      </c>
      <c r="B252" s="181">
        <f>'Données projet'!D230</f>
        <v>0</v>
      </c>
      <c r="C252" s="193"/>
      <c r="D252" s="179">
        <f t="shared" si="18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">
      <c r="A253" s="180">
        <f>'Données projet'!A231</f>
        <v>0</v>
      </c>
      <c r="B253" s="181">
        <f>'Données projet'!D231</f>
        <v>0</v>
      </c>
      <c r="C253" s="193"/>
      <c r="D253" s="179">
        <f t="shared" si="18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">
      <c r="A254" s="180">
        <f>'Données projet'!A232</f>
        <v>0</v>
      </c>
      <c r="B254" s="181">
        <f>'Données projet'!D232</f>
        <v>0</v>
      </c>
      <c r="C254" s="193"/>
      <c r="D254" s="179">
        <f t="shared" si="18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">
      <c r="A255" s="180">
        <f>'Données projet'!A233</f>
        <v>0</v>
      </c>
      <c r="B255" s="181">
        <f>'Données projet'!D233</f>
        <v>0</v>
      </c>
      <c r="C255" s="193"/>
      <c r="D255" s="179">
        <f t="shared" si="18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">
      <c r="A256" s="180">
        <f>'Données projet'!A234</f>
        <v>0</v>
      </c>
      <c r="B256" s="181">
        <f>'Données projet'!D234</f>
        <v>0</v>
      </c>
      <c r="C256" s="193"/>
      <c r="D256" s="179">
        <f t="shared" si="18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">
      <c r="A257" s="180">
        <f>'Données projet'!A235</f>
        <v>0</v>
      </c>
      <c r="B257" s="181">
        <f>'Données projet'!D235</f>
        <v>0</v>
      </c>
      <c r="C257" s="193"/>
      <c r="D257" s="179">
        <f t="shared" si="18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">
      <c r="A258" s="180">
        <f>'Données projet'!A236</f>
        <v>0</v>
      </c>
      <c r="B258" s="181">
        <f>'Données projet'!D236</f>
        <v>0</v>
      </c>
      <c r="C258" s="193"/>
      <c r="D258" s="179">
        <f t="shared" si="18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">
      <c r="A259" s="180">
        <f>'Données projet'!A237</f>
        <v>0</v>
      </c>
      <c r="B259" s="181">
        <f>'Données projet'!D237</f>
        <v>0</v>
      </c>
      <c r="C259" s="193"/>
      <c r="D259" s="179">
        <f t="shared" si="18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9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">
      <c r="A273" s="180">
        <f>'Données projet'!A246</f>
        <v>0</v>
      </c>
      <c r="B273" s="181">
        <f>'Données projet'!D246</f>
        <v>0</v>
      </c>
      <c r="C273" s="193"/>
      <c r="D273" s="179">
        <f t="shared" si="19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">
      <c r="A274" s="180">
        <f>'Données projet'!A247</f>
        <v>0</v>
      </c>
      <c r="B274" s="181">
        <f>'Données projet'!D247</f>
        <v>0</v>
      </c>
      <c r="C274" s="193"/>
      <c r="D274" s="179">
        <f t="shared" si="19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">
      <c r="A275" s="180">
        <f>'Données projet'!A248</f>
        <v>0</v>
      </c>
      <c r="B275" s="181">
        <f>'Données projet'!D248</f>
        <v>0</v>
      </c>
      <c r="C275" s="193"/>
      <c r="D275" s="179">
        <f t="shared" si="19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">
      <c r="A276" s="180">
        <f>'Données projet'!A249</f>
        <v>0</v>
      </c>
      <c r="B276" s="181">
        <f>'Données projet'!D249</f>
        <v>0</v>
      </c>
      <c r="C276" s="193"/>
      <c r="D276" s="179">
        <f t="shared" si="19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">
      <c r="A277" s="180">
        <f>'Données projet'!A250</f>
        <v>0</v>
      </c>
      <c r="B277" s="181">
        <f>'Données projet'!D250</f>
        <v>0</v>
      </c>
      <c r="C277" s="193"/>
      <c r="D277" s="179">
        <f t="shared" si="19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">
      <c r="A278" s="180">
        <f>'Données projet'!A251</f>
        <v>0</v>
      </c>
      <c r="B278" s="181">
        <f>'Données projet'!D251</f>
        <v>0</v>
      </c>
      <c r="C278" s="193"/>
      <c r="D278" s="179">
        <f t="shared" si="19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">
      <c r="A279" s="180">
        <f>'Données projet'!A252</f>
        <v>0</v>
      </c>
      <c r="B279" s="181">
        <f>'Données projet'!D252</f>
        <v>0</v>
      </c>
      <c r="C279" s="193"/>
      <c r="D279" s="179">
        <f t="shared" si="19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">
      <c r="A280" s="180">
        <f>'Données projet'!A253</f>
        <v>0</v>
      </c>
      <c r="B280" s="181">
        <f>'Données projet'!D253</f>
        <v>0</v>
      </c>
      <c r="C280" s="193"/>
      <c r="D280" s="179">
        <f t="shared" si="19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">
      <c r="A281" s="180">
        <f>'Données projet'!A254</f>
        <v>0</v>
      </c>
      <c r="B281" s="181">
        <f>'Données projet'!D254</f>
        <v>0</v>
      </c>
      <c r="C281" s="193"/>
      <c r="D281" s="179">
        <f t="shared" si="19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">
      <c r="A282" s="180">
        <f>'Données projet'!A255</f>
        <v>0</v>
      </c>
      <c r="B282" s="181">
        <f>'Données projet'!D255</f>
        <v>0</v>
      </c>
      <c r="C282" s="193"/>
      <c r="D282" s="179">
        <f t="shared" si="19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">
      <c r="A283" s="180">
        <f>'Données projet'!A256</f>
        <v>0</v>
      </c>
      <c r="B283" s="181">
        <f>'Données projet'!D256</f>
        <v>0</v>
      </c>
      <c r="C283" s="193"/>
      <c r="D283" s="179">
        <f t="shared" si="19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">
      <c r="A284" s="180">
        <f>'Données projet'!A257</f>
        <v>0</v>
      </c>
      <c r="B284" s="181">
        <f>'Données projet'!D257</f>
        <v>0</v>
      </c>
      <c r="C284" s="193"/>
      <c r="D284" s="179">
        <f t="shared" si="19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">
      <c r="A285" s="180">
        <f>'Données projet'!A258</f>
        <v>0</v>
      </c>
      <c r="B285" s="181">
        <f>'Données projet'!D258</f>
        <v>0</v>
      </c>
      <c r="C285" s="193"/>
      <c r="D285" s="179">
        <f t="shared" si="19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">
      <c r="A286" s="180">
        <f>'Données projet'!A259</f>
        <v>0</v>
      </c>
      <c r="B286" s="181">
        <f>'Données projet'!D259</f>
        <v>0</v>
      </c>
      <c r="C286" s="193"/>
      <c r="D286" s="179">
        <f t="shared" si="19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">
      <c r="A287" s="180">
        <f>'Données projet'!A260</f>
        <v>0</v>
      </c>
      <c r="B287" s="181">
        <f>'Données projet'!D260</f>
        <v>0</v>
      </c>
      <c r="C287" s="193"/>
      <c r="D287" s="179">
        <f t="shared" si="19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">
      <c r="A288" s="180">
        <f>'Données projet'!A261</f>
        <v>0</v>
      </c>
      <c r="B288" s="181">
        <f>'Données projet'!D261</f>
        <v>0</v>
      </c>
      <c r="C288" s="193"/>
      <c r="D288" s="179">
        <f t="shared" si="19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">
      <c r="A289" s="180">
        <f>'Données projet'!A262</f>
        <v>0</v>
      </c>
      <c r="B289" s="181">
        <f>'Données projet'!D262</f>
        <v>0</v>
      </c>
      <c r="C289" s="193"/>
      <c r="D289" s="179">
        <f t="shared" si="19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">
      <c r="A290" s="180">
        <f>'Données projet'!A263</f>
        <v>0</v>
      </c>
      <c r="B290" s="181">
        <f>'Données projet'!D263</f>
        <v>0</v>
      </c>
      <c r="C290" s="193"/>
      <c r="D290" s="179">
        <f t="shared" si="19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20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">
      <c r="A304" s="180">
        <f>'Données projet'!A272</f>
        <v>0</v>
      </c>
      <c r="B304" s="181">
        <f>'Données projet'!D272</f>
        <v>0</v>
      </c>
      <c r="C304" s="191"/>
      <c r="D304" s="182">
        <f t="shared" si="20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">
      <c r="A305" s="180">
        <f>'Données projet'!A273</f>
        <v>0</v>
      </c>
      <c r="B305" s="181">
        <f>'Données projet'!D273</f>
        <v>0</v>
      </c>
      <c r="C305" s="191"/>
      <c r="D305" s="182">
        <f t="shared" si="20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">
      <c r="A306" s="180">
        <f>'Données projet'!A274</f>
        <v>0</v>
      </c>
      <c r="B306" s="181">
        <f>'Données projet'!D274</f>
        <v>0</v>
      </c>
      <c r="C306" s="191"/>
      <c r="D306" s="182">
        <f t="shared" si="20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">
      <c r="A307" s="180">
        <f>'Données projet'!A275</f>
        <v>0</v>
      </c>
      <c r="B307" s="181">
        <f>'Données projet'!D275</f>
        <v>0</v>
      </c>
      <c r="C307" s="191"/>
      <c r="D307" s="182">
        <f t="shared" si="20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">
      <c r="A308" s="180">
        <f>'Données projet'!A276</f>
        <v>0</v>
      </c>
      <c r="B308" s="181">
        <f>'Données projet'!D276</f>
        <v>0</v>
      </c>
      <c r="C308" s="191"/>
      <c r="D308" s="182">
        <f t="shared" si="20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">
      <c r="A309" s="180">
        <f>'Données projet'!A277</f>
        <v>0</v>
      </c>
      <c r="B309" s="181">
        <f>'Données projet'!D277</f>
        <v>0</v>
      </c>
      <c r="C309" s="191"/>
      <c r="D309" s="182">
        <f t="shared" si="20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">
      <c r="A310" s="180">
        <f>'Données projet'!A278</f>
        <v>0</v>
      </c>
      <c r="B310" s="181">
        <f>'Données projet'!D278</f>
        <v>0</v>
      </c>
      <c r="C310" s="191"/>
      <c r="D310" s="182">
        <f t="shared" si="20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">
      <c r="A311" s="180">
        <f>'Données projet'!A279</f>
        <v>0</v>
      </c>
      <c r="B311" s="181">
        <f>'Données projet'!D279</f>
        <v>0</v>
      </c>
      <c r="C311" s="191"/>
      <c r="D311" s="182">
        <f t="shared" si="20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">
      <c r="A312" s="180">
        <f>'Données projet'!A280</f>
        <v>0</v>
      </c>
      <c r="B312" s="181">
        <f>'Données projet'!D280</f>
        <v>0</v>
      </c>
      <c r="C312" s="191"/>
      <c r="D312" s="182">
        <f t="shared" si="20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">
      <c r="A313" s="180">
        <f>'Données projet'!A281</f>
        <v>0</v>
      </c>
      <c r="B313" s="181">
        <f>'Données projet'!D281</f>
        <v>0</v>
      </c>
      <c r="C313" s="191"/>
      <c r="D313" s="182">
        <f t="shared" si="20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">
      <c r="A314" s="180">
        <f>'Données projet'!A282</f>
        <v>0</v>
      </c>
      <c r="B314" s="181">
        <f>'Données projet'!D282</f>
        <v>0</v>
      </c>
      <c r="C314" s="191"/>
      <c r="D314" s="182">
        <f t="shared" si="20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">
      <c r="A315" s="180">
        <f>'Données projet'!A283</f>
        <v>0</v>
      </c>
      <c r="B315" s="181">
        <f>'Données projet'!D283</f>
        <v>0</v>
      </c>
      <c r="C315" s="191"/>
      <c r="D315" s="182">
        <f t="shared" si="20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">
      <c r="A316" s="180">
        <f>'Données projet'!A284</f>
        <v>0</v>
      </c>
      <c r="B316" s="181">
        <f>'Données projet'!D284</f>
        <v>0</v>
      </c>
      <c r="C316" s="191"/>
      <c r="D316" s="182">
        <f t="shared" si="20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">
      <c r="A317" s="180">
        <f>'Données projet'!A285</f>
        <v>0</v>
      </c>
      <c r="B317" s="181">
        <f>'Données projet'!D285</f>
        <v>0</v>
      </c>
      <c r="C317" s="191"/>
      <c r="D317" s="182">
        <f t="shared" si="20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">
      <c r="A318" s="180">
        <f>'Données projet'!A286</f>
        <v>0</v>
      </c>
      <c r="B318" s="181">
        <f>'Données projet'!D286</f>
        <v>0</v>
      </c>
      <c r="C318" s="191"/>
      <c r="D318" s="182">
        <f t="shared" si="20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">
      <c r="A319" s="180">
        <f>'Données projet'!A287</f>
        <v>0</v>
      </c>
      <c r="B319" s="181">
        <f>'Données projet'!D287</f>
        <v>0</v>
      </c>
      <c r="C319" s="191"/>
      <c r="D319" s="182">
        <f t="shared" si="20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">
      <c r="A320" s="180">
        <f>'Données projet'!A288</f>
        <v>0</v>
      </c>
      <c r="B320" s="181">
        <f>'Données projet'!D288</f>
        <v>0</v>
      </c>
      <c r="C320" s="191"/>
      <c r="D320" s="182">
        <f t="shared" si="20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">
      <c r="A321" s="180">
        <f>'Données projet'!A289</f>
        <v>0</v>
      </c>
      <c r="B321" s="181">
        <f>'Données projet'!D289</f>
        <v>0</v>
      </c>
      <c r="C321" s="196"/>
      <c r="D321" s="182">
        <f t="shared" si="20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emilie Parthuisot</cp:lastModifiedBy>
  <dcterms:created xsi:type="dcterms:W3CDTF">2021-02-01T08:22:39Z</dcterms:created>
  <dcterms:modified xsi:type="dcterms:W3CDTF">2023-06-23T20:27:12Z</dcterms:modified>
</cp:coreProperties>
</file>